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xr:revisionPtr revIDLastSave="0" documentId="13_ncr:801_{924DB1F3-8701-467E-BACC-56422C763922}" xr6:coauthVersionLast="47" xr6:coauthVersionMax="47" xr10:uidLastSave="{00000000-0000-0000-0000-000000000000}"/>
  <bookViews>
    <workbookView xWindow="3510" yWindow="3510" windowWidth="16470" windowHeight="16500" tabRatio="843" firstSheet="54" activeTab="56" xr2:uid="{00000000-000D-0000-FFFF-FFFF00000000}"/>
  </bookViews>
  <sheets>
    <sheet name="Doc Fee and Commission from Con" sheetId="1" r:id="rId1"/>
    <sheet name="Default Broker Margin Values" sheetId="2" r:id="rId2"/>
    <sheet name="CP(F2)-PCP_Used_LCV" sheetId="3" r:id="rId3"/>
    <sheet name="CP(F2)-CP_Used_LCV" sheetId="4" r:id="rId4"/>
    <sheet name="HPNR(F3)-PCP_Used_LCV" sheetId="5" r:id="rId5"/>
    <sheet name="HPNR(F3)-CP_Used_LCV" sheetId="6" r:id="rId6"/>
    <sheet name="HPNR(F3)-HPR_Used_LCV" sheetId="7" r:id="rId7"/>
    <sheet name="HPNR(F3)-HPNR_Used_LCV" sheetId="8" r:id="rId8"/>
    <sheet name="BCH-F3-PCH_Used_LCV" sheetId="9" r:id="rId9"/>
    <sheet name="BCH-F3-BCH_Used_LCV" sheetId="10" r:id="rId10"/>
    <sheet name="CP(F3)-PCH_Used_LCV" sheetId="11" r:id="rId11"/>
    <sheet name="CP(F3)-BCH_Used_LCV" sheetId="12" r:id="rId12"/>
    <sheet name="FL(F3)-FL_Used_LCV" sheetId="13" r:id="rId13"/>
    <sheet name="FL(F3)-PCH_Used_LCV" sheetId="14" r:id="rId14"/>
    <sheet name="FL(F3)-BCH_Used_LCV" sheetId="15" r:id="rId15"/>
    <sheet name="HPNR (F3)-FL_Used_LCV" sheetId="16" r:id="rId16"/>
    <sheet name="HPNR (F3)-PCH_Used_LCV" sheetId="17" r:id="rId17"/>
    <sheet name="HPNR (F3)-BCH_Used_LCV" sheetId="18" r:id="rId18"/>
    <sheet name="PCP_used_LCV" sheetId="19" r:id="rId19"/>
    <sheet name="CP_used_LCV" sheetId="20" r:id="rId20"/>
    <sheet name="HPR_used_LCV" sheetId="21" r:id="rId21"/>
    <sheet name="HPNR_used_LCV" sheetId="22" r:id="rId22"/>
    <sheet name="Formula1-FL_Used_LCV" sheetId="23" r:id="rId23"/>
    <sheet name="Formula1-PCH_Used_LCV" sheetId="24" r:id="rId24"/>
    <sheet name="Formula1-BCH_Used_LCV" sheetId="25" r:id="rId25"/>
    <sheet name="CP(F2)-PCP_Used_car" sheetId="26" r:id="rId26"/>
    <sheet name="CP(F2)-CP_Used_car" sheetId="27" r:id="rId27"/>
    <sheet name="HPNR(F3)-PCP_Used_car" sheetId="28" r:id="rId28"/>
    <sheet name="HPNR(F3)-CP_Used_car" sheetId="29" r:id="rId29"/>
    <sheet name="HPNR(F3)-HPR_Used_car" sheetId="30" r:id="rId30"/>
    <sheet name="HPNR(F3)-HPNR_Used_car" sheetId="31" r:id="rId31"/>
    <sheet name="CP(F3)-PCH_Used_car" sheetId="32" r:id="rId32"/>
    <sheet name="CP(F3)-BCH_Used_car" sheetId="33" r:id="rId33"/>
    <sheet name="FL(F3)-FL_Used_car" sheetId="34" r:id="rId34"/>
    <sheet name="FL(F3)-PCH_Used_car" sheetId="35" r:id="rId35"/>
    <sheet name="FL(F3)-BCH_Used_car" sheetId="36" r:id="rId36"/>
    <sheet name="HPNR (F3)-FL_Used_car" sheetId="37" r:id="rId37"/>
    <sheet name="HPNR (F3)-PCH_Used_car" sheetId="38" r:id="rId38"/>
    <sheet name="HPNR (F3)-BCH_Used_car" sheetId="39" r:id="rId39"/>
    <sheet name="PCP_used_car" sheetId="40" r:id="rId40"/>
    <sheet name="CP_used_car" sheetId="41" r:id="rId41"/>
    <sheet name="HPR_used_car" sheetId="42" r:id="rId42"/>
    <sheet name="HPNR_used_car" sheetId="43" r:id="rId43"/>
    <sheet name="BCH-F3-PCH_Used_car" sheetId="44" r:id="rId44"/>
    <sheet name="BCH-F3-BCH_Used_car" sheetId="45" r:id="rId45"/>
    <sheet name="Formula1-FL_Used_car" sheetId="46" r:id="rId46"/>
    <sheet name="Formula1-PCH_Used_car" sheetId="47" r:id="rId47"/>
    <sheet name="CP (Formula 3) - PCH" sheetId="48" r:id="rId48"/>
    <sheet name="CP (Formula 3) - BCH" sheetId="49" r:id="rId49"/>
    <sheet name="CP (Formula 2) - CP" sheetId="50" r:id="rId50"/>
    <sheet name="CP (Formula 2) - PCP" sheetId="51" r:id="rId51"/>
    <sheet name="Formula1-BCH_Used_car" sheetId="52" r:id="rId52"/>
    <sheet name="HPNR (Formula 3) - PCP" sheetId="53" r:id="rId53"/>
    <sheet name="HPNR (Formula 3) - CP" sheetId="54" r:id="rId54"/>
    <sheet name="HPNR (Formula 3) - HPR" sheetId="55" r:id="rId55"/>
    <sheet name="HPNR (Formula 3) - FL" sheetId="56" r:id="rId56"/>
    <sheet name="HPNR (Formula 3) - PCH" sheetId="57" r:id="rId57"/>
    <sheet name="HPNR (Formula 3) - BCH" sheetId="58" r:id="rId58"/>
    <sheet name="FL (Formula 3) - FL" sheetId="59" r:id="rId59"/>
    <sheet name="FL (Formula 3) - PCH" sheetId="60" r:id="rId60"/>
    <sheet name="FL (Formula 3) - BCH" sheetId="61" r:id="rId61"/>
    <sheet name="HPNR (Formula 3) - HPNR" sheetId="62" r:id="rId62"/>
    <sheet name="HirePurchaseNonRegulated" sheetId="63" r:id="rId63"/>
    <sheet name="HirePurchaseRegulated" sheetId="64" r:id="rId64"/>
    <sheet name="PersonalContractPurchase" sheetId="65" r:id="rId65"/>
    <sheet name="ContractPurchase" sheetId="66" r:id="rId66"/>
    <sheet name="Formula1-FL" sheetId="67" r:id="rId67"/>
    <sheet name="Formula1-PCH" sheetId="68" r:id="rId68"/>
    <sheet name="Formula1-BCH" sheetId="69" r:id="rId69"/>
    <sheet name="FL (Formula 3) - BCH, PCH, FL" sheetId="70" r:id="rId70"/>
    <sheet name="BCH (Formula 3) - PCH" sheetId="71" r:id="rId71"/>
    <sheet name="BCH (Formula 3) - BCH" sheetId="72" r:id="rId72"/>
  </sheets>
  <calcPr calcId="191029" iterateDelta="1E-4"/>
  <oleSize ref="A148:E16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<sst xmlns="http://schemas.openxmlformats.org/spreadsheetml/2006/main" count="32334" uniqueCount="412">
  <si>
    <t>Hire Doc Fee</t>
  </si>
  <si>
    <t xml:space="preserve">Hire Doc Fee Commission </t>
  </si>
  <si>
    <t>Purchase Doc Fee</t>
  </si>
  <si>
    <t xml:space="preserve">Purchase Doc Fee Commission </t>
  </si>
  <si>
    <t>Hire Default Broker Margin Values</t>
  </si>
  <si>
    <t xml:space="preserve">Min </t>
  </si>
  <si>
    <t>Max</t>
  </si>
  <si>
    <t>Values</t>
  </si>
  <si>
    <t>Purchase Default Broker Margin Percentage</t>
  </si>
  <si>
    <t>A1 Credit</t>
  </si>
  <si>
    <t xml:space="preserve"> </t>
  </si>
  <si>
    <t>Percentage Values</t>
  </si>
  <si>
    <t>Limited Credit</t>
  </si>
  <si>
    <t>Premium Credit</t>
  </si>
  <si>
    <t>Calculations</t>
  </si>
  <si>
    <t xml:space="preserve">Cost price ex. VAT &amp; RFL </t>
  </si>
  <si>
    <t xml:space="preserve">VAT </t>
  </si>
  <si>
    <t xml:space="preserve">RFL &amp; FRF </t>
  </si>
  <si>
    <t xml:space="preserve">Cost OTR price </t>
  </si>
  <si>
    <t xml:space="preserve">OTR component </t>
  </si>
  <si>
    <t>Cost price</t>
  </si>
  <si>
    <t xml:space="preserve">Vehicle cost price </t>
  </si>
  <si>
    <t xml:space="preserve">Options and preparation cost </t>
  </si>
  <si>
    <t xml:space="preserve">RFL </t>
  </si>
  <si>
    <t>Target OTR</t>
  </si>
  <si>
    <t xml:space="preserve">OTR price </t>
  </si>
  <si>
    <t>Buying group</t>
  </si>
  <si>
    <t>P11D</t>
  </si>
  <si>
    <t>Dealer</t>
  </si>
  <si>
    <t>Manufacturer</t>
  </si>
  <si>
    <t xml:space="preserve">OTR for invoice </t>
  </si>
  <si>
    <t>YES</t>
  </si>
  <si>
    <t>NO</t>
  </si>
  <si>
    <t xml:space="preserve">                  </t>
  </si>
  <si>
    <t>Holding cost - formula - 2</t>
  </si>
  <si>
    <t xml:space="preserve">      Funder information</t>
  </si>
  <si>
    <t>Payment profile</t>
  </si>
  <si>
    <t>Monthly Advance</t>
  </si>
  <si>
    <t>Number of Monthly Advance</t>
  </si>
  <si>
    <t>Monthly advance</t>
  </si>
  <si>
    <t>Advance payment in Value</t>
  </si>
  <si>
    <t>Duration</t>
  </si>
  <si>
    <t>Funder</t>
  </si>
  <si>
    <t>Quote reference</t>
  </si>
  <si>
    <t>Quote expiry date</t>
  </si>
  <si>
    <t>Mileage</t>
  </si>
  <si>
    <t>sadasa</t>
  </si>
  <si>
    <t>dsfsfds</t>
  </si>
  <si>
    <t>Residual Value</t>
  </si>
  <si>
    <t>Maintenance Cost (SMR) Annual Value</t>
  </si>
  <si>
    <t>TOTAL CASH PRICE</t>
  </si>
  <si>
    <t>23125.00</t>
  </si>
  <si>
    <t>Term</t>
  </si>
  <si>
    <t>Miles per annum</t>
  </si>
  <si>
    <t>Contract mileage</t>
  </si>
  <si>
    <t>12</t>
  </si>
  <si>
    <t>5000</t>
  </si>
  <si>
    <t>CASH DEPOSIT</t>
  </si>
  <si>
    <t>1000</t>
  </si>
  <si>
    <t>Interest Rate (annual)</t>
  </si>
  <si>
    <t>Total cash price</t>
  </si>
  <si>
    <t>Cash deposit</t>
  </si>
  <si>
    <t>Balance to finance</t>
  </si>
  <si>
    <t>Subsequence term</t>
  </si>
  <si>
    <t>BALANCE TO FINANCE</t>
  </si>
  <si>
    <t>Calculation</t>
  </si>
  <si>
    <t>Document fee</t>
  </si>
  <si>
    <t>Number of monthly payments</t>
  </si>
  <si>
    <t>Monthly payment</t>
  </si>
  <si>
    <t>funderQuouteMonthlyPayment</t>
  </si>
  <si>
    <t>500</t>
  </si>
  <si>
    <t>vat</t>
  </si>
  <si>
    <t>maintenanceCost</t>
  </si>
  <si>
    <t>Optional final payment</t>
  </si>
  <si>
    <t>Option to purchase fee</t>
  </si>
  <si>
    <t>Maintenance included</t>
  </si>
  <si>
    <t>optionalFinalPayment</t>
  </si>
  <si>
    <t>fundingContractPeriod</t>
  </si>
  <si>
    <t>vatElement</t>
  </si>
  <si>
    <t>Monthly maint. Payment</t>
  </si>
  <si>
    <t>Pence per excess mile - finance</t>
  </si>
  <si>
    <t>Pence per excess mile - maint</t>
  </si>
  <si>
    <t>Holding Cost</t>
  </si>
  <si>
    <t>rfl</t>
  </si>
  <si>
    <t>DocumentTermCal</t>
  </si>
  <si>
    <t>Pence per excess mile - total</t>
  </si>
  <si>
    <t>Option to Purchase fee</t>
  </si>
  <si>
    <t>monthlyHoldingCost</t>
  </si>
  <si>
    <t>monthlyFinanceCost</t>
  </si>
  <si>
    <t>% CAP residual value used</t>
  </si>
  <si>
    <t>% CAP maintenance cost used</t>
  </si>
  <si>
    <t>Total Cap Maint. Value</t>
  </si>
  <si>
    <t>Total Maint value</t>
  </si>
  <si>
    <t xml:space="preserve">    Own book holding cost matrix</t>
  </si>
  <si>
    <t>Term (months)</t>
  </si>
  <si>
    <t>Mileage per annum</t>
  </si>
  <si>
    <t>Advance</t>
  </si>
  <si>
    <t>Subsequent monthly rentals</t>
  </si>
  <si>
    <t>Options to purchase fee</t>
  </si>
  <si>
    <t>Period Supplement</t>
  </si>
  <si>
    <t>Base Rate</t>
  </si>
  <si>
    <t>Rate Over Base Rate</t>
  </si>
  <si>
    <t>Default Margin</t>
  </si>
  <si>
    <t>Minimum Margin (%) for broker Vrb</t>
  </si>
  <si>
    <t>Margin Required (%) for broker vrb</t>
  </si>
  <si>
    <t>Default VRB Paid to Broker</t>
  </si>
  <si>
    <t>contingency insurance multiplier (holding cost)</t>
  </si>
  <si>
    <t>Insurance Premium Tax</t>
  </si>
  <si>
    <t>contingency insurance multiplier (Customer cost)</t>
  </si>
  <si>
    <t>Tracker Cost EX VAT</t>
  </si>
  <si>
    <t>Tracker subs per month EX VAT</t>
  </si>
  <si>
    <t>Tracker subs Total EX VAT</t>
  </si>
  <si>
    <t>Disposal Costs</t>
  </si>
  <si>
    <t>Delivery and collection EX VAT</t>
  </si>
  <si>
    <t>Total Additional Cost</t>
  </si>
  <si>
    <t>Monthly additioanl cost</t>
  </si>
  <si>
    <t>Holding cost</t>
  </si>
  <si>
    <t>Advance(Balance To finanace)</t>
  </si>
  <si>
    <t>Residual</t>
  </si>
  <si>
    <t>Annual Interest Rate</t>
  </si>
  <si>
    <t>R</t>
  </si>
  <si>
    <t>Subsequent Rentals (n)</t>
  </si>
  <si>
    <t>Step 1</t>
  </si>
  <si>
    <t>Step 2</t>
  </si>
  <si>
    <t>Step 3</t>
  </si>
  <si>
    <t xml:space="preserve">Monthly rental </t>
  </si>
  <si>
    <t>Total exc. contingency insurance</t>
  </si>
  <si>
    <t>Insurance</t>
  </si>
  <si>
    <t>Total inc. contingency insurance</t>
  </si>
  <si>
    <t>Monthly maintenance rental</t>
  </si>
  <si>
    <t>Monthly finance rental</t>
  </si>
  <si>
    <t>Total monthly rental (Ex. VAT)</t>
  </si>
  <si>
    <t>Hire purchase - NON Regulated</t>
  </si>
  <si>
    <t>Hire purchase - Regulated</t>
  </si>
  <si>
    <t>Contract purchase</t>
  </si>
  <si>
    <t>Personal contract purchase</t>
  </si>
  <si>
    <t xml:space="preserve">       Own book customer quote</t>
  </si>
  <si>
    <t>Contract type</t>
  </si>
  <si>
    <t>Maintenance include</t>
  </si>
  <si>
    <t>Hire purchase - NON regulated</t>
  </si>
  <si>
    <t xml:space="preserve"> Monthly in advance </t>
  </si>
  <si>
    <t>Maintenance margin %</t>
  </si>
  <si>
    <t>Credit type</t>
  </si>
  <si>
    <t>APR</t>
  </si>
  <si>
    <t>Limited Cedit</t>
  </si>
  <si>
    <t>Limited credit</t>
  </si>
  <si>
    <t>A1  Crdit</t>
  </si>
  <si>
    <t>Included balloon payment</t>
  </si>
  <si>
    <t>Order deposit</t>
  </si>
  <si>
    <t>Finance deposit</t>
  </si>
  <si>
    <t>Total deposit</t>
  </si>
  <si>
    <t>Document fee (Ex. VAT)</t>
  </si>
  <si>
    <t>Initial payment</t>
  </si>
  <si>
    <t xml:space="preserve">       Sales price</t>
  </si>
  <si>
    <t>Vehicle</t>
  </si>
  <si>
    <t>Paint</t>
  </si>
  <si>
    <t>Options</t>
  </si>
  <si>
    <t>Accessories</t>
  </si>
  <si>
    <t>OTR price</t>
  </si>
  <si>
    <t>Sales price</t>
  </si>
  <si>
    <t>Basic list price</t>
  </si>
  <si>
    <t>Discount (%)</t>
  </si>
  <si>
    <t>Additional discount</t>
  </si>
  <si>
    <t>Discount total</t>
  </si>
  <si>
    <t>After discount price</t>
  </si>
  <si>
    <t>Accessories list price</t>
  </si>
  <si>
    <t>Accessories name</t>
  </si>
  <si>
    <t>Listing price</t>
  </si>
  <si>
    <t>Discount in %</t>
  </si>
  <si>
    <t>Accessories1</t>
  </si>
  <si>
    <t>Accessories2</t>
  </si>
  <si>
    <t>Accessories3</t>
  </si>
  <si>
    <t xml:space="preserve">Subtotal after discounts         </t>
  </si>
  <si>
    <t xml:space="preserve">Manufacturer delivery charges           </t>
  </si>
  <si>
    <t xml:space="preserve">VAT           </t>
  </si>
  <si>
    <t xml:space="preserve">Grant           </t>
  </si>
  <si>
    <t xml:space="preserve">Road tax for first year           </t>
  </si>
  <si>
    <t xml:space="preserve">First registration fee           </t>
  </si>
  <si>
    <t xml:space="preserve">On the road price for invoice           </t>
  </si>
  <si>
    <t xml:space="preserve">Rebate           </t>
  </si>
  <si>
    <t xml:space="preserve">Other support           </t>
  </si>
  <si>
    <t>Remarks</t>
  </si>
  <si>
    <t xml:space="preserve">On the road price for calculation           </t>
  </si>
  <si>
    <t xml:space="preserve">Sales profit          </t>
  </si>
  <si>
    <t xml:space="preserve">       Part exchange</t>
  </si>
  <si>
    <t>Part exchange</t>
  </si>
  <si>
    <t>Less finance settlement</t>
  </si>
  <si>
    <t>Net part exchange allowance</t>
  </si>
  <si>
    <t>Part exchange profit</t>
  </si>
  <si>
    <t xml:space="preserve">Referrer Commission </t>
  </si>
  <si>
    <t>Deposit required</t>
  </si>
  <si>
    <t>Balance to finanace</t>
  </si>
  <si>
    <t xml:space="preserve">       Summary</t>
  </si>
  <si>
    <t>Target rental</t>
  </si>
  <si>
    <t>Monthly finance payment</t>
  </si>
  <si>
    <t>Monthly maintenance payment</t>
  </si>
  <si>
    <t>Total monthly payment</t>
  </si>
  <si>
    <t>Monthly Finance Payment</t>
  </si>
  <si>
    <t>Balloon</t>
  </si>
  <si>
    <t>Basic cash price</t>
  </si>
  <si>
    <t>VAT</t>
  </si>
  <si>
    <t>NON - VAT</t>
  </si>
  <si>
    <t>Total Cash price</t>
  </si>
  <si>
    <t>Finanace charges</t>
  </si>
  <si>
    <t>Balance payable</t>
  </si>
  <si>
    <t>Options to puchase fee</t>
  </si>
  <si>
    <t>Initial cash payment</t>
  </si>
  <si>
    <t>Final payment (inc. Option to puchase fee</t>
  </si>
  <si>
    <t>Pence per excess mile - Maintenance</t>
  </si>
  <si>
    <t>Default comission</t>
  </si>
  <si>
    <t>Maintenance comission</t>
  </si>
  <si>
    <t xml:space="preserve">Document fee comission </t>
  </si>
  <si>
    <t>Total comission</t>
  </si>
  <si>
    <t>Vehicle profit</t>
  </si>
  <si>
    <t xml:space="preserve">     Own book holding cost matrix</t>
  </si>
  <si>
    <t>Holding Finance Charges</t>
  </si>
  <si>
    <t>Holding Balance Payable</t>
  </si>
  <si>
    <t>Contract Purchase</t>
  </si>
  <si>
    <t>Followed by</t>
  </si>
  <si>
    <t>Guaranteed future value</t>
  </si>
  <si>
    <t>Final payment (inc. option to purchase fee)</t>
  </si>
  <si>
    <t>Pence per excess mile - maint.</t>
  </si>
  <si>
    <t xml:space="preserve">       Commission due</t>
  </si>
  <si>
    <t>Vehicle comm.</t>
  </si>
  <si>
    <t xml:space="preserve">        Configuration</t>
  </si>
  <si>
    <t>Base interest rate</t>
  </si>
  <si>
    <t>Customer interest rate</t>
  </si>
  <si>
    <t>Finance margin</t>
  </si>
  <si>
    <t>Deductions</t>
  </si>
  <si>
    <t>Additional margin</t>
  </si>
  <si>
    <t>Total margin</t>
  </si>
  <si>
    <t>Customer rate over base</t>
  </si>
  <si>
    <t>Period supplement</t>
  </si>
  <si>
    <t>Default broker margin</t>
  </si>
  <si>
    <t>Maint. Margin</t>
  </si>
  <si>
    <t>Document fee margin</t>
  </si>
  <si>
    <t xml:space="preserve">       Additional items</t>
  </si>
  <si>
    <t>Tracker cost</t>
  </si>
  <si>
    <t>Tracker subs per month</t>
  </si>
  <si>
    <t>Total tracker cost</t>
  </si>
  <si>
    <t>Contingency insurance multiplier</t>
  </si>
  <si>
    <t>Insurance tax</t>
  </si>
  <si>
    <t>Contingency insurance value</t>
  </si>
  <si>
    <t>Disposal cost</t>
  </si>
  <si>
    <t>Delivery &amp; collection cost</t>
  </si>
  <si>
    <t>199.99</t>
  </si>
  <si>
    <t>Holding cost - formula - 3</t>
  </si>
  <si>
    <t xml:space="preserve">       Funder information</t>
  </si>
  <si>
    <t xml:space="preserve">Quote expiry date </t>
  </si>
  <si>
    <t>Test</t>
  </si>
  <si>
    <t>Initial finance rental(Ex. VAT)</t>
  </si>
  <si>
    <t>Initial maintenance rental (Ex. VAT)</t>
  </si>
  <si>
    <t>Finance Rental Monthly</t>
  </si>
  <si>
    <t>Maintenance monthly</t>
  </si>
  <si>
    <t>Total initial rental (Ex. VAT)</t>
  </si>
  <si>
    <t xml:space="preserve">Term (months) </t>
  </si>
  <si>
    <t>Document Fee</t>
  </si>
  <si>
    <t>Maintenance</t>
  </si>
  <si>
    <t>Monthly finance rental(Ex. VAT)</t>
  </si>
  <si>
    <t>Monthly maintenance rental (Ex. VAT)</t>
  </si>
  <si>
    <t>Final balloon payment (Ex. VAT)</t>
  </si>
  <si>
    <t>Pence per excess mile - finance (Ex. VAT)</t>
  </si>
  <si>
    <t>Pence per excess mile - maintenance (Ex. VAT)</t>
  </si>
  <si>
    <t>Monthly Fianance Cost</t>
  </si>
  <si>
    <t>Maintenanace Cost</t>
  </si>
  <si>
    <t>Holding Cost (Monthly)</t>
  </si>
  <si>
    <t>Pence per excess mile - total (Ex. VAT)</t>
  </si>
  <si>
    <t>Percentage of sale proceed to customer</t>
  </si>
  <si>
    <t>Secondary hire period rental (Ex. VAT)</t>
  </si>
  <si>
    <t>Fianance Cost</t>
  </si>
  <si>
    <t xml:space="preserve"> Spread rentals initial payment </t>
  </si>
  <si>
    <t xml:space="preserve"> Spread rentals with 3 down </t>
  </si>
  <si>
    <t xml:space="preserve"> Spread rentals with 6 down </t>
  </si>
  <si>
    <t xml:space="preserve"> Spread rentals with 9 down </t>
  </si>
  <si>
    <t xml:space="preserve"> Spread rentals with 12 down </t>
  </si>
  <si>
    <t xml:space="preserve"> Terminal pause with 3 down </t>
  </si>
  <si>
    <t xml:space="preserve"> Terminal Pause with 6 down </t>
  </si>
  <si>
    <t xml:space="preserve"> Terminal Pause with 9 down </t>
  </si>
  <si>
    <t>Hire purchase – Regulated</t>
  </si>
  <si>
    <t>Hire Purchase Non-Regulated</t>
  </si>
  <si>
    <t>Upload document</t>
  </si>
  <si>
    <t>`</t>
  </si>
  <si>
    <t xml:space="preserve">otr   </t>
  </si>
  <si>
    <t>Minimum Margin (%)</t>
  </si>
  <si>
    <t>Margin Required (%)</t>
  </si>
  <si>
    <t>Additional RFL Per annum</t>
  </si>
  <si>
    <t>Additional RFL Premium Vehicle (Over £40k) Per annum</t>
  </si>
  <si>
    <t>Additional RFL Total</t>
  </si>
  <si>
    <t>Upsell</t>
  </si>
  <si>
    <t>Refferal commision</t>
  </si>
  <si>
    <t>Customer Quote - Personal Contract Hire</t>
  </si>
  <si>
    <t>Order deposit (No VAT)</t>
  </si>
  <si>
    <t>Business Contract Hire</t>
  </si>
  <si>
    <t>Document fee (Inc. VAT)</t>
  </si>
  <si>
    <t>Upsell (Ex. VAT)</t>
  </si>
  <si>
    <t>Referral commission (Ex. VAT)</t>
  </si>
  <si>
    <t xml:space="preserve">        Part exchange</t>
  </si>
  <si>
    <t>Add part exchange to montly rental</t>
  </si>
  <si>
    <t>Balance due</t>
  </si>
  <si>
    <t xml:space="preserve">        Summary</t>
  </si>
  <si>
    <t>Monthly maint. rental</t>
  </si>
  <si>
    <t>Total monthly rental</t>
  </si>
  <si>
    <t>Monthly finance rental (In. VAT)</t>
  </si>
  <si>
    <t>Monthly maintenance rental (In. VAT)</t>
  </si>
  <si>
    <t>Total monthly rental (In. VAT)</t>
  </si>
  <si>
    <t>Initial finance rental</t>
  </si>
  <si>
    <t>Initial maint. rental</t>
  </si>
  <si>
    <t>Initial finance rental (In. VAT)</t>
  </si>
  <si>
    <t>Initial maintenance rental (In. VAT)</t>
  </si>
  <si>
    <t>Total initial rental (In. VAT)</t>
  </si>
  <si>
    <t>Total initial rental</t>
  </si>
  <si>
    <t>Part exchange value</t>
  </si>
  <si>
    <t>Pence per excess mile - finance (In. VAT)</t>
  </si>
  <si>
    <t>Pence per excess mile - maintenance (In. VAT)</t>
  </si>
  <si>
    <t>Pence per excess mile - total (In. VAT)</t>
  </si>
  <si>
    <t>Document fee (In. VAT)</t>
  </si>
  <si>
    <t>Default commission (Ex. VAT)</t>
  </si>
  <si>
    <t>Upsell commission (Ex. VAT)</t>
  </si>
  <si>
    <t>Pence per excess mile - main.</t>
  </si>
  <si>
    <t>Maintenance commission (Ex. VAT)</t>
  </si>
  <si>
    <t>Document fee commission (Ex. VAT)</t>
  </si>
  <si>
    <t>Total commission (Ex. VAT)</t>
  </si>
  <si>
    <t>Subsidy requested</t>
  </si>
  <si>
    <t>Subsidy Requested</t>
  </si>
  <si>
    <t>Subsidy Commission Deduction</t>
  </si>
  <si>
    <t>Commission due</t>
  </si>
  <si>
    <t>Default finance comm.</t>
  </si>
  <si>
    <t>Upsell comm.</t>
  </si>
  <si>
    <t>Maint. comm.</t>
  </si>
  <si>
    <t>Own book holding cost matrix</t>
  </si>
  <si>
    <t>Document fee comm.</t>
  </si>
  <si>
    <t>Referrer comm.</t>
  </si>
  <si>
    <t>Broker upsell margin</t>
  </si>
  <si>
    <t>Referrer margin</t>
  </si>
  <si>
    <t>Maintnance Margin</t>
  </si>
  <si>
    <t xml:space="preserve">            Additional items</t>
  </si>
  <si>
    <t>Additional RFL per annum</t>
  </si>
  <si>
    <t>Additional RFL (List price over 40k) per annum</t>
  </si>
  <si>
    <t>Customer Quote - Business Contract Hire</t>
  </si>
  <si>
    <t xml:space="preserve">          Total Cash Price</t>
  </si>
  <si>
    <t>20</t>
  </si>
  <si>
    <t xml:space="preserve">          </t>
  </si>
  <si>
    <t xml:space="preserve">  </t>
  </si>
  <si>
    <t>without maintenance Holding cost</t>
  </si>
  <si>
    <t>Referrer commision</t>
  </si>
  <si>
    <t>Customer Quote - Finance Lease</t>
  </si>
  <si>
    <t>With balloon</t>
  </si>
  <si>
    <t>Monthly finance rental (Ex. VAT)</t>
  </si>
  <si>
    <t>Initial finance rental (Ex. VAT)</t>
  </si>
  <si>
    <t>Final Balloon Payment</t>
  </si>
  <si>
    <t>Percentage of sales proceeds to customer</t>
  </si>
  <si>
    <t>Total Cash Price</t>
  </si>
  <si>
    <t>Customer Quote – Finance Lease</t>
  </si>
  <si>
    <t xml:space="preserve"> Terminal pause with 9 down </t>
  </si>
  <si>
    <t>Holding cost - formula - 1</t>
  </si>
  <si>
    <t>Total monthly holding cost</t>
  </si>
  <si>
    <t>Advance for Holding Cost (Retrived From OTR Screen)</t>
  </si>
  <si>
    <t>Monthly finance cost</t>
  </si>
  <si>
    <t>Monthly maintenance cost</t>
  </si>
  <si>
    <t>CAP Residual value (Inc. VAT)</t>
  </si>
  <si>
    <t>Residual value used (Inc. VAT)</t>
  </si>
  <si>
    <t>Maintenance value used(Ex. VAT)</t>
  </si>
  <si>
    <t>CAP maintenance value (Ex. VAT)</t>
  </si>
  <si>
    <t>Monthly Interest (total/12)</t>
  </si>
  <si>
    <t>Monthly Mintenance</t>
  </si>
  <si>
    <t>Finance Cost</t>
  </si>
  <si>
    <t>Step 1 (Residual/(1+r)^(n+1) ))  = X</t>
  </si>
  <si>
    <t>Step 2 (Advance - (Residual/(1+r)^(n+1) )))  Y</t>
  </si>
  <si>
    <t>Step 3 ((1-1/(1+r)^n )/r)  Z</t>
  </si>
  <si>
    <t>Step 4 (Finance Cost)</t>
  </si>
  <si>
    <t>Holding Cost (Monthly)
Finance Cost + Maintenance Cost</t>
  </si>
  <si>
    <t>Target Holding cost</t>
  </si>
  <si>
    <t>Subsequence rental</t>
  </si>
  <si>
    <t>Step 1 (Residual/(1+r)^(n+1) ))</t>
  </si>
  <si>
    <t>Step 2 (Advance - (Residual/(1+r)^(n+1) )))</t>
  </si>
  <si>
    <t>Step 3 ((1-1/(1+r)^n )/r)</t>
  </si>
  <si>
    <t xml:space="preserve">Otr   </t>
  </si>
  <si>
    <t>Select Caste</t>
  </si>
  <si>
    <t>Referrer commission (Ex. VAT)</t>
  </si>
  <si>
    <t xml:space="preserve">           </t>
  </si>
  <si>
    <t xml:space="preserve">Minimum Margin </t>
  </si>
  <si>
    <t xml:space="preserve">Margin Required </t>
  </si>
  <si>
    <t>OTR Calculation</t>
  </si>
  <si>
    <t xml:space="preserve">Default Broker Margin </t>
  </si>
  <si>
    <t>RFL included?</t>
  </si>
  <si>
    <t>YES</t>
  </si>
  <si>
    <t>NO</t>
  </si>
  <si>
    <t>0</t>
  </si>
  <si>
    <t>50</t>
  </si>
  <si>
    <t>A1 Credit</t>
  </si>
  <si>
    <t>500</t>
  </si>
  <si>
    <t>60</t>
  </si>
  <si>
    <t>6000</t>
  </si>
  <si>
    <t>12</t>
  </si>
  <si>
    <t>10</t>
  </si>
  <si>
    <t>2</t>
  </si>
  <si>
    <t>1</t>
  </si>
  <si>
    <t>5000</t>
  </si>
  <si>
    <t>1000</t>
  </si>
  <si>
    <t>0.00</t>
  </si>
  <si>
    <t>Limited Credit</t>
  </si>
  <si>
    <t>20</t>
  </si>
  <si>
    <t>22200.00</t>
  </si>
  <si>
    <t>33</t>
  </si>
  <si>
    <t>200</t>
  </si>
  <si>
    <t>25480.00</t>
  </si>
  <si>
    <t>374.00</t>
  </si>
  <si>
    <t>382.00</t>
  </si>
  <si>
    <t>31.83</t>
  </si>
  <si>
    <t>17200.00</t>
  </si>
  <si>
    <t>Yes</t>
  </si>
  <si>
    <t>68397.10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</si>
</sst>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&quot;TRUE&quot;;&quot;TRUE&quot;;&quot;FALSE&quot;"/>
    <numFmt numFmtId="165" formatCode="\£#,##0.00"/>
    <numFmt numFmtId="166" formatCode="[$-409]m/d/yyyy"/>
    <numFmt numFmtId="167" formatCode="_(* #,##0.00_);_(* \(#,##0.00\);_(* \-??_);_(@_)"/>
    <numFmt numFmtId="168" formatCode="_(* #,##0_);_(* \(#,##0\);_(* \-??_);_(@_)"/>
    <numFmt numFmtId="169" formatCode="\£#,##0.00000"/>
    <numFmt numFmtId="170" formatCode="\£#,##0.0000"/>
    <numFmt numFmtId="171" formatCode="0.0000%"/>
    <numFmt numFmtId="172" formatCode="#,##0.0000000"/>
    <numFmt numFmtId="173" formatCode="#,##0.000000000"/>
    <numFmt numFmtId="174" formatCode="#,##0.0"/>
    <numFmt numFmtId="175" formatCode="0.0000000000000"/>
    <numFmt numFmtId="176" formatCode="0.0000"/>
    <numFmt numFmtId="177" formatCode="0.000%"/>
    <numFmt numFmtId="178" formatCode="#,##0.00000"/>
    <numFmt numFmtId="179" formatCode="#,##0.000"/>
    <numFmt numFmtId="180" formatCode="#,##0.0000000000"/>
    <numFmt numFmtId="181" formatCode="#,##0.0000"/>
  </numFmts>
  <fonts count="33">
    <font>
      <sz val="11"/>
      <color rgb="FF000000"/>
      <name val="Arial"/>
      <charset val="1"/>
    </font>
    <font>
      <b/>
      <sz val="11"/>
      <color rgb="FF000000"/>
      <name val="Arial"/>
      <charset val="1"/>
    </font>
    <font>
      <sz val="14"/>
      <color rgb="FF000000"/>
      <name val="Calibri"/>
      <charset val="1"/>
    </font>
    <font>
      <b/>
      <sz val="32"/>
      <color rgb="FFFFFFFF"/>
      <name val="Calibri"/>
      <charset val="1"/>
    </font>
    <font>
      <b/>
      <sz val="11"/>
      <color rgb="FFC9211E"/>
      <name val="Arial"/>
      <charset val="1"/>
    </font>
    <font>
      <b/>
      <sz val="14"/>
      <color rgb="FFC9211E"/>
      <name val="Calibri"/>
      <charset val="1"/>
    </font>
    <font>
      <sz val="11"/>
      <color rgb="FF000000"/>
      <name val="Calibri"/>
      <charset val="1"/>
    </font>
    <font>
      <b/>
      <sz val="9"/>
      <color rgb="FF000000"/>
      <name val="Arial"/>
      <charset val="1"/>
    </font>
    <font>
      <b/>
      <sz val="18"/>
      <color rgb="FF000000"/>
      <name val="Arial"/>
      <charset val="1"/>
    </font>
    <font>
      <b/>
      <sz val="36"/>
      <color rgb="FFFFFFFF"/>
      <name val="Calibri"/>
      <charset val="1"/>
    </font>
    <font>
      <b/>
      <sz val="18"/>
      <color rgb="FF000000"/>
      <name val="Calibri"/>
      <charset val="1"/>
    </font>
    <font>
      <sz val="14"/>
      <color rgb="FF000000"/>
      <name val="Calibri2"/>
      <charset val="1"/>
    </font>
    <font>
      <b/>
      <sz val="14"/>
      <color rgb="FF000000"/>
      <name val="Calibri"/>
      <charset val="1"/>
    </font>
    <font>
      <b/>
      <sz val="12"/>
      <color rgb="FF000000"/>
      <name val="Arial"/>
      <charset val="1"/>
    </font>
    <font>
      <b/>
      <u/>
      <sz val="14"/>
      <color rgb="FFFFFFFF"/>
      <name val="Calibri"/>
      <charset val="1"/>
    </font>
    <font>
      <b/>
      <sz val="14"/>
      <color rgb="FF000000"/>
      <name val="Calibri2"/>
      <charset val="1"/>
    </font>
    <font>
      <b/>
      <sz val="14"/>
      <color rgb="FFFFFFFF"/>
      <name val="Calibri"/>
      <charset val="1"/>
    </font>
    <font>
      <b/>
      <sz val="16"/>
      <color rgb="FFFFFFFF"/>
      <name val="Calibri"/>
      <charset val="1"/>
    </font>
    <font>
      <b/>
      <sz val="14"/>
      <color rgb="FFC00000"/>
      <name val="Calibri"/>
      <charset val="1"/>
    </font>
    <font>
      <b/>
      <u/>
      <sz val="14"/>
      <color rgb="FF000000"/>
      <name val="Calibri"/>
      <charset val="1"/>
    </font>
    <font>
      <b/>
      <sz val="16"/>
      <color rgb="FF000000"/>
      <name val="Calibri"/>
      <charset val="1"/>
    </font>
    <font>
      <sz val="16"/>
      <color rgb="FF000000"/>
      <name val="Calibri"/>
      <charset val="1"/>
    </font>
    <font>
      <b/>
      <u/>
      <sz val="16"/>
      <color rgb="FF000000"/>
      <name val="Calibri"/>
      <charset val="1"/>
    </font>
    <font>
      <b/>
      <sz val="16"/>
      <color rgb="FFFF0000"/>
      <name val="Calibri"/>
      <charset val="1"/>
    </font>
    <font>
      <i/>
      <sz val="12"/>
      <color rgb="FFBFBFBF"/>
      <name val="Calibri"/>
      <charset val="1"/>
    </font>
    <font>
      <b/>
      <sz val="14"/>
      <color rgb="FFFF0000"/>
      <name val="Calibri"/>
      <charset val="1"/>
    </font>
    <font>
      <sz val="14"/>
      <color rgb="FFFF0000"/>
      <name val="Calibri"/>
      <charset val="1"/>
    </font>
    <font>
      <sz val="11"/>
      <color rgb="FFFF0000"/>
      <name val="Calibri"/>
      <charset val="1"/>
    </font>
    <font>
      <sz val="11"/>
      <color rgb="FF7E3794"/>
      <name val="Inconsolata"/>
      <charset val="1"/>
    </font>
    <font>
      <strike/>
      <sz val="14"/>
      <color rgb="FF000000"/>
      <name val="Calibri"/>
      <charset val="1"/>
    </font>
    <font>
      <b/>
      <u/>
      <sz val="16"/>
      <color rgb="FFFFFFFF"/>
      <name val="Calibri"/>
      <charset val="1"/>
    </font>
    <font>
      <sz val="14"/>
      <color rgb="FFC9211E"/>
      <name val="Calibri"/>
      <charset val="1"/>
    </font>
    <font>
      <sz val="11"/>
      <color rgb="FF000000"/>
      <name val="Arial"/>
      <charset val="1"/>
    </font>
  </fonts>
  <fills count="21">
    <fill>
      <patternFill patternType="none"/>
    </fill>
    <fill>
      <patternFill patternType="gray125"/>
    </fill>
    <fill>
      <patternFill patternType="solid">
        <fgColor rgb="FFC9211E"/>
        <bgColor rgb="FFC00000"/>
      </patternFill>
    </fill>
    <fill>
      <patternFill patternType="solid">
        <fgColor rgb="FFFFFFD7"/>
        <bgColor rgb="FFFFFFFF"/>
      </patternFill>
    </fill>
    <fill>
      <patternFill patternType="solid">
        <fgColor rgb="FF81D41A"/>
        <bgColor rgb="FF70AD47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D7"/>
      </patternFill>
    </fill>
    <fill>
      <patternFill patternType="solid">
        <fgColor rgb="FFC00000"/>
        <bgColor rgb="FFC9211E"/>
      </patternFill>
    </fill>
    <fill>
      <patternFill patternType="solid">
        <fgColor rgb="FF70AD47"/>
        <bgColor rgb="FF81D41A"/>
      </patternFill>
    </fill>
    <fill>
      <patternFill patternType="solid">
        <fgColor rgb="FFE7E6E6"/>
        <bgColor rgb="FFD9D9D9"/>
      </patternFill>
    </fill>
    <fill>
      <patternFill patternType="solid">
        <fgColor rgb="FF000000"/>
        <bgColor rgb="FF003300"/>
      </patternFill>
    </fill>
    <fill>
      <patternFill patternType="solid">
        <fgColor rgb="FFA6A6A6"/>
        <bgColor rgb="FFA5A5A5"/>
      </patternFill>
    </fill>
    <fill>
      <patternFill patternType="solid">
        <fgColor rgb="FFBFBFBF"/>
        <bgColor rgb="FFD0CECE"/>
      </patternFill>
    </fill>
    <fill>
      <patternFill patternType="solid">
        <fgColor rgb="FFA9D18E"/>
        <bgColor rgb="FFA8D08D"/>
      </patternFill>
    </fill>
    <fill>
      <patternFill patternType="solid">
        <fgColor rgb="FFFFC000"/>
        <bgColor rgb="FFFF9900"/>
      </patternFill>
    </fill>
    <fill>
      <patternFill patternType="solid">
        <fgColor rgb="FF2A6099"/>
        <bgColor rgb="FF666699"/>
      </patternFill>
    </fill>
    <fill>
      <patternFill patternType="solid">
        <fgColor rgb="FFA8D08D"/>
        <bgColor rgb="FFA9D18E"/>
      </patternFill>
    </fill>
    <fill>
      <patternFill patternType="solid">
        <fgColor rgb="FFAFD095"/>
        <bgColor rgb="FFA9D18E"/>
      </patternFill>
    </fill>
    <fill>
      <patternFill patternType="solid">
        <fgColor rgb="FFFFEBEB"/>
        <bgColor rgb="FFE7E6E6"/>
      </patternFill>
    </fill>
    <fill>
      <patternFill patternType="solid">
        <fgColor rgb="FFD0CECE"/>
        <bgColor rgb="FFD8D8D8"/>
      </patternFill>
    </fill>
    <fill>
      <patternFill patternType="solid">
        <fgColor rgb="FFA5A5A5"/>
        <bgColor rgb="FFA6A6A6"/>
      </patternFill>
    </fill>
  </fills>
  <borders count="5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ck">
        <color rgb="FFFF0000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auto="1"/>
      </left>
      <right/>
      <top/>
      <bottom style="medium">
        <color rgb="FFD9D9D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medium">
        <color auto="1"/>
      </right>
      <top/>
      <bottom style="thin">
        <color rgb="FFFF0000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ck">
        <color rgb="FFFF000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rgb="FFD8D8D8"/>
      </top>
      <bottom/>
      <diagonal/>
    </border>
    <border>
      <left style="medium">
        <color auto="1"/>
      </left>
      <right/>
      <top style="medium">
        <color rgb="FFD8D8D8"/>
      </top>
      <bottom/>
      <diagonal/>
    </border>
    <border>
      <left/>
      <right style="medium">
        <color rgb="FFD8D8D8"/>
      </right>
      <top style="medium">
        <color rgb="FFD8D8D8"/>
      </top>
      <bottom/>
      <diagonal/>
    </border>
    <border>
      <left style="medium">
        <color rgb="FFD8D8D8"/>
      </left>
      <right style="medium">
        <color rgb="FFD8D8D8"/>
      </right>
      <top style="medium">
        <color rgb="FFD8D8D8"/>
      </top>
      <bottom/>
      <diagonal/>
    </border>
    <border>
      <left style="medium">
        <color auto="1"/>
      </left>
      <right/>
      <top style="thin">
        <color auto="1"/>
      </top>
      <bottom style="medium">
        <color rgb="FFD8D8D8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medium">
        <color auto="1"/>
      </left>
      <right/>
      <top/>
      <bottom style="thin">
        <color rgb="FFD8D8D8"/>
      </bottom>
      <diagonal/>
    </border>
    <border>
      <left/>
      <right/>
      <top/>
      <bottom style="thin">
        <color rgb="FFD8D8D8"/>
      </bottom>
      <diagonal/>
    </border>
    <border>
      <left/>
      <right style="medium">
        <color auto="1"/>
      </right>
      <top/>
      <bottom style="thin">
        <color rgb="FFD8D8D8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7" fontId="32" fillId="0" borderId="0" applyBorder="0" applyProtection="0"/>
    <xf numFmtId="9" fontId="6" fillId="0" borderId="0" applyBorder="0" applyProtection="0"/>
  </cellStyleXfs>
  <cellXfs count="421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65" fontId="2" fillId="0" borderId="0" xfId="0" applyNumberFormat="1" applyFont="1"/>
    <xf numFmtId="0" fontId="4" fillId="3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 wrapText="1"/>
    </xf>
    <xf numFmtId="0" fontId="5" fillId="3" borderId="1" xfId="0" applyFont="1" applyFill="1" applyBorder="1" applyAlignment="1">
      <alignment horizontal="center"/>
    </xf>
    <xf numFmtId="9" fontId="6" fillId="0" borderId="0" xfId="2" applyBorder="1" applyProtection="1"/>
    <xf numFmtId="0" fontId="2" fillId="0" borderId="1" xfId="0" applyFont="1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4" borderId="1" xfId="0" applyFill="1" applyBorder="1" applyAlignment="1">
      <alignment wrapText="1"/>
    </xf>
    <xf numFmtId="0" fontId="2" fillId="5" borderId="1" xfId="0" applyFont="1" applyFill="1" applyBorder="1"/>
    <xf numFmtId="0" fontId="7" fillId="4" borderId="1" xfId="0" applyFont="1" applyFill="1" applyBorder="1" applyAlignment="1">
      <alignment wrapText="1"/>
    </xf>
    <xf numFmtId="165" fontId="2" fillId="5" borderId="2" xfId="0" applyNumberFormat="1" applyFont="1" applyFill="1" applyBorder="1"/>
    <xf numFmtId="165" fontId="2" fillId="0" borderId="2" xfId="0" applyNumberFormat="1" applyFont="1" applyBorder="1" applyAlignment="1">
      <alignment horizontal="center"/>
    </xf>
    <xf numFmtId="165" fontId="2" fillId="0" borderId="1" xfId="0" applyNumberFormat="1" applyFont="1" applyBorder="1"/>
    <xf numFmtId="165" fontId="2" fillId="6" borderId="1" xfId="0" applyNumberFormat="1" applyFont="1" applyFill="1" applyBorder="1"/>
    <xf numFmtId="165" fontId="0" fillId="6" borderId="0" xfId="0" applyNumberFormat="1" applyFill="1"/>
    <xf numFmtId="165" fontId="2" fillId="6" borderId="4" xfId="0" applyNumberFormat="1" applyFont="1" applyFill="1" applyBorder="1"/>
    <xf numFmtId="165" fontId="2" fillId="6" borderId="5" xfId="0" applyNumberFormat="1" applyFont="1" applyFill="1" applyBorder="1"/>
    <xf numFmtId="165" fontId="2" fillId="6" borderId="6" xfId="0" applyNumberFormat="1" applyFont="1" applyFill="1" applyBorder="1"/>
    <xf numFmtId="165" fontId="11" fillId="8" borderId="0" xfId="0" applyNumberFormat="1" applyFont="1" applyFill="1" applyAlignment="1">
      <alignment vertical="top" wrapText="1"/>
    </xf>
    <xf numFmtId="165" fontId="11" fillId="8" borderId="0" xfId="0" applyNumberFormat="1" applyFont="1" applyFill="1" applyAlignment="1">
      <alignment vertical="top"/>
    </xf>
    <xf numFmtId="165" fontId="2" fillId="6" borderId="8" xfId="0" applyNumberFormat="1" applyFont="1" applyFill="1" applyBorder="1"/>
    <xf numFmtId="165" fontId="2" fillId="6" borderId="0" xfId="0" applyNumberFormat="1" applyFont="1" applyFill="1"/>
    <xf numFmtId="165" fontId="2" fillId="6" borderId="9" xfId="0" applyNumberFormat="1" applyFont="1" applyFill="1" applyBorder="1"/>
    <xf numFmtId="165" fontId="11" fillId="9" borderId="0" xfId="0" applyNumberFormat="1" applyFont="1" applyFill="1" applyAlignment="1">
      <alignment vertical="top" wrapText="1"/>
    </xf>
    <xf numFmtId="165" fontId="2" fillId="9" borderId="0" xfId="0" applyNumberFormat="1" applyFont="1" applyFill="1" applyAlignment="1">
      <alignment vertical="top" wrapText="1"/>
    </xf>
    <xf numFmtId="165" fontId="12" fillId="6" borderId="8" xfId="0" applyNumberFormat="1" applyFont="1" applyFill="1" applyBorder="1"/>
    <xf numFmtId="165" fontId="2" fillId="5" borderId="0" xfId="0" applyNumberFormat="1" applyFont="1" applyFill="1" applyAlignment="1">
      <alignment vertical="top" wrapText="1"/>
    </xf>
    <xf numFmtId="165" fontId="12" fillId="6" borderId="0" xfId="0" applyNumberFormat="1" applyFont="1" applyFill="1" applyAlignment="1">
      <alignment horizontal="left"/>
    </xf>
    <xf numFmtId="165" fontId="2" fillId="6" borderId="0" xfId="0" applyNumberFormat="1" applyFont="1" applyFill="1" applyAlignment="1">
      <alignment horizontal="left"/>
    </xf>
    <xf numFmtId="165" fontId="2" fillId="5" borderId="3" xfId="0" applyNumberFormat="1" applyFont="1" applyFill="1" applyBorder="1"/>
    <xf numFmtId="165" fontId="2" fillId="5" borderId="0" xfId="0" applyNumberFormat="1" applyFont="1" applyFill="1" applyAlignment="1">
      <alignment vertical="center"/>
    </xf>
    <xf numFmtId="165" fontId="12" fillId="6" borderId="0" xfId="0" applyNumberFormat="1" applyFont="1" applyFill="1"/>
    <xf numFmtId="0" fontId="13" fillId="0" borderId="1" xfId="0" applyFont="1" applyBorder="1"/>
    <xf numFmtId="0" fontId="0" fillId="5" borderId="1" xfId="0" applyFill="1" applyBorder="1" applyAlignment="1">
      <alignment wrapText="1"/>
    </xf>
    <xf numFmtId="165" fontId="12" fillId="6" borderId="0" xfId="0" applyNumberFormat="1" applyFont="1" applyFill="1" applyAlignment="1">
      <alignment horizontal="left" wrapText="1"/>
    </xf>
    <xf numFmtId="165" fontId="12" fillId="6" borderId="9" xfId="0" applyNumberFormat="1" applyFont="1" applyFill="1" applyBorder="1"/>
    <xf numFmtId="165" fontId="14" fillId="10" borderId="10" xfId="0" applyNumberFormat="1" applyFont="1" applyFill="1" applyBorder="1"/>
    <xf numFmtId="0" fontId="0" fillId="5" borderId="1" xfId="0" applyFill="1" applyBorder="1"/>
    <xf numFmtId="165" fontId="15" fillId="8" borderId="0" xfId="0" applyNumberFormat="1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0" fillId="6" borderId="1" xfId="0" applyFill="1" applyBorder="1"/>
    <xf numFmtId="165" fontId="2" fillId="0" borderId="0" xfId="0" applyNumberFormat="1" applyFont="1" applyAlignment="1">
      <alignment wrapText="1"/>
    </xf>
    <xf numFmtId="165" fontId="2" fillId="6" borderId="11" xfId="0" applyNumberFormat="1" applyFont="1" applyFill="1" applyBorder="1"/>
    <xf numFmtId="165" fontId="2" fillId="6" borderId="12" xfId="0" applyNumberFormat="1" applyFont="1" applyFill="1" applyBorder="1"/>
    <xf numFmtId="165" fontId="12" fillId="6" borderId="12" xfId="0" applyNumberFormat="1" applyFont="1" applyFill="1" applyBorder="1"/>
    <xf numFmtId="165" fontId="12" fillId="6" borderId="10" xfId="0" applyNumberFormat="1" applyFont="1" applyFill="1" applyBorder="1"/>
    <xf numFmtId="165" fontId="2" fillId="6" borderId="8" xfId="0" applyNumberFormat="1" applyFont="1" applyFill="1" applyBorder="1" applyAlignment="1">
      <alignment horizontal="left"/>
    </xf>
    <xf numFmtId="10" fontId="2" fillId="5" borderId="3" xfId="2" applyNumberFormat="1" applyFont="1" applyFill="1" applyBorder="1" applyProtection="1"/>
    <xf numFmtId="0" fontId="2" fillId="0" borderId="0" xfId="0" applyFont="1"/>
    <xf numFmtId="0" fontId="2" fillId="5" borderId="0" xfId="0" applyFont="1" applyFill="1"/>
    <xf numFmtId="165" fontId="2" fillId="6" borderId="10" xfId="0" applyNumberFormat="1" applyFont="1" applyFill="1" applyBorder="1"/>
    <xf numFmtId="165" fontId="12" fillId="6" borderId="13" xfId="0" applyNumberFormat="1" applyFont="1" applyFill="1" applyBorder="1"/>
    <xf numFmtId="165" fontId="2" fillId="6" borderId="14" xfId="0" applyNumberFormat="1" applyFont="1" applyFill="1" applyBorder="1"/>
    <xf numFmtId="165" fontId="2" fillId="6" borderId="15" xfId="0" applyNumberFormat="1" applyFont="1" applyFill="1" applyBorder="1"/>
    <xf numFmtId="165" fontId="2" fillId="6" borderId="16" xfId="0" applyNumberFormat="1" applyFont="1" applyFill="1" applyBorder="1"/>
    <xf numFmtId="165" fontId="18" fillId="6" borderId="18" xfId="0" applyNumberFormat="1" applyFont="1" applyFill="1" applyBorder="1" applyAlignment="1">
      <alignment horizontal="center" vertical="center"/>
    </xf>
    <xf numFmtId="165" fontId="0" fillId="6" borderId="5" xfId="0" applyNumberFormat="1" applyFill="1" applyBorder="1"/>
    <xf numFmtId="165" fontId="2" fillId="11" borderId="8" xfId="0" applyNumberFormat="1" applyFont="1" applyFill="1" applyBorder="1"/>
    <xf numFmtId="165" fontId="2" fillId="12" borderId="9" xfId="0" applyNumberFormat="1" applyFont="1" applyFill="1" applyBorder="1"/>
    <xf numFmtId="165" fontId="2" fillId="12" borderId="4" xfId="0" applyNumberFormat="1" applyFont="1" applyFill="1" applyBorder="1"/>
    <xf numFmtId="10" fontId="2" fillId="12" borderId="6" xfId="2" applyNumberFormat="1" applyFont="1" applyFill="1" applyBorder="1" applyProtection="1"/>
    <xf numFmtId="165" fontId="2" fillId="12" borderId="8" xfId="0" applyNumberFormat="1" applyFont="1" applyFill="1" applyBorder="1"/>
    <xf numFmtId="10" fontId="2" fillId="12" borderId="9" xfId="2" applyNumberFormat="1" applyFont="1" applyFill="1" applyBorder="1" applyProtection="1"/>
    <xf numFmtId="165" fontId="2" fillId="12" borderId="11" xfId="0" applyNumberFormat="1" applyFont="1" applyFill="1" applyBorder="1"/>
    <xf numFmtId="10" fontId="2" fillId="12" borderId="10" xfId="2" applyNumberFormat="1" applyFont="1" applyFill="1" applyBorder="1" applyProtection="1"/>
    <xf numFmtId="10" fontId="2" fillId="6" borderId="9" xfId="2" applyNumberFormat="1" applyFont="1" applyFill="1" applyBorder="1" applyProtection="1"/>
    <xf numFmtId="10" fontId="2" fillId="6" borderId="10" xfId="2" applyNumberFormat="1" applyFont="1" applyFill="1" applyBorder="1" applyProtection="1"/>
    <xf numFmtId="165" fontId="2" fillId="12" borderId="6" xfId="0" applyNumberFormat="1" applyFont="1" applyFill="1" applyBorder="1"/>
    <xf numFmtId="165" fontId="2" fillId="12" borderId="10" xfId="0" applyNumberFormat="1" applyFont="1" applyFill="1" applyBorder="1"/>
    <xf numFmtId="165" fontId="2" fillId="13" borderId="4" xfId="0" applyNumberFormat="1" applyFont="1" applyFill="1" applyBorder="1"/>
    <xf numFmtId="165" fontId="2" fillId="13" borderId="6" xfId="0" applyNumberFormat="1" applyFont="1" applyFill="1" applyBorder="1"/>
    <xf numFmtId="165" fontId="12" fillId="6" borderId="11" xfId="0" applyNumberFormat="1" applyFont="1" applyFill="1" applyBorder="1"/>
    <xf numFmtId="10" fontId="2" fillId="5" borderId="9" xfId="2" applyNumberFormat="1" applyFont="1" applyFill="1" applyBorder="1" applyProtection="1"/>
    <xf numFmtId="165" fontId="2" fillId="13" borderId="6" xfId="0" applyNumberFormat="1" applyFont="1" applyFill="1" applyBorder="1" applyAlignment="1">
      <alignment horizontal="right"/>
    </xf>
    <xf numFmtId="165" fontId="2" fillId="13" borderId="8" xfId="0" applyNumberFormat="1" applyFont="1" applyFill="1" applyBorder="1"/>
    <xf numFmtId="165" fontId="2" fillId="13" borderId="9" xfId="0" applyNumberFormat="1" applyFont="1" applyFill="1" applyBorder="1"/>
    <xf numFmtId="165" fontId="2" fillId="13" borderId="11" xfId="0" applyNumberFormat="1" applyFont="1" applyFill="1" applyBorder="1"/>
    <xf numFmtId="165" fontId="19" fillId="13" borderId="10" xfId="0" applyNumberFormat="1" applyFont="1" applyFill="1" applyBorder="1"/>
    <xf numFmtId="165" fontId="0" fillId="6" borderId="12" xfId="0" applyNumberFormat="1" applyFill="1" applyBorder="1"/>
    <xf numFmtId="165" fontId="9" fillId="7" borderId="19" xfId="0" applyNumberFormat="1" applyFont="1" applyFill="1" applyBorder="1" applyAlignment="1">
      <alignment horizontal="center" wrapText="1"/>
    </xf>
    <xf numFmtId="165" fontId="0" fillId="6" borderId="6" xfId="0" applyNumberFormat="1" applyFill="1" applyBorder="1"/>
    <xf numFmtId="165" fontId="0" fillId="6" borderId="9" xfId="0" applyNumberFormat="1" applyFill="1" applyBorder="1"/>
    <xf numFmtId="165" fontId="2" fillId="5" borderId="3" xfId="0" applyNumberFormat="1" applyFont="1" applyFill="1" applyBorder="1" applyAlignment="1">
      <alignment horizontal="left"/>
    </xf>
    <xf numFmtId="165" fontId="12" fillId="6" borderId="9" xfId="0" applyNumberFormat="1" applyFont="1" applyFill="1" applyBorder="1" applyAlignment="1">
      <alignment horizontal="left"/>
    </xf>
    <xf numFmtId="10" fontId="12" fillId="5" borderId="20" xfId="2" applyNumberFormat="1" applyFont="1" applyFill="1" applyBorder="1" applyAlignment="1" applyProtection="1">
      <alignment horizontal="left"/>
    </xf>
    <xf numFmtId="165" fontId="12" fillId="5" borderId="3" xfId="0" applyNumberFormat="1" applyFont="1" applyFill="1" applyBorder="1" applyAlignment="1">
      <alignment horizontal="left"/>
    </xf>
    <xf numFmtId="165" fontId="2" fillId="0" borderId="8" xfId="0" applyNumberFormat="1" applyFont="1" applyBorder="1" applyAlignment="1">
      <alignment horizontal="left"/>
    </xf>
    <xf numFmtId="165" fontId="12" fillId="6" borderId="8" xfId="0" applyNumberFormat="1" applyFont="1" applyFill="1" applyBorder="1" applyAlignment="1">
      <alignment horizontal="left"/>
    </xf>
    <xf numFmtId="165" fontId="0" fillId="6" borderId="8" xfId="0" applyNumberFormat="1" applyFill="1" applyBorder="1"/>
    <xf numFmtId="165" fontId="20" fillId="12" borderId="6" xfId="0" applyNumberFormat="1" applyFont="1" applyFill="1" applyBorder="1" applyAlignment="1">
      <alignment horizontal="center"/>
    </xf>
    <xf numFmtId="165" fontId="12" fillId="12" borderId="11" xfId="0" applyNumberFormat="1" applyFont="1" applyFill="1" applyBorder="1" applyAlignment="1">
      <alignment horizontal="right"/>
    </xf>
    <xf numFmtId="165" fontId="12" fillId="12" borderId="10" xfId="0" applyNumberFormat="1" applyFont="1" applyFill="1" applyBorder="1" applyAlignment="1">
      <alignment horizontal="right"/>
    </xf>
    <xf numFmtId="165" fontId="12" fillId="12" borderId="9" xfId="0" applyNumberFormat="1" applyFont="1" applyFill="1" applyBorder="1" applyAlignment="1">
      <alignment horizontal="right"/>
    </xf>
    <xf numFmtId="165" fontId="20" fillId="12" borderId="10" xfId="0" applyNumberFormat="1" applyFont="1" applyFill="1" applyBorder="1" applyAlignment="1">
      <alignment horizontal="right"/>
    </xf>
    <xf numFmtId="165" fontId="2" fillId="5" borderId="6" xfId="0" applyNumberFormat="1" applyFont="1" applyFill="1" applyBorder="1"/>
    <xf numFmtId="165" fontId="2" fillId="6" borderId="8" xfId="2" applyNumberFormat="1" applyFont="1" applyFill="1" applyBorder="1" applyProtection="1"/>
    <xf numFmtId="4" fontId="6" fillId="0" borderId="0" xfId="2" applyNumberFormat="1" applyBorder="1" applyProtection="1"/>
    <xf numFmtId="165" fontId="6" fillId="0" borderId="0" xfId="2" applyNumberFormat="1" applyBorder="1" applyProtection="1"/>
    <xf numFmtId="165" fontId="2" fillId="6" borderId="9" xfId="2" applyNumberFormat="1" applyFont="1" applyFill="1" applyBorder="1" applyProtection="1"/>
    <xf numFmtId="165" fontId="2" fillId="5" borderId="3" xfId="2" applyNumberFormat="1" applyFont="1" applyFill="1" applyBorder="1" applyProtection="1"/>
    <xf numFmtId="165" fontId="21" fillId="11" borderId="8" xfId="0" applyNumberFormat="1" applyFont="1" applyFill="1" applyBorder="1"/>
    <xf numFmtId="165" fontId="21" fillId="11" borderId="0" xfId="0" applyNumberFormat="1" applyFont="1" applyFill="1"/>
    <xf numFmtId="165" fontId="20" fillId="11" borderId="0" xfId="0" applyNumberFormat="1" applyFont="1" applyFill="1" applyAlignment="1">
      <alignment horizontal="right"/>
    </xf>
    <xf numFmtId="165" fontId="20" fillId="11" borderId="9" xfId="0" applyNumberFormat="1" applyFont="1" applyFill="1" applyBorder="1" applyAlignment="1">
      <alignment horizontal="right"/>
    </xf>
    <xf numFmtId="165" fontId="2" fillId="6" borderId="21" xfId="0" applyNumberFormat="1" applyFont="1" applyFill="1" applyBorder="1"/>
    <xf numFmtId="165" fontId="2" fillId="6" borderId="22" xfId="0" applyNumberFormat="1" applyFont="1" applyFill="1" applyBorder="1"/>
    <xf numFmtId="165" fontId="12" fillId="6" borderId="22" xfId="0" applyNumberFormat="1" applyFont="1" applyFill="1" applyBorder="1" applyAlignment="1">
      <alignment horizontal="right"/>
    </xf>
    <xf numFmtId="165" fontId="12" fillId="6" borderId="23" xfId="0" applyNumberFormat="1" applyFont="1" applyFill="1" applyBorder="1" applyAlignment="1">
      <alignment horizontal="right"/>
    </xf>
    <xf numFmtId="165" fontId="12" fillId="6" borderId="0" xfId="0" applyNumberFormat="1" applyFont="1" applyFill="1" applyAlignment="1">
      <alignment horizontal="right"/>
    </xf>
    <xf numFmtId="165" fontId="12" fillId="6" borderId="9" xfId="0" applyNumberFormat="1" applyFont="1" applyFill="1" applyBorder="1" applyAlignment="1">
      <alignment horizontal="right"/>
    </xf>
    <xf numFmtId="165" fontId="12" fillId="6" borderId="24" xfId="0" applyNumberFormat="1" applyFont="1" applyFill="1" applyBorder="1"/>
    <xf numFmtId="165" fontId="2" fillId="5" borderId="3" xfId="0" applyNumberFormat="1" applyFont="1" applyFill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  <xf numFmtId="165" fontId="22" fillId="11" borderId="9" xfId="0" applyNumberFormat="1" applyFont="1" applyFill="1" applyBorder="1"/>
    <xf numFmtId="165" fontId="2" fillId="6" borderId="0" xfId="0" applyNumberFormat="1" applyFont="1" applyFill="1" applyAlignment="1">
      <alignment horizontal="right"/>
    </xf>
    <xf numFmtId="165" fontId="23" fillId="14" borderId="3" xfId="0" applyNumberFormat="1" applyFont="1" applyFill="1" applyBorder="1"/>
    <xf numFmtId="165" fontId="23" fillId="6" borderId="0" xfId="0" applyNumberFormat="1" applyFont="1" applyFill="1" applyAlignment="1">
      <alignment horizontal="right"/>
    </xf>
    <xf numFmtId="165" fontId="2" fillId="6" borderId="25" xfId="0" applyNumberFormat="1" applyFont="1" applyFill="1" applyBorder="1" applyAlignment="1">
      <alignment horizontal="center"/>
    </xf>
    <xf numFmtId="165" fontId="2" fillId="6" borderId="26" xfId="0" applyNumberFormat="1" applyFont="1" applyFill="1" applyBorder="1" applyAlignment="1">
      <alignment horizontal="center"/>
    </xf>
    <xf numFmtId="165" fontId="23" fillId="6" borderId="9" xfId="0" applyNumberFormat="1" applyFont="1" applyFill="1" applyBorder="1"/>
    <xf numFmtId="165" fontId="2" fillId="6" borderId="9" xfId="0" applyNumberFormat="1" applyFont="1" applyFill="1" applyBorder="1" applyAlignment="1">
      <alignment horizontal="left"/>
    </xf>
    <xf numFmtId="165" fontId="2" fillId="6" borderId="6" xfId="0" applyNumberFormat="1" applyFont="1" applyFill="1" applyBorder="1" applyAlignment="1">
      <alignment horizontal="right"/>
    </xf>
    <xf numFmtId="165" fontId="23" fillId="6" borderId="8" xfId="0" applyNumberFormat="1" applyFont="1" applyFill="1" applyBorder="1"/>
    <xf numFmtId="165" fontId="25" fillId="6" borderId="8" xfId="0" applyNumberFormat="1" applyFont="1" applyFill="1" applyBorder="1"/>
    <xf numFmtId="165" fontId="25" fillId="6" borderId="0" xfId="0" applyNumberFormat="1" applyFont="1" applyFill="1"/>
    <xf numFmtId="165" fontId="25" fillId="6" borderId="8" xfId="0" applyNumberFormat="1" applyFont="1" applyFill="1" applyBorder="1" applyAlignment="1">
      <alignment horizontal="left"/>
    </xf>
    <xf numFmtId="165" fontId="25" fillId="6" borderId="0" xfId="0" applyNumberFormat="1" applyFont="1" applyFill="1" applyAlignment="1">
      <alignment horizontal="left"/>
    </xf>
    <xf numFmtId="165" fontId="12" fillId="6" borderId="8" xfId="0" applyNumberFormat="1" applyFont="1" applyFill="1" applyBorder="1" applyAlignment="1">
      <alignment horizontal="left" vertical="top"/>
    </xf>
    <xf numFmtId="165" fontId="12" fillId="0" borderId="0" xfId="0" applyNumberFormat="1" applyFont="1" applyAlignment="1">
      <alignment horizontal="left" vertical="top"/>
    </xf>
    <xf numFmtId="165" fontId="2" fillId="6" borderId="0" xfId="0" applyNumberFormat="1" applyFont="1" applyFill="1" applyAlignment="1">
      <alignment vertical="top"/>
    </xf>
    <xf numFmtId="165" fontId="12" fillId="0" borderId="0" xfId="0" applyNumberFormat="1" applyFont="1" applyAlignment="1">
      <alignment horizontal="left"/>
    </xf>
    <xf numFmtId="165" fontId="12" fillId="0" borderId="8" xfId="0" applyNumberFormat="1" applyFont="1" applyBorder="1" applyAlignment="1">
      <alignment horizontal="left"/>
    </xf>
    <xf numFmtId="165" fontId="26" fillId="6" borderId="8" xfId="0" applyNumberFormat="1" applyFont="1" applyFill="1" applyBorder="1"/>
    <xf numFmtId="165" fontId="26" fillId="6" borderId="0" xfId="0" applyNumberFormat="1" applyFont="1" applyFill="1"/>
    <xf numFmtId="165" fontId="27" fillId="6" borderId="0" xfId="0" applyNumberFormat="1" applyFont="1" applyFill="1"/>
    <xf numFmtId="165" fontId="25" fillId="6" borderId="8" xfId="0" applyNumberFormat="1" applyFont="1" applyFill="1" applyBorder="1" applyAlignment="1">
      <alignment wrapText="1"/>
    </xf>
    <xf numFmtId="10" fontId="25" fillId="0" borderId="0" xfId="2" applyNumberFormat="1" applyFont="1" applyBorder="1" applyProtection="1"/>
    <xf numFmtId="165" fontId="26" fillId="6" borderId="0" xfId="0" applyNumberFormat="1" applyFont="1" applyFill="1" applyAlignment="1">
      <alignment horizontal="left"/>
    </xf>
    <xf numFmtId="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6" fillId="6" borderId="24" xfId="0" applyNumberFormat="1" applyFont="1" applyFill="1" applyBorder="1"/>
    <xf numFmtId="165" fontId="26" fillId="6" borderId="32" xfId="0" applyNumberFormat="1" applyFont="1" applyFill="1" applyBorder="1" applyAlignment="1">
      <alignment horizontal="left"/>
    </xf>
    <xf numFmtId="165" fontId="0" fillId="6" borderId="32" xfId="0" applyNumberFormat="1" applyFill="1" applyBorder="1"/>
    <xf numFmtId="165" fontId="2" fillId="6" borderId="33" xfId="0" applyNumberFormat="1" applyFont="1" applyFill="1" applyBorder="1"/>
    <xf numFmtId="10" fontId="12" fillId="5" borderId="3" xfId="2" applyNumberFormat="1" applyFont="1" applyFill="1" applyBorder="1" applyProtection="1"/>
    <xf numFmtId="165" fontId="2" fillId="6" borderId="24" xfId="0" applyNumberFormat="1" applyFont="1" applyFill="1" applyBorder="1"/>
    <xf numFmtId="165" fontId="2" fillId="6" borderId="32" xfId="0" applyNumberFormat="1" applyFont="1" applyFill="1" applyBorder="1" applyAlignment="1">
      <alignment horizontal="right"/>
    </xf>
    <xf numFmtId="165" fontId="2" fillId="6" borderId="32" xfId="0" applyNumberFormat="1" applyFont="1" applyFill="1" applyBorder="1"/>
    <xf numFmtId="10" fontId="12" fillId="6" borderId="0" xfId="2" applyNumberFormat="1" applyFont="1" applyFill="1" applyBorder="1" applyProtection="1"/>
    <xf numFmtId="10" fontId="12" fillId="0" borderId="0" xfId="2" applyNumberFormat="1" applyFont="1" applyBorder="1" applyProtection="1"/>
    <xf numFmtId="0" fontId="2" fillId="6" borderId="8" xfId="0" applyFont="1" applyFill="1" applyBorder="1"/>
    <xf numFmtId="0" fontId="2" fillId="6" borderId="0" xfId="0" applyFont="1" applyFill="1"/>
    <xf numFmtId="0" fontId="2" fillId="6" borderId="9" xfId="0" applyFont="1" applyFill="1" applyBorder="1"/>
    <xf numFmtId="0" fontId="2" fillId="8" borderId="0" xfId="0" applyFont="1" applyFill="1" applyAlignment="1">
      <alignment vertical="top" wrapText="1"/>
    </xf>
    <xf numFmtId="0" fontId="2" fillId="9" borderId="0" xfId="0" applyFont="1" applyFill="1" applyAlignment="1">
      <alignment vertical="top" wrapText="1"/>
    </xf>
    <xf numFmtId="0" fontId="12" fillId="6" borderId="8" xfId="0" applyFont="1" applyFill="1" applyBorder="1"/>
    <xf numFmtId="0" fontId="12" fillId="6" borderId="0" xfId="0" applyFont="1" applyFill="1"/>
    <xf numFmtId="0" fontId="2" fillId="5" borderId="3" xfId="0" applyFont="1" applyFill="1" applyBorder="1"/>
    <xf numFmtId="0" fontId="2" fillId="5" borderId="3" xfId="0" applyFont="1" applyFill="1" applyBorder="1" applyAlignment="1">
      <alignment horizontal="left"/>
    </xf>
    <xf numFmtId="165" fontId="2" fillId="8" borderId="0" xfId="0" applyNumberFormat="1" applyFont="1" applyFill="1" applyAlignment="1">
      <alignment vertical="top" wrapText="1"/>
    </xf>
    <xf numFmtId="165" fontId="2" fillId="0" borderId="3" xfId="0" applyNumberFormat="1" applyFont="1" applyBorder="1" applyAlignment="1">
      <alignment horizontal="left"/>
    </xf>
    <xf numFmtId="0" fontId="2" fillId="8" borderId="0" xfId="0" applyFont="1" applyFill="1" applyAlignment="1">
      <alignment vertical="top"/>
    </xf>
    <xf numFmtId="0" fontId="12" fillId="6" borderId="8" xfId="0" applyFont="1" applyFill="1" applyBorder="1" applyAlignment="1">
      <alignment horizontal="left" vertical="top"/>
    </xf>
    <xf numFmtId="0" fontId="12" fillId="0" borderId="0" xfId="0" applyFont="1" applyAlignment="1">
      <alignment horizontal="left" vertical="top"/>
    </xf>
    <xf numFmtId="0" fontId="2" fillId="6" borderId="0" xfId="0" applyFont="1" applyFill="1" applyAlignment="1">
      <alignment vertical="top"/>
    </xf>
    <xf numFmtId="0" fontId="12" fillId="6" borderId="0" xfId="0" applyFont="1" applyFill="1" applyAlignment="1">
      <alignment horizontal="left" vertical="top"/>
    </xf>
    <xf numFmtId="165" fontId="12" fillId="6" borderId="0" xfId="0" applyNumberFormat="1" applyFont="1" applyFill="1" applyAlignment="1">
      <alignment horizontal="left" vertical="top"/>
    </xf>
    <xf numFmtId="10" fontId="12" fillId="8" borderId="0" xfId="0" applyNumberFormat="1" applyFont="1" applyFill="1" applyAlignment="1">
      <alignment vertical="top" wrapText="1"/>
    </xf>
    <xf numFmtId="0" fontId="2" fillId="6" borderId="3" xfId="0" applyFont="1" applyFill="1" applyBorder="1" applyAlignment="1">
      <alignment horizontal="left"/>
    </xf>
    <xf numFmtId="0" fontId="2" fillId="6" borderId="8" xfId="0" applyFont="1" applyFill="1" applyBorder="1" applyAlignment="1">
      <alignment vertical="top"/>
    </xf>
    <xf numFmtId="0" fontId="12" fillId="6" borderId="8" xfId="0" applyFont="1" applyFill="1" applyBorder="1" applyAlignment="1">
      <alignment vertical="top"/>
    </xf>
    <xf numFmtId="0" fontId="12" fillId="6" borderId="0" xfId="0" applyFont="1" applyFill="1" applyAlignment="1">
      <alignment vertical="top"/>
    </xf>
    <xf numFmtId="165" fontId="2" fillId="0" borderId="0" xfId="0" applyNumberFormat="1" applyFont="1" applyAlignment="1">
      <alignment horizontal="left"/>
    </xf>
    <xf numFmtId="10" fontId="2" fillId="0" borderId="0" xfId="0" applyNumberFormat="1" applyFont="1"/>
    <xf numFmtId="0" fontId="2" fillId="6" borderId="9" xfId="0" applyFont="1" applyFill="1" applyBorder="1" applyAlignment="1">
      <alignment vertical="top"/>
    </xf>
    <xf numFmtId="165" fontId="16" fillId="10" borderId="0" xfId="0" applyNumberFormat="1" applyFont="1" applyFill="1"/>
    <xf numFmtId="0" fontId="2" fillId="6" borderId="35" xfId="0" applyFont="1" applyFill="1" applyBorder="1"/>
    <xf numFmtId="164" fontId="2" fillId="6" borderId="0" xfId="0" applyNumberFormat="1" applyFont="1" applyFill="1"/>
    <xf numFmtId="0" fontId="18" fillId="6" borderId="39" xfId="0" applyFont="1" applyFill="1" applyBorder="1" applyAlignment="1">
      <alignment horizontal="center" vertical="center"/>
    </xf>
    <xf numFmtId="165" fontId="2" fillId="4" borderId="0" xfId="0" applyNumberFormat="1" applyFont="1" applyFill="1"/>
    <xf numFmtId="165" fontId="2" fillId="5" borderId="0" xfId="0" applyNumberFormat="1" applyFont="1" applyFill="1"/>
    <xf numFmtId="0" fontId="12" fillId="5" borderId="20" xfId="2" applyNumberFormat="1" applyFont="1" applyFill="1" applyBorder="1" applyAlignment="1" applyProtection="1">
      <alignment horizontal="left"/>
    </xf>
    <xf numFmtId="4" fontId="25" fillId="6" borderId="8" xfId="0" applyNumberFormat="1" applyFont="1" applyFill="1" applyBorder="1" applyAlignment="1">
      <alignment horizontal="left"/>
    </xf>
    <xf numFmtId="0" fontId="0" fillId="0" borderId="0" xfId="0" applyAlignment="1">
      <alignment wrapText="1"/>
    </xf>
    <xf numFmtId="0" fontId="5" fillId="3" borderId="40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41" xfId="0" applyFont="1" applyFill="1" applyBorder="1" applyAlignment="1">
      <alignment horizontal="center" wrapText="1"/>
    </xf>
    <xf numFmtId="0" fontId="5" fillId="3" borderId="42" xfId="0" applyFont="1" applyFill="1" applyBorder="1" applyAlignment="1">
      <alignment horizontal="center"/>
    </xf>
    <xf numFmtId="0" fontId="4" fillId="3" borderId="43" xfId="0" applyFont="1" applyFill="1" applyBorder="1" applyAlignment="1">
      <alignment horizontal="center" wrapText="1"/>
    </xf>
    <xf numFmtId="0" fontId="0" fillId="0" borderId="40" xfId="0" applyBorder="1"/>
    <xf numFmtId="0" fontId="1" fillId="0" borderId="40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/>
    </xf>
    <xf numFmtId="0" fontId="2" fillId="0" borderId="40" xfId="0" applyFont="1" applyBorder="1"/>
    <xf numFmtId="0" fontId="2" fillId="0" borderId="41" xfId="0" applyFont="1" applyBorder="1"/>
    <xf numFmtId="0" fontId="12" fillId="6" borderId="8" xfId="0" applyFont="1" applyFill="1" applyBorder="1" applyAlignment="1">
      <alignment vertical="top" wrapText="1"/>
    </xf>
    <xf numFmtId="0" fontId="12" fillId="6" borderId="45" xfId="0" applyFont="1" applyFill="1" applyBorder="1"/>
    <xf numFmtId="0" fontId="2" fillId="6" borderId="46" xfId="0" applyFont="1" applyFill="1" applyBorder="1"/>
    <xf numFmtId="0" fontId="2" fillId="6" borderId="47" xfId="0" applyFont="1" applyFill="1" applyBorder="1"/>
    <xf numFmtId="2" fontId="2" fillId="0" borderId="0" xfId="0" applyNumberFormat="1" applyFont="1"/>
    <xf numFmtId="0" fontId="2" fillId="6" borderId="11" xfId="0" applyFont="1" applyFill="1" applyBorder="1"/>
    <xf numFmtId="0" fontId="2" fillId="6" borderId="12" xfId="0" applyFont="1" applyFill="1" applyBorder="1"/>
    <xf numFmtId="0" fontId="2" fillId="6" borderId="10" xfId="0" applyFont="1" applyFill="1" applyBorder="1"/>
    <xf numFmtId="0" fontId="2" fillId="6" borderId="4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2" fillId="12" borderId="4" xfId="0" applyFont="1" applyFill="1" applyBorder="1"/>
    <xf numFmtId="10" fontId="2" fillId="12" borderId="6" xfId="0" applyNumberFormat="1" applyFont="1" applyFill="1" applyBorder="1"/>
    <xf numFmtId="10" fontId="2" fillId="6" borderId="9" xfId="0" applyNumberFormat="1" applyFont="1" applyFill="1" applyBorder="1"/>
    <xf numFmtId="0" fontId="2" fillId="12" borderId="6" xfId="0" applyFont="1" applyFill="1" applyBorder="1"/>
    <xf numFmtId="0" fontId="2" fillId="12" borderId="8" xfId="0" applyFont="1" applyFill="1" applyBorder="1"/>
    <xf numFmtId="10" fontId="2" fillId="12" borderId="9" xfId="0" applyNumberFormat="1" applyFont="1" applyFill="1" applyBorder="1"/>
    <xf numFmtId="10" fontId="2" fillId="6" borderId="10" xfId="0" applyNumberFormat="1" applyFont="1" applyFill="1" applyBorder="1"/>
    <xf numFmtId="0" fontId="2" fillId="12" borderId="11" xfId="0" applyFont="1" applyFill="1" applyBorder="1"/>
    <xf numFmtId="0" fontId="2" fillId="16" borderId="4" xfId="0" applyFont="1" applyFill="1" applyBorder="1"/>
    <xf numFmtId="165" fontId="2" fillId="16" borderId="6" xfId="0" applyNumberFormat="1" applyFont="1" applyFill="1" applyBorder="1"/>
    <xf numFmtId="0" fontId="12" fillId="6" borderId="11" xfId="0" applyFont="1" applyFill="1" applyBorder="1"/>
    <xf numFmtId="4" fontId="2" fillId="17" borderId="0" xfId="0" applyNumberFormat="1" applyFont="1" applyFill="1"/>
    <xf numFmtId="0" fontId="2" fillId="16" borderId="8" xfId="0" applyFont="1" applyFill="1" applyBorder="1"/>
    <xf numFmtId="165" fontId="2" fillId="16" borderId="9" xfId="0" applyNumberFormat="1" applyFont="1" applyFill="1" applyBorder="1"/>
    <xf numFmtId="0" fontId="2" fillId="16" borderId="11" xfId="0" applyFont="1" applyFill="1" applyBorder="1"/>
    <xf numFmtId="165" fontId="19" fillId="16" borderId="10" xfId="0" applyNumberFormat="1" applyFont="1" applyFill="1" applyBorder="1"/>
    <xf numFmtId="165" fontId="12" fillId="5" borderId="20" xfId="0" applyNumberFormat="1" applyFont="1" applyFill="1" applyBorder="1" applyAlignment="1">
      <alignment horizontal="left"/>
    </xf>
    <xf numFmtId="0" fontId="18" fillId="6" borderId="11" xfId="0" applyFont="1" applyFill="1" applyBorder="1"/>
    <xf numFmtId="0" fontId="25" fillId="18" borderId="8" xfId="0" applyFont="1" applyFill="1" applyBorder="1"/>
    <xf numFmtId="0" fontId="25" fillId="18" borderId="0" xfId="0" applyFont="1" applyFill="1"/>
    <xf numFmtId="165" fontId="25" fillId="18" borderId="0" xfId="0" applyNumberFormat="1" applyFont="1" applyFill="1" applyAlignment="1">
      <alignment horizontal="left"/>
    </xf>
    <xf numFmtId="0" fontId="2" fillId="18" borderId="9" xfId="0" applyFont="1" applyFill="1" applyBorder="1"/>
    <xf numFmtId="165" fontId="25" fillId="18" borderId="8" xfId="0" applyNumberFormat="1" applyFont="1" applyFill="1" applyBorder="1" applyAlignment="1">
      <alignment horizontal="left"/>
    </xf>
    <xf numFmtId="168" fontId="25" fillId="18" borderId="0" xfId="1" applyNumberFormat="1" applyFont="1" applyFill="1" applyBorder="1" applyAlignment="1" applyProtection="1">
      <alignment horizontal="left"/>
    </xf>
    <xf numFmtId="0" fontId="2" fillId="18" borderId="0" xfId="0" applyFont="1" applyFill="1"/>
    <xf numFmtId="164" fontId="2" fillId="18" borderId="0" xfId="0" applyNumberFormat="1" applyFont="1" applyFill="1"/>
    <xf numFmtId="0" fontId="25" fillId="6" borderId="8" xfId="0" applyFont="1" applyFill="1" applyBorder="1"/>
    <xf numFmtId="0" fontId="25" fillId="6" borderId="0" xfId="0" applyFont="1" applyFill="1"/>
    <xf numFmtId="0" fontId="2" fillId="6" borderId="8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165" fontId="25" fillId="0" borderId="8" xfId="0" applyNumberFormat="1" applyFont="1" applyBorder="1" applyAlignment="1">
      <alignment horizontal="left"/>
    </xf>
    <xf numFmtId="165" fontId="25" fillId="0" borderId="0" xfId="0" applyNumberFormat="1" applyFont="1" applyAlignment="1">
      <alignment horizontal="left" vertical="top"/>
    </xf>
    <xf numFmtId="0" fontId="12" fillId="6" borderId="8" xfId="0" applyFont="1" applyFill="1" applyBorder="1" applyAlignment="1">
      <alignment horizontal="left"/>
    </xf>
    <xf numFmtId="0" fontId="12" fillId="6" borderId="0" xfId="0" applyFont="1" applyFill="1" applyAlignment="1">
      <alignment horizontal="right"/>
    </xf>
    <xf numFmtId="0" fontId="12" fillId="6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169" fontId="2" fillId="6" borderId="8" xfId="0" applyNumberFormat="1" applyFont="1" applyFill="1" applyBorder="1" applyAlignment="1">
      <alignment horizontal="left"/>
    </xf>
    <xf numFmtId="169" fontId="2" fillId="6" borderId="0" xfId="0" applyNumberFormat="1" applyFont="1" applyFill="1" applyAlignment="1">
      <alignment horizontal="left"/>
    </xf>
    <xf numFmtId="4" fontId="12" fillId="6" borderId="8" xfId="0" applyNumberFormat="1" applyFont="1" applyFill="1" applyBorder="1" applyAlignment="1">
      <alignment horizontal="left"/>
    </xf>
    <xf numFmtId="4" fontId="12" fillId="6" borderId="0" xfId="0" applyNumberFormat="1" applyFont="1" applyFill="1" applyAlignment="1">
      <alignment horizontal="left"/>
    </xf>
    <xf numFmtId="4" fontId="2" fillId="6" borderId="0" xfId="0" applyNumberFormat="1" applyFont="1" applyFill="1"/>
    <xf numFmtId="170" fontId="12" fillId="6" borderId="8" xfId="0" applyNumberFormat="1" applyFont="1" applyFill="1" applyBorder="1" applyAlignment="1">
      <alignment horizontal="left"/>
    </xf>
    <xf numFmtId="170" fontId="12" fillId="6" borderId="0" xfId="0" applyNumberFormat="1" applyFont="1" applyFill="1" applyAlignment="1">
      <alignment horizontal="left"/>
    </xf>
    <xf numFmtId="170" fontId="12" fillId="6" borderId="24" xfId="0" applyNumberFormat="1" applyFont="1" applyFill="1" applyBorder="1" applyAlignment="1">
      <alignment horizontal="left"/>
    </xf>
    <xf numFmtId="170" fontId="12" fillId="6" borderId="32" xfId="0" applyNumberFormat="1" applyFont="1" applyFill="1" applyBorder="1" applyAlignment="1">
      <alignment horizontal="left"/>
    </xf>
    <xf numFmtId="0" fontId="2" fillId="6" borderId="32" xfId="0" applyFont="1" applyFill="1" applyBorder="1"/>
    <xf numFmtId="0" fontId="2" fillId="6" borderId="33" xfId="0" applyFont="1" applyFill="1" applyBorder="1"/>
    <xf numFmtId="168" fontId="25" fillId="18" borderId="0" xfId="1" applyNumberFormat="1" applyFont="1" applyFill="1" applyBorder="1" applyAlignment="1" applyProtection="1">
      <alignment horizontal="right"/>
    </xf>
    <xf numFmtId="171" fontId="25" fillId="18" borderId="0" xfId="0" applyNumberFormat="1" applyFont="1" applyFill="1" applyAlignment="1">
      <alignment horizontal="left"/>
    </xf>
    <xf numFmtId="165" fontId="25" fillId="18" borderId="0" xfId="0" applyNumberFormat="1" applyFont="1" applyFill="1"/>
    <xf numFmtId="0" fontId="25" fillId="18" borderId="0" xfId="0" applyFont="1" applyFill="1" applyAlignment="1">
      <alignment horizontal="left"/>
    </xf>
    <xf numFmtId="171" fontId="2" fillId="5" borderId="3" xfId="2" applyNumberFormat="1" applyFont="1" applyFill="1" applyBorder="1" applyAlignment="1" applyProtection="1">
      <alignment horizontal="left"/>
    </xf>
    <xf numFmtId="169" fontId="12" fillId="6" borderId="8" xfId="0" applyNumberFormat="1" applyFont="1" applyFill="1" applyBorder="1" applyAlignment="1">
      <alignment horizontal="left"/>
    </xf>
    <xf numFmtId="170" fontId="2" fillId="6" borderId="32" xfId="0" applyNumberFormat="1" applyFont="1" applyFill="1" applyBorder="1" applyAlignment="1">
      <alignment horizontal="left"/>
    </xf>
    <xf numFmtId="170" fontId="2" fillId="6" borderId="0" xfId="0" applyNumberFormat="1" applyFont="1" applyFill="1" applyAlignment="1">
      <alignment horizontal="left"/>
    </xf>
    <xf numFmtId="10" fontId="2" fillId="5" borderId="3" xfId="2" applyNumberFormat="1" applyFont="1" applyFill="1" applyBorder="1" applyAlignment="1" applyProtection="1">
      <alignment horizontal="left"/>
    </xf>
    <xf numFmtId="0" fontId="12" fillId="19" borderId="0" xfId="0" applyFont="1" applyFill="1"/>
    <xf numFmtId="170" fontId="12" fillId="19" borderId="0" xfId="0" applyNumberFormat="1" applyFont="1" applyFill="1" applyAlignment="1">
      <alignment horizontal="left"/>
    </xf>
    <xf numFmtId="0" fontId="2" fillId="19" borderId="0" xfId="0" applyFont="1" applyFill="1"/>
    <xf numFmtId="0" fontId="2" fillId="19" borderId="9" xfId="0" applyFont="1" applyFill="1" applyBorder="1"/>
    <xf numFmtId="165" fontId="12" fillId="19" borderId="0" xfId="0" applyNumberFormat="1" applyFont="1" applyFill="1" applyAlignment="1">
      <alignment horizontal="left"/>
    </xf>
    <xf numFmtId="164" fontId="2" fillId="0" borderId="0" xfId="0" applyNumberFormat="1" applyFont="1"/>
    <xf numFmtId="4" fontId="2" fillId="6" borderId="9" xfId="0" applyNumberFormat="1" applyFont="1" applyFill="1" applyBorder="1"/>
    <xf numFmtId="10" fontId="6" fillId="0" borderId="0" xfId="2" applyNumberFormat="1" applyBorder="1" applyProtection="1"/>
    <xf numFmtId="165" fontId="28" fillId="6" borderId="0" xfId="0" applyNumberFormat="1" applyFont="1" applyFill="1" applyAlignment="1">
      <alignment horizontal="left"/>
    </xf>
    <xf numFmtId="0" fontId="29" fillId="12" borderId="4" xfId="0" applyFont="1" applyFill="1" applyBorder="1"/>
    <xf numFmtId="165" fontId="29" fillId="12" borderId="6" xfId="0" applyNumberFormat="1" applyFont="1" applyFill="1" applyBorder="1"/>
    <xf numFmtId="0" fontId="29" fillId="12" borderId="8" xfId="0" applyFont="1" applyFill="1" applyBorder="1"/>
    <xf numFmtId="165" fontId="29" fillId="12" borderId="9" xfId="0" applyNumberFormat="1" applyFont="1" applyFill="1" applyBorder="1"/>
    <xf numFmtId="0" fontId="29" fillId="6" borderId="11" xfId="0" applyFont="1" applyFill="1" applyBorder="1"/>
    <xf numFmtId="165" fontId="29" fillId="6" borderId="10" xfId="0" applyNumberFormat="1" applyFont="1" applyFill="1" applyBorder="1"/>
    <xf numFmtId="172" fontId="2" fillId="6" borderId="9" xfId="0" applyNumberFormat="1" applyFont="1" applyFill="1" applyBorder="1"/>
    <xf numFmtId="172" fontId="2" fillId="6" borderId="0" xfId="0" applyNumberFormat="1" applyFont="1" applyFill="1"/>
    <xf numFmtId="165" fontId="12" fillId="6" borderId="3" xfId="0" applyNumberFormat="1" applyFont="1" applyFill="1" applyBorder="1" applyAlignment="1">
      <alignment horizontal="left"/>
    </xf>
    <xf numFmtId="165" fontId="20" fillId="12" borderId="0" xfId="0" applyNumberFormat="1" applyFont="1" applyFill="1" applyAlignment="1">
      <alignment horizontal="right"/>
    </xf>
    <xf numFmtId="165" fontId="20" fillId="12" borderId="9" xfId="0" applyNumberFormat="1" applyFont="1" applyFill="1" applyBorder="1" applyAlignment="1">
      <alignment horizontal="right"/>
    </xf>
    <xf numFmtId="165" fontId="2" fillId="5" borderId="0" xfId="0" applyNumberFormat="1" applyFont="1" applyFill="1" applyAlignment="1">
      <alignment horizontal="right"/>
    </xf>
    <xf numFmtId="165" fontId="2" fillId="5" borderId="9" xfId="0" applyNumberFormat="1" applyFont="1" applyFill="1" applyBorder="1"/>
    <xf numFmtId="165" fontId="19" fillId="11" borderId="9" xfId="0" applyNumberFormat="1" applyFont="1" applyFill="1" applyBorder="1"/>
    <xf numFmtId="165" fontId="2" fillId="14" borderId="3" xfId="0" applyNumberFormat="1" applyFont="1" applyFill="1" applyBorder="1"/>
    <xf numFmtId="165" fontId="2" fillId="6" borderId="49" xfId="0" applyNumberFormat="1" applyFont="1" applyFill="1" applyBorder="1"/>
    <xf numFmtId="165" fontId="17" fillId="10" borderId="12" xfId="0" applyNumberFormat="1" applyFont="1" applyFill="1" applyBorder="1" applyAlignment="1">
      <alignment horizontal="right"/>
    </xf>
    <xf numFmtId="165" fontId="30" fillId="10" borderId="10" xfId="0" applyNumberFormat="1" applyFont="1" applyFill="1" applyBorder="1"/>
    <xf numFmtId="4" fontId="2" fillId="5" borderId="0" xfId="0" applyNumberFormat="1" applyFont="1" applyFill="1" applyAlignment="1">
      <alignment vertical="top" wrapText="1"/>
    </xf>
    <xf numFmtId="0" fontId="6" fillId="0" borderId="0" xfId="2" applyNumberFormat="1" applyBorder="1" applyProtection="1"/>
    <xf numFmtId="4" fontId="2" fillId="0" borderId="0" xfId="0" applyNumberFormat="1" applyFont="1"/>
    <xf numFmtId="173" fontId="2" fillId="0" borderId="0" xfId="0" applyNumberFormat="1" applyFont="1"/>
    <xf numFmtId="174" fontId="2" fillId="0" borderId="0" xfId="0" applyNumberFormat="1" applyFont="1"/>
    <xf numFmtId="0" fontId="2" fillId="5" borderId="0" xfId="0" applyFont="1" applyFill="1" applyAlignment="1">
      <alignment vertical="top" wrapText="1"/>
    </xf>
    <xf numFmtId="0" fontId="23" fillId="6" borderId="0" xfId="0" applyFont="1" applyFill="1"/>
    <xf numFmtId="165" fontId="23" fillId="0" borderId="0" xfId="0" applyNumberFormat="1" applyFont="1" applyAlignment="1">
      <alignment horizontal="left" vertical="top"/>
    </xf>
    <xf numFmtId="0" fontId="2" fillId="6" borderId="8" xfId="0" applyFont="1" applyFill="1" applyBorder="1" applyAlignment="1">
      <alignment horizontal="left"/>
    </xf>
    <xf numFmtId="0" fontId="0" fillId="5" borderId="0" xfId="0" applyFill="1"/>
    <xf numFmtId="0" fontId="2" fillId="0" borderId="0" xfId="0" applyFont="1" applyAlignment="1">
      <alignment wrapText="1"/>
    </xf>
    <xf numFmtId="2" fontId="2" fillId="6" borderId="0" xfId="0" applyNumberFormat="1" applyFont="1" applyFill="1"/>
    <xf numFmtId="2" fontId="2" fillId="6" borderId="9" xfId="0" applyNumberFormat="1" applyFont="1" applyFill="1" applyBorder="1"/>
    <xf numFmtId="175" fontId="2" fillId="6" borderId="0" xfId="0" applyNumberFormat="1" applyFont="1" applyFill="1"/>
    <xf numFmtId="176" fontId="2" fillId="6" borderId="0" xfId="0" applyNumberFormat="1" applyFont="1" applyFill="1"/>
    <xf numFmtId="9" fontId="2" fillId="6" borderId="0" xfId="0" applyNumberFormat="1" applyFont="1" applyFill="1"/>
    <xf numFmtId="177" fontId="2" fillId="6" borderId="0" xfId="0" applyNumberFormat="1" applyFont="1" applyFill="1"/>
    <xf numFmtId="9" fontId="2" fillId="6" borderId="10" xfId="0" applyNumberFormat="1" applyFont="1" applyFill="1" applyBorder="1"/>
    <xf numFmtId="165" fontId="31" fillId="6" borderId="0" xfId="0" applyNumberFormat="1" applyFont="1" applyFill="1"/>
    <xf numFmtId="178" fontId="2" fillId="6" borderId="0" xfId="0" applyNumberFormat="1" applyFont="1" applyFill="1"/>
    <xf numFmtId="179" fontId="2" fillId="6" borderId="0" xfId="0" applyNumberFormat="1" applyFont="1" applyFill="1"/>
    <xf numFmtId="180" fontId="2" fillId="6" borderId="9" xfId="0" applyNumberFormat="1" applyFont="1" applyFill="1" applyBorder="1"/>
    <xf numFmtId="181" fontId="2" fillId="6" borderId="0" xfId="0" applyNumberFormat="1" applyFont="1" applyFill="1"/>
    <xf numFmtId="0" fontId="20" fillId="12" borderId="0" xfId="0" applyFont="1" applyFill="1" applyAlignment="1">
      <alignment horizontal="right"/>
    </xf>
    <xf numFmtId="0" fontId="20" fillId="12" borderId="9" xfId="0" applyFont="1" applyFill="1" applyBorder="1" applyAlignment="1">
      <alignment horizontal="right"/>
    </xf>
    <xf numFmtId="165" fontId="19" fillId="20" borderId="9" xfId="0" applyNumberFormat="1" applyFont="1" applyFill="1" applyBorder="1"/>
    <xf numFmtId="0" fontId="2" fillId="6" borderId="25" xfId="0" applyFont="1" applyFill="1" applyBorder="1" applyAlignment="1">
      <alignment horizontal="center"/>
    </xf>
    <xf numFmtId="165" fontId="12" fillId="8" borderId="0" xfId="0" applyNumberFormat="1" applyFont="1" applyFill="1" applyAlignment="1">
      <alignment vertical="top" wrapText="1"/>
    </xf>
    <xf numFmtId="0" fontId="2" fillId="5" borderId="3" xfId="2" applyNumberFormat="1" applyFont="1" applyFill="1" applyBorder="1" applyProtection="1"/>
    <xf numFmtId="4" fontId="6" fillId="5" borderId="0" xfId="2" applyNumberFormat="1" applyFill="1" applyBorder="1" applyAlignment="1" applyProtection="1">
      <alignment horizontal="right"/>
    </xf>
    <xf numFmtId="4" fontId="2" fillId="5" borderId="3" xfId="2" applyNumberFormat="1" applyFont="1" applyFill="1" applyBorder="1" applyProtection="1"/>
    <xf numFmtId="4" fontId="19" fillId="20" borderId="9" xfId="0" applyNumberFormat="1" applyFont="1" applyFill="1" applyBorder="1"/>
    <xf numFmtId="2" fontId="0" fillId="0" borderId="0" xfId="0" applyNumberFormat="1"/>
    <xf numFmtId="10" fontId="2" fillId="5" borderId="0" xfId="0" applyNumberFormat="1" applyFont="1" applyFill="1"/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65" fontId="9" fillId="7" borderId="3" xfId="0" applyNumberFormat="1" applyFont="1" applyFill="1" applyBorder="1" applyAlignment="1">
      <alignment horizontal="center" wrapText="1"/>
    </xf>
    <xf numFmtId="165" fontId="10" fillId="6" borderId="7" xfId="0" applyNumberFormat="1" applyFont="1" applyFill="1" applyBorder="1" applyAlignment="1">
      <alignment horizontal="left"/>
    </xf>
    <xf numFmtId="165" fontId="2" fillId="5" borderId="3" xfId="0" applyNumberFormat="1" applyFont="1" applyFill="1" applyBorder="1" applyAlignment="1">
      <alignment horizontal="center"/>
    </xf>
    <xf numFmtId="165" fontId="16" fillId="7" borderId="0" xfId="0" applyNumberFormat="1" applyFont="1" applyFill="1" applyAlignment="1">
      <alignment horizontal="center"/>
    </xf>
    <xf numFmtId="165" fontId="12" fillId="6" borderId="0" xfId="0" applyNumberFormat="1" applyFont="1" applyFill="1" applyAlignment="1">
      <alignment horizontal="center"/>
    </xf>
    <xf numFmtId="10" fontId="2" fillId="5" borderId="3" xfId="2" applyNumberFormat="1" applyFont="1" applyFill="1" applyBorder="1" applyAlignment="1" applyProtection="1">
      <alignment horizontal="right"/>
    </xf>
    <xf numFmtId="165" fontId="17" fillId="7" borderId="8" xfId="0" applyNumberFormat="1" applyFont="1" applyFill="1" applyBorder="1" applyAlignment="1">
      <alignment horizontal="center" vertical="center"/>
    </xf>
    <xf numFmtId="165" fontId="17" fillId="7" borderId="0" xfId="0" applyNumberFormat="1" applyFont="1" applyFill="1" applyAlignment="1">
      <alignment horizontal="center"/>
    </xf>
    <xf numFmtId="165" fontId="18" fillId="6" borderId="17" xfId="0" applyNumberFormat="1" applyFont="1" applyFill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/>
    </xf>
    <xf numFmtId="165" fontId="9" fillId="7" borderId="19" xfId="0" applyNumberFormat="1" applyFont="1" applyFill="1" applyBorder="1" applyAlignment="1">
      <alignment horizontal="center" wrapText="1"/>
    </xf>
    <xf numFmtId="165" fontId="12" fillId="6" borderId="0" xfId="0" applyNumberFormat="1" applyFont="1" applyFill="1" applyAlignment="1">
      <alignment horizontal="left"/>
    </xf>
    <xf numFmtId="165" fontId="2" fillId="5" borderId="3" xfId="0" applyNumberFormat="1" applyFont="1" applyFill="1" applyBorder="1" applyAlignment="1">
      <alignment horizontal="left"/>
    </xf>
    <xf numFmtId="165" fontId="12" fillId="6" borderId="9" xfId="0" applyNumberFormat="1" applyFont="1" applyFill="1" applyBorder="1" applyAlignment="1">
      <alignment horizontal="left"/>
    </xf>
    <xf numFmtId="165" fontId="12" fillId="5" borderId="3" xfId="0" applyNumberFormat="1" applyFont="1" applyFill="1" applyBorder="1" applyAlignment="1">
      <alignment horizontal="left"/>
    </xf>
    <xf numFmtId="10" fontId="12" fillId="6" borderId="0" xfId="2" applyNumberFormat="1" applyFont="1" applyFill="1" applyBorder="1" applyAlignment="1" applyProtection="1">
      <alignment horizontal="left"/>
    </xf>
    <xf numFmtId="165" fontId="12" fillId="6" borderId="0" xfId="2" applyNumberFormat="1" applyFont="1" applyFill="1" applyBorder="1" applyAlignment="1" applyProtection="1">
      <alignment horizontal="left"/>
    </xf>
    <xf numFmtId="165" fontId="20" fillId="12" borderId="19" xfId="0" applyNumberFormat="1" applyFont="1" applyFill="1" applyBorder="1" applyAlignment="1">
      <alignment horizontal="center"/>
    </xf>
    <xf numFmtId="165" fontId="12" fillId="6" borderId="0" xfId="0" applyNumberFormat="1" applyFont="1" applyFill="1" applyAlignment="1">
      <alignment horizontal="right"/>
    </xf>
    <xf numFmtId="165" fontId="12" fillId="6" borderId="12" xfId="0" applyNumberFormat="1" applyFont="1" applyFill="1" applyBorder="1" applyAlignment="1">
      <alignment horizontal="right"/>
    </xf>
    <xf numFmtId="165" fontId="2" fillId="5" borderId="3" xfId="0" applyNumberFormat="1" applyFont="1" applyFill="1" applyBorder="1" applyAlignment="1">
      <alignment horizontal="right"/>
    </xf>
    <xf numFmtId="165" fontId="2" fillId="5" borderId="3" xfId="2" applyNumberFormat="1" applyFont="1" applyFill="1" applyBorder="1" applyAlignment="1" applyProtection="1">
      <alignment horizontal="right"/>
    </xf>
    <xf numFmtId="165" fontId="20" fillId="11" borderId="8" xfId="0" applyNumberFormat="1" applyFont="1" applyFill="1" applyBorder="1" applyAlignment="1">
      <alignment horizontal="right"/>
    </xf>
    <xf numFmtId="165" fontId="2" fillId="6" borderId="8" xfId="0" applyNumberFormat="1" applyFont="1" applyFill="1" applyBorder="1" applyAlignment="1">
      <alignment horizontal="right"/>
    </xf>
    <xf numFmtId="165" fontId="12" fillId="6" borderId="8" xfId="0" applyNumberFormat="1" applyFont="1" applyFill="1" applyBorder="1" applyAlignment="1">
      <alignment horizontal="left"/>
    </xf>
    <xf numFmtId="165" fontId="12" fillId="6" borderId="24" xfId="0" applyNumberFormat="1" applyFont="1" applyFill="1" applyBorder="1" applyAlignment="1">
      <alignment horizontal="left"/>
    </xf>
    <xf numFmtId="165" fontId="24" fillId="6" borderId="2" xfId="0" applyNumberFormat="1" applyFont="1" applyFill="1" applyBorder="1" applyAlignment="1">
      <alignment horizontal="left"/>
    </xf>
    <xf numFmtId="165" fontId="24" fillId="6" borderId="27" xfId="0" applyNumberFormat="1" applyFont="1" applyFill="1" applyBorder="1" applyAlignment="1">
      <alignment horizontal="left"/>
    </xf>
    <xf numFmtId="165" fontId="2" fillId="6" borderId="4" xfId="0" applyNumberFormat="1" applyFont="1" applyFill="1" applyBorder="1" applyAlignment="1">
      <alignment horizontal="right"/>
    </xf>
    <xf numFmtId="165" fontId="2" fillId="6" borderId="0" xfId="0" applyNumberFormat="1" applyFont="1" applyFill="1" applyAlignment="1">
      <alignment horizontal="left"/>
    </xf>
    <xf numFmtId="165" fontId="2" fillId="6" borderId="9" xfId="0" applyNumberFormat="1" applyFont="1" applyFill="1" applyBorder="1" applyAlignment="1">
      <alignment horizontal="left"/>
    </xf>
    <xf numFmtId="165" fontId="2" fillId="6" borderId="6" xfId="0" applyNumberFormat="1" applyFont="1" applyFill="1" applyBorder="1" applyAlignment="1">
      <alignment horizontal="right"/>
    </xf>
    <xf numFmtId="165" fontId="20" fillId="6" borderId="9" xfId="0" applyNumberFormat="1" applyFont="1" applyFill="1" applyBorder="1" applyAlignment="1">
      <alignment horizontal="right"/>
    </xf>
    <xf numFmtId="165" fontId="2" fillId="6" borderId="10" xfId="0" applyNumberFormat="1" applyFont="1" applyFill="1" applyBorder="1" applyAlignment="1">
      <alignment horizontal="right"/>
    </xf>
    <xf numFmtId="165" fontId="2" fillId="5" borderId="2" xfId="0" applyNumberFormat="1" applyFont="1" applyFill="1" applyBorder="1" applyAlignment="1">
      <alignment horizontal="right"/>
    </xf>
    <xf numFmtId="165" fontId="17" fillId="7" borderId="0" xfId="0" applyNumberFormat="1" applyFont="1" applyFill="1" applyAlignment="1">
      <alignment horizontal="center" vertical="center"/>
    </xf>
    <xf numFmtId="165" fontId="17" fillId="7" borderId="28" xfId="0" applyNumberFormat="1" applyFont="1" applyFill="1" applyBorder="1" applyAlignment="1">
      <alignment horizontal="center"/>
    </xf>
    <xf numFmtId="165" fontId="18" fillId="6" borderId="29" xfId="0" applyNumberFormat="1" applyFont="1" applyFill="1" applyBorder="1" applyAlignment="1">
      <alignment horizontal="center" vertical="center"/>
    </xf>
    <xf numFmtId="165" fontId="10" fillId="6" borderId="30" xfId="0" applyNumberFormat="1" applyFont="1" applyFill="1" applyBorder="1" applyAlignment="1">
      <alignment horizontal="left"/>
    </xf>
    <xf numFmtId="165" fontId="10" fillId="6" borderId="31" xfId="0" applyNumberFormat="1" applyFont="1" applyFill="1" applyBorder="1" applyAlignment="1">
      <alignment horizontal="left"/>
    </xf>
    <xf numFmtId="165" fontId="26" fillId="6" borderId="0" xfId="0" applyNumberFormat="1" applyFont="1" applyFill="1" applyAlignment="1">
      <alignment horizontal="left"/>
    </xf>
    <xf numFmtId="165" fontId="2" fillId="6" borderId="5" xfId="0" applyNumberFormat="1" applyFont="1" applyFill="1" applyBorder="1" applyAlignment="1">
      <alignment horizontal="left"/>
    </xf>
    <xf numFmtId="0" fontId="9" fillId="7" borderId="34" xfId="0" applyFont="1" applyFill="1" applyBorder="1" applyAlignment="1">
      <alignment horizontal="center" wrapText="1"/>
    </xf>
    <xf numFmtId="0" fontId="10" fillId="6" borderId="7" xfId="0" applyFont="1" applyFill="1" applyBorder="1" applyAlignment="1">
      <alignment horizontal="left"/>
    </xf>
    <xf numFmtId="0" fontId="2" fillId="5" borderId="3" xfId="0" applyFont="1" applyFill="1" applyBorder="1" applyAlignment="1">
      <alignment horizontal="left"/>
    </xf>
    <xf numFmtId="166" fontId="2" fillId="6" borderId="3" xfId="0" applyNumberFormat="1" applyFont="1" applyFill="1" applyBorder="1" applyAlignment="1">
      <alignment horizontal="left"/>
    </xf>
    <xf numFmtId="165" fontId="2" fillId="6" borderId="0" xfId="0" applyNumberFormat="1" applyFont="1" applyFill="1" applyAlignment="1">
      <alignment horizontal="right"/>
    </xf>
    <xf numFmtId="165" fontId="2" fillId="0" borderId="3" xfId="0" applyNumberFormat="1" applyFont="1" applyBorder="1" applyAlignment="1">
      <alignment horizontal="left"/>
    </xf>
    <xf numFmtId="0" fontId="0" fillId="0" borderId="0" xfId="0"/>
    <xf numFmtId="165" fontId="2" fillId="0" borderId="0" xfId="0" applyNumberFormat="1" applyFont="1" applyAlignment="1">
      <alignment horizontal="left"/>
    </xf>
    <xf numFmtId="0" fontId="16" fillId="7" borderId="0" xfId="0" applyFont="1" applyFill="1" applyAlignment="1">
      <alignment horizontal="center"/>
    </xf>
    <xf numFmtId="165" fontId="2" fillId="15" borderId="3" xfId="0" applyNumberFormat="1" applyFont="1" applyFill="1" applyBorder="1" applyAlignment="1">
      <alignment horizontal="left"/>
    </xf>
    <xf numFmtId="10" fontId="2" fillId="15" borderId="3" xfId="0" applyNumberFormat="1" applyFont="1" applyFill="1" applyBorder="1" applyAlignment="1">
      <alignment horizontal="left"/>
    </xf>
    <xf numFmtId="0" fontId="17" fillId="7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/>
    </xf>
    <xf numFmtId="0" fontId="18" fillId="6" borderId="38" xfId="0" applyFont="1" applyFill="1" applyBorder="1" applyAlignment="1">
      <alignment horizontal="center" vertical="center"/>
    </xf>
    <xf numFmtId="9" fontId="6" fillId="0" borderId="0" xfId="2" applyBorder="1" applyProtection="1"/>
    <xf numFmtId="0" fontId="3" fillId="2" borderId="0" xfId="0" applyFont="1" applyFill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165" fontId="2" fillId="0" borderId="9" xfId="0" applyNumberFormat="1" applyFont="1" applyBorder="1" applyAlignment="1">
      <alignment horizontal="left"/>
    </xf>
    <xf numFmtId="0" fontId="12" fillId="5" borderId="3" xfId="0" applyFont="1" applyFill="1" applyBorder="1" applyAlignment="1">
      <alignment horizontal="left"/>
    </xf>
    <xf numFmtId="10" fontId="12" fillId="5" borderId="3" xfId="0" applyNumberFormat="1" applyFont="1" applyFill="1" applyBorder="1" applyAlignment="1">
      <alignment horizontal="left"/>
    </xf>
    <xf numFmtId="0" fontId="10" fillId="6" borderId="30" xfId="0" applyFont="1" applyFill="1" applyBorder="1" applyAlignment="1">
      <alignment horizontal="left"/>
    </xf>
    <xf numFmtId="166" fontId="2" fillId="5" borderId="3" xfId="0" applyNumberFormat="1" applyFont="1" applyFill="1" applyBorder="1" applyAlignment="1">
      <alignment horizontal="left"/>
    </xf>
    <xf numFmtId="165" fontId="12" fillId="5" borderId="48" xfId="0" applyNumberFormat="1" applyFont="1" applyFill="1" applyBorder="1" applyAlignment="1">
      <alignment horizontal="left"/>
    </xf>
    <xf numFmtId="10" fontId="12" fillId="0" borderId="3" xfId="0" applyNumberFormat="1" applyFont="1" applyBorder="1" applyAlignment="1">
      <alignment horizontal="left"/>
    </xf>
    <xf numFmtId="10" fontId="2" fillId="5" borderId="3" xfId="0" applyNumberFormat="1" applyFont="1" applyFill="1" applyBorder="1" applyAlignment="1">
      <alignment horizontal="left"/>
    </xf>
    <xf numFmtId="165" fontId="12" fillId="6" borderId="0" xfId="0" applyNumberFormat="1" applyFont="1" applyFill="1" applyAlignment="1">
      <alignment horizontal="left" vertical="top"/>
    </xf>
    <xf numFmtId="165" fontId="2" fillId="5" borderId="3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left"/>
    </xf>
    <xf numFmtId="0" fontId="0" fillId="5" borderId="0" xfId="0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9" fillId="7" borderId="19" xfId="0" applyFont="1" applyFill="1" applyBorder="1" applyAlignment="1">
      <alignment horizontal="center" wrapText="1"/>
    </xf>
    <xf numFmtId="0" fontId="20" fillId="20" borderId="8" xfId="0" applyFont="1" applyFill="1" applyBorder="1" applyAlignment="1">
      <alignment horizontal="right"/>
    </xf>
    <xf numFmtId="0" fontId="2" fillId="6" borderId="8" xfId="0" applyFont="1" applyFill="1" applyBorder="1" applyAlignment="1">
      <alignment horizontal="right"/>
    </xf>
    <xf numFmtId="0" fontId="12" fillId="6" borderId="8" xfId="0" applyFont="1" applyFill="1" applyBorder="1" applyAlignment="1">
      <alignment horizontal="left"/>
    </xf>
    <xf numFmtId="0" fontId="24" fillId="6" borderId="2" xfId="0" applyFont="1" applyFill="1" applyBorder="1" applyAlignment="1">
      <alignment horizontal="left"/>
    </xf>
    <xf numFmtId="0" fontId="17" fillId="10" borderId="11" xfId="0" applyFont="1" applyFill="1" applyBorder="1" applyAlignment="1">
      <alignment horizontal="right"/>
    </xf>
    <xf numFmtId="165" fontId="20" fillId="12" borderId="0" xfId="0" applyNumberFormat="1" applyFont="1" applyFill="1" applyAlignment="1">
      <alignment horizontal="right"/>
    </xf>
    <xf numFmtId="165" fontId="2" fillId="5" borderId="0" xfId="0" applyNumberFormat="1" applyFont="1" applyFill="1" applyAlignment="1">
      <alignment horizontal="right"/>
    </xf>
    <xf numFmtId="0" fontId="2" fillId="5" borderId="0" xfId="2" applyNumberFormat="1" applyFont="1" applyFill="1" applyBorder="1" applyAlignment="1" applyProtection="1">
      <alignment horizontal="right"/>
    </xf>
    <xf numFmtId="165" fontId="2" fillId="5" borderId="0" xfId="2" applyNumberFormat="1" applyFont="1" applyFill="1" applyBorder="1" applyAlignment="1" applyProtection="1">
      <alignment horizontal="right"/>
    </xf>
    <xf numFmtId="165" fontId="17" fillId="10" borderId="11" xfId="0" applyNumberFormat="1" applyFont="1" applyFill="1" applyBorder="1" applyAlignment="1">
      <alignment horizontal="right"/>
    </xf>
    <xf numFmtId="4" fontId="6" fillId="0" borderId="0" xfId="2" applyNumberFormat="1" applyBorder="1" applyProtection="1"/>
    <xf numFmtId="4" fontId="2" fillId="5" borderId="3" xfId="2" applyNumberFormat="1" applyFont="1" applyFill="1" applyBorder="1" applyAlignment="1" applyProtection="1">
      <alignment horizontal="right"/>
    </xf>
    <xf numFmtId="0" fontId="0" fillId="5" borderId="0" xfId="0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7E3794"/>
      <rgbColor rgb="FFFFFFD7"/>
      <rgbColor rgb="FFE7E6E6"/>
      <rgbColor rgb="FF660066"/>
      <rgbColor rgb="FFFF8080"/>
      <rgbColor rgb="FF2A6099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9D18E"/>
      <rgbColor rgb="FFD9D9D9"/>
      <rgbColor rgb="FFFFEBEB"/>
      <rgbColor rgb="FFAFD095"/>
      <rgbColor rgb="FFFF99CC"/>
      <rgbColor rgb="FFA8D08D"/>
      <rgbColor rgb="FFD8D8D8"/>
      <rgbColor rgb="FF3366FF"/>
      <rgbColor rgb="FF33CCCC"/>
      <rgbColor rgb="FF81D41A"/>
      <rgbColor rgb="FFFFC000"/>
      <rgbColor rgb="FFFF9900"/>
      <rgbColor rgb="FFFF6600"/>
      <rgbColor rgb="FF666699"/>
      <rgbColor rgb="FFA5A5A5"/>
      <rgbColor rgb="FF003366"/>
      <rgbColor rgb="FF70AD47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theme/theme1.xml" Type="http://schemas.openxmlformats.org/officeDocument/2006/relationships/theme"/><Relationship Id="rId74" Target="styles.xml" Type="http://schemas.openxmlformats.org/officeDocument/2006/relationships/styles"/><Relationship Id="rId75" Target="sharedStrings.xml" Type="http://schemas.openxmlformats.org/officeDocument/2006/relationships/sharedStrings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="110" zoomScaleNormal="110" workbookViewId="0">
      <selection sqref="A1:B5"/>
    </sheetView>
  </sheetViews>
  <sheetFormatPr defaultColWidth="10.375" defaultRowHeight="14.25"/>
  <cols>
    <col min="1" max="1" customWidth="true" width="12.5"/>
    <col min="2" max="2" customWidth="true" width="37.5"/>
    <col min="3" max="3" customWidth="true" width="34.75"/>
  </cols>
  <sheetData>
    <row r="1" spans="1:2">
      <c r="A1" t="s" s="0">
        <v>0</v>
      </c>
      <c r="B1" t="s" s="0">
        <v>1</v>
      </c>
    </row>
    <row r="2" spans="1:2">
      <c r="A2" s="0">
        <v>0</v>
      </c>
      <c r="B2" s="0">
        <v>20</v>
      </c>
    </row>
    <row r="3" spans="1:2"/>
    <row r="4" spans="1:2">
      <c r="A4" t="s" s="0">
        <v>2</v>
      </c>
      <c r="B4" t="s" s="0">
        <v>3</v>
      </c>
    </row>
    <row r="5" spans="1:2">
      <c r="A5" s="0">
        <v>239.99</v>
      </c>
      <c r="B5" s="0">
        <v>20</v>
      </c>
    </row>
  </sheetData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3"/>
  <sheetViews>
    <sheetView zoomScale="110" zoomScaleNormal="110" workbookViewId="0">
      <selection sqref="A1:C33"/>
    </sheetView>
  </sheetViews>
  <sheetFormatPr defaultColWidth="10.25" defaultRowHeight="14.25"/>
  <cols>
    <col min="1" max="1" customWidth="true" width="15.375"/>
    <col min="2" max="2" customWidth="true" width="22.25"/>
    <col min="3" max="3" customWidth="true" width="24.375"/>
  </cols>
  <sheetData>
    <row r="1" spans="1:4">
      <c r="A1" s="329" t="s">
        <v>4</v>
      </c>
      <c r="B1" s="329"/>
      <c r="C1" s="329"/>
    </row>
    <row r="2" spans="1:4">
      <c r="A2" t="s" s="0">
        <v>5</v>
      </c>
      <c r="B2" t="s" s="0">
        <v>6</v>
      </c>
      <c r="C2" t="s" s="0">
        <v>7</v>
      </c>
    </row>
    <row r="3" spans="1:4">
      <c r="A3" s="0">
        <v>12</v>
      </c>
      <c r="B3" s="0">
        <v>36</v>
      </c>
      <c r="C3" s="0">
        <v>250</v>
      </c>
    </row>
    <row r="4" spans="1:4">
      <c r="A4" s="0">
        <v>46</v>
      </c>
      <c r="B4" s="0">
        <v>75</v>
      </c>
      <c r="C4" s="0">
        <v>350</v>
      </c>
    </row>
    <row r="5" spans="1:4">
      <c r="A5" s="0">
        <v>76</v>
      </c>
      <c r="B5" s="0">
        <v>84</v>
      </c>
      <c r="C5" s="0">
        <v>400</v>
      </c>
    </row>
    <row r="6" spans="1:4">
      <c r="A6" s="0">
        <v>0</v>
      </c>
      <c r="B6" s="0">
        <v>0</v>
      </c>
      <c r="C6" s="0">
        <v>0</v>
      </c>
    </row>
    <row r="7" spans="1:4"/>
    <row r="8" spans="1:4"/>
    <row r="9" spans="1:4"/>
    <row r="10" spans="1:4">
      <c r="A10" s="329" t="s">
        <v>8</v>
      </c>
      <c r="B10" s="329"/>
      <c r="C10" s="329"/>
    </row>
    <row r="11" spans="1:4" ht="15">
      <c r="A11" s="1" t="s">
        <v>9</v>
      </c>
      <c r="B11" s="2"/>
      <c r="C11" s="2"/>
      <c r="D11" s="3" t="s">
        <v>10</v>
      </c>
    </row>
    <row r="12" spans="1:4">
      <c r="A12" t="s" s="0">
        <v>5</v>
      </c>
      <c r="B12" t="s" s="0">
        <v>6</v>
      </c>
      <c r="C12" t="s" s="0">
        <v>11</v>
      </c>
    </row>
    <row r="13" spans="1:4">
      <c r="A13" s="0">
        <v>12</v>
      </c>
      <c r="B13" s="0">
        <v>23</v>
      </c>
      <c r="C13" s="0">
        <v>0.5</v>
      </c>
    </row>
    <row r="14" spans="1:4">
      <c r="A14" s="0">
        <v>24</v>
      </c>
      <c r="B14" s="0">
        <v>35</v>
      </c>
      <c r="C14" s="0">
        <v>0.75</v>
      </c>
    </row>
    <row r="15" spans="1:4">
      <c r="A15" s="0">
        <v>36</v>
      </c>
      <c r="B15" s="0">
        <v>47</v>
      </c>
      <c r="C15" s="0">
        <v>1</v>
      </c>
    </row>
    <row r="16" spans="1:4">
      <c r="A16" s="0">
        <v>48</v>
      </c>
      <c r="B16" s="0">
        <v>60</v>
      </c>
      <c r="C16" s="0">
        <v>1.25</v>
      </c>
    </row>
    <row r="17" spans="1:3"/>
    <row r="18" spans="1:3"/>
    <row r="19" spans="1:3" ht="15">
      <c r="A19" s="1" t="s">
        <v>12</v>
      </c>
      <c r="B19" s="2"/>
      <c r="C19" s="2"/>
    </row>
    <row r="20" spans="1:3">
      <c r="A20" t="s" s="0">
        <v>5</v>
      </c>
      <c r="B20" t="s" s="0">
        <v>6</v>
      </c>
      <c r="C20" t="s" s="0">
        <v>11</v>
      </c>
    </row>
    <row r="21" spans="1:3">
      <c r="A21" s="0">
        <v>12</v>
      </c>
      <c r="B21" s="0">
        <v>23</v>
      </c>
      <c r="C21" s="0">
        <v>0.75</v>
      </c>
    </row>
    <row r="22" spans="1:3">
      <c r="A22" s="0">
        <v>24</v>
      </c>
      <c r="B22" s="0">
        <v>35</v>
      </c>
      <c r="C22" s="0">
        <v>1.5</v>
      </c>
    </row>
    <row r="23" spans="1:3">
      <c r="A23" s="0">
        <v>36</v>
      </c>
      <c r="B23" s="0">
        <v>47</v>
      </c>
      <c r="C23" s="0">
        <v>2</v>
      </c>
    </row>
    <row r="24" spans="1:3">
      <c r="A24" s="0">
        <v>48</v>
      </c>
      <c r="B24" s="0">
        <v>60</v>
      </c>
      <c r="C24" s="0">
        <v>2.5</v>
      </c>
    </row>
    <row r="25" spans="1:3"/>
    <row r="26" spans="1:3"/>
    <row r="27" spans="1:3" ht="15">
      <c r="A27" s="1" t="s">
        <v>13</v>
      </c>
      <c r="B27" s="2"/>
      <c r="C27" s="2"/>
    </row>
    <row r="28" spans="1:3">
      <c r="A28" t="s" s="0">
        <v>5</v>
      </c>
      <c r="B28" t="s" s="0">
        <v>6</v>
      </c>
      <c r="C28" t="s" s="0">
        <v>11</v>
      </c>
    </row>
    <row r="29" spans="1:3">
      <c r="A29" s="0">
        <v>12</v>
      </c>
      <c r="B29" s="0">
        <v>23</v>
      </c>
      <c r="C29" s="0">
        <v>1</v>
      </c>
    </row>
    <row r="30" spans="1:3">
      <c r="A30" s="0">
        <v>24</v>
      </c>
      <c r="B30" s="0">
        <v>35</v>
      </c>
      <c r="C30" s="0">
        <v>3</v>
      </c>
    </row>
    <row r="31" spans="1:3">
      <c r="A31" s="0">
        <v>36</v>
      </c>
      <c r="B31" s="0">
        <v>47</v>
      </c>
      <c r="C31" s="0">
        <v>4</v>
      </c>
    </row>
    <row r="32" spans="1:3">
      <c r="A32" s="0">
        <v>48</v>
      </c>
      <c r="B32" s="0">
        <v>60</v>
      </c>
      <c r="C32" s="0">
        <v>5</v>
      </c>
    </row>
    <row r="33" spans="1:3">
      <c r="A33" s="0">
        <v>0</v>
      </c>
      <c r="B33" s="0">
        <v>0</v>
      </c>
      <c r="C33" s="0">
        <v>0</v>
      </c>
    </row>
  </sheetData>
  <mergeCells count="2">
    <mergeCell ref="A1:C1"/>
    <mergeCell ref="A10:C10"/>
  </mergeCell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281"/>
  <sheetViews>
    <sheetView topLeftCell="A258" zoomScale="110" zoomScaleNormal="110" workbookViewId="0">
      <selection activeCell="F270" sqref="F270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2" customWidth="true" style="4" width="18.875"/>
    <col min="13" max="13" customWidth="true" style="4" width="22.5"/>
    <col min="14" max="14" customWidth="true" style="4" width="20.875"/>
    <col min="15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30" t="s">
        <v>14</v>
      </c>
      <c r="B1" s="330"/>
      <c r="C1" s="330"/>
      <c r="D1" s="330"/>
      <c r="E1" s="330"/>
      <c r="F1" s="330"/>
      <c r="J1" s="5"/>
    </row>
    <row r="2" spans="1:25">
      <c r="A2" s="6" t="s">
        <v>15</v>
      </c>
      <c r="B2" s="7">
        <f>B9+B11</f>
        <v>13875</v>
      </c>
      <c r="C2" s="6" t="s">
        <v>16</v>
      </c>
      <c r="D2" s="7">
        <f>C9</f>
        <v>2775</v>
      </c>
      <c r="E2" s="6" t="s">
        <v>17</v>
      </c>
      <c r="F2" s="8">
        <f>B13</f>
        <v>0</v>
      </c>
      <c r="J2" s="5"/>
    </row>
    <row r="3" spans="1:25">
      <c r="A3" s="9"/>
      <c r="B3" s="9"/>
      <c r="C3" s="9"/>
      <c r="D3" s="9"/>
      <c r="E3" s="9"/>
      <c r="F3" s="6" t="s">
        <v>10</v>
      </c>
      <c r="J3" s="5"/>
    </row>
    <row r="4" spans="1:25">
      <c r="A4" s="6" t="s">
        <v>18</v>
      </c>
      <c r="B4" s="7">
        <f>B15+C15</f>
        <v>16650</v>
      </c>
      <c r="C4" s="9"/>
      <c r="D4" s="9"/>
      <c r="E4" s="9"/>
      <c r="F4" s="6" t="s">
        <v>10</v>
      </c>
      <c r="H4" s="10"/>
      <c r="J4" s="5"/>
    </row>
    <row r="5" spans="1:25">
      <c r="A5" s="11"/>
      <c r="B5" s="11"/>
      <c r="C5" s="11"/>
      <c r="D5" s="11"/>
      <c r="E5" s="11"/>
      <c r="F5" s="11" t="s">
        <v>10</v>
      </c>
      <c r="J5" s="5"/>
    </row>
    <row r="6" spans="1:25">
      <c r="A6" s="11"/>
      <c r="B6" s="11"/>
      <c r="C6" s="11"/>
      <c r="D6" s="11"/>
      <c r="E6" s="11"/>
      <c r="F6" s="11"/>
      <c r="J6" s="5"/>
    </row>
    <row r="7" spans="1:25">
      <c r="A7" s="12" t="s">
        <v>19</v>
      </c>
      <c r="B7" s="12" t="s">
        <v>20</v>
      </c>
      <c r="C7" s="12" t="s">
        <v>16</v>
      </c>
      <c r="D7" s="331"/>
      <c r="E7" s="331"/>
      <c r="F7" s="11"/>
      <c r="J7" s="5"/>
    </row>
    <row r="8" spans="1:25">
      <c r="A8" s="13"/>
      <c r="B8" s="11" t="s">
        <v>10</v>
      </c>
      <c r="C8" s="11"/>
      <c r="D8" s="331"/>
      <c r="E8" s="331"/>
      <c r="F8" s="11"/>
      <c r="J8" s="5"/>
      <c r="L8" s="14" t="s">
        <v>17</v>
      </c>
      <c r="M8" s="11">
        <f>H13+H14</f>
        <v>0</v>
      </c>
    </row>
    <row r="9" spans="1:25">
      <c r="A9" s="12" t="s">
        <v>21</v>
      </c>
      <c r="B9" s="15">
        <v>13875</v>
      </c>
      <c r="C9" s="11">
        <f>B9*0.2</f>
        <v>2775</v>
      </c>
      <c r="D9" s="331"/>
      <c r="E9" s="331"/>
      <c r="F9" s="11"/>
      <c r="J9" s="5"/>
      <c r="L9" s="11"/>
      <c r="M9" s="11"/>
    </row>
    <row r="10" spans="1:25">
      <c r="A10" s="12"/>
      <c r="B10" s="11"/>
      <c r="C10" s="11"/>
      <c r="D10" s="331"/>
      <c r="E10" s="331"/>
      <c r="F10" s="11"/>
      <c r="J10" s="5"/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31"/>
      <c r="E11" s="331"/>
      <c r="F11" s="11"/>
      <c r="J11" s="5"/>
      <c r="L11" s="11"/>
      <c r="M11" s="11"/>
    </row>
    <row r="12" spans="1:25">
      <c r="A12" s="12"/>
      <c r="B12" s="11"/>
      <c r="C12" s="11"/>
      <c r="D12" s="331"/>
      <c r="E12" s="331"/>
      <c r="F12" s="11"/>
      <c r="J12" s="5"/>
    </row>
    <row r="13" spans="1:25">
      <c r="A13" s="12" t="s">
        <v>23</v>
      </c>
      <c r="B13" s="15">
        <v>0</v>
      </c>
      <c r="C13" s="11"/>
      <c r="D13" s="331"/>
      <c r="E13" s="331"/>
      <c r="F13" s="11"/>
      <c r="J13" s="5"/>
    </row>
    <row r="14" spans="1:25">
      <c r="A14" s="12"/>
      <c r="B14" s="11"/>
      <c r="C14" s="11"/>
      <c r="D14" s="331"/>
      <c r="E14" s="331"/>
      <c r="F14" s="11"/>
      <c r="J14" s="5" t="s">
        <v>24</v>
      </c>
    </row>
    <row r="15" spans="1:25">
      <c r="A15" s="12" t="s">
        <v>25</v>
      </c>
      <c r="B15" s="11">
        <f>SUM(B9:B13)</f>
        <v>13875</v>
      </c>
      <c r="C15" s="11">
        <f>SUM(C9:C13)</f>
        <v>2775</v>
      </c>
      <c r="D15" s="331"/>
      <c r="E15" s="331"/>
      <c r="F15" s="11"/>
      <c r="J15" s="17">
        <f>H15</f>
        <v>0</v>
      </c>
    </row>
    <row r="16" spans="1:25">
      <c r="A16" s="332"/>
      <c r="B16" s="332"/>
      <c r="C16" s="332"/>
      <c r="D16" s="331"/>
      <c r="E16" s="331"/>
      <c r="F16" s="11"/>
      <c r="J16" s="5"/>
      <c r="Y16" s="18" t="s">
        <v>26</v>
      </c>
    </row>
    <row r="17" spans="1:26">
      <c r="A17" s="332"/>
      <c r="B17" s="332"/>
      <c r="C17" s="332"/>
      <c r="D17" s="331"/>
      <c r="E17" s="331"/>
      <c r="F17" s="11"/>
      <c r="J17" s="19" t="s">
        <v>27</v>
      </c>
      <c r="Y17" s="18" t="s">
        <v>28</v>
      </c>
    </row>
    <row r="18" spans="1:26">
      <c r="A18" s="332"/>
      <c r="B18" s="332"/>
      <c r="C18" s="332"/>
      <c r="D18" s="331"/>
      <c r="E18" s="331"/>
      <c r="F18" s="11"/>
      <c r="J18" s="20">
        <v>40526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16650</v>
      </c>
      <c r="F19" s="11"/>
      <c r="J19" s="5"/>
      <c r="Z19" s="5" t="s">
        <v>31</v>
      </c>
    </row>
    <row r="20" spans="1:26">
      <c r="A20" s="11"/>
      <c r="B20" s="11"/>
      <c r="C20" s="11"/>
      <c r="D20" s="11"/>
      <c r="E20" s="11"/>
      <c r="F20" s="11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13875</v>
      </c>
      <c r="F21" s="11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 ht="23.25">
      <c r="A26" s="335" t="s">
        <v>35</v>
      </c>
      <c r="B26" s="335"/>
      <c r="C26" s="335"/>
      <c r="D26" s="335"/>
      <c r="E26" s="335"/>
      <c r="F26" s="335"/>
      <c r="G26" s="335"/>
      <c r="H26" s="335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>
      <c r="A28" s="32" t="s">
        <v>36</v>
      </c>
      <c r="B28" s="28" t="s">
        <v>39</v>
      </c>
      <c r="C28" s="28"/>
      <c r="D28" s="28"/>
      <c r="E28" s="28"/>
      <c r="F28" s="28"/>
      <c r="G28" s="28"/>
      <c r="H28" s="29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/>
      <c r="I29" s="28"/>
      <c r="J29" s="25" t="s">
        <v>41</v>
      </c>
      <c r="K29" s="33" t="str">
        <f>A34</f>
        <v>12</v>
      </c>
    </row>
    <row r="30" spans="1:26">
      <c r="A30" s="32" t="s">
        <v>42</v>
      </c>
      <c r="B30" s="28"/>
      <c r="C30" s="34" t="s">
        <v>43</v>
      </c>
      <c r="D30" s="35"/>
      <c r="E30" s="28"/>
      <c r="F30" s="34" t="s">
        <v>44</v>
      </c>
      <c r="G30" s="35"/>
      <c r="H30" s="29"/>
      <c r="I30" s="28"/>
      <c r="J30" s="25" t="s">
        <v>45</v>
      </c>
      <c r="K30" s="33" t="str">
        <f>C34</f>
        <v>5000</v>
      </c>
    </row>
    <row r="31" spans="1:26">
      <c r="A31" s="36" t="s">
        <v>46</v>
      </c>
      <c r="B31" s="28"/>
      <c r="C31" s="336" t="s">
        <v>47</v>
      </c>
      <c r="D31" s="336"/>
      <c r="E31" s="28"/>
      <c r="F31" s="336"/>
      <c r="G31" s="336"/>
      <c r="H31" s="29"/>
      <c r="I31" s="28"/>
      <c r="J31" s="25" t="s">
        <v>48</v>
      </c>
      <c r="K31" s="37">
        <f>A43</f>
        <v>6000</v>
      </c>
    </row>
    <row r="32" spans="1:26" ht="36">
      <c r="A32" s="32"/>
      <c r="B32" s="38"/>
      <c r="C32" s="38"/>
      <c r="D32" s="38"/>
      <c r="E32" s="38"/>
      <c r="F32" s="38"/>
      <c r="G32" s="38"/>
      <c r="H32" s="29"/>
      <c r="I32" s="5"/>
      <c r="J32" s="25" t="s">
        <v>49</v>
      </c>
      <c r="K32" s="37">
        <f>A46</f>
        <v>0</v>
      </c>
      <c r="M32" s="39" t="s">
        <v>50</v>
      </c>
      <c r="N32" s="40" t="s">
        <v>51</v>
      </c>
    </row>
    <row r="33" spans="1:14">
      <c r="A33" s="32" t="s">
        <v>52</v>
      </c>
      <c r="B33" s="28"/>
      <c r="C33" s="41" t="s">
        <v>53</v>
      </c>
      <c r="D33" s="35"/>
      <c r="E33" s="28"/>
      <c r="F33" s="34" t="s">
        <v>54</v>
      </c>
      <c r="G33" s="35"/>
      <c r="H33" s="42"/>
      <c r="I33" s="5"/>
      <c r="J33" s="30"/>
      <c r="K33" s="43"/>
      <c r="M33" s="39"/>
      <c r="N33" s="13"/>
    </row>
    <row r="34" spans="1:14">
      <c r="A34" s="36" t="s">
        <v>393</v>
      </c>
      <c r="B34" s="28"/>
      <c r="C34" s="336" t="s">
        <v>397</v>
      </c>
      <c r="D34" s="336"/>
      <c r="E34" s="28"/>
      <c r="F34" s="336">
        <f>(A34/12)*C34</f>
        <v>5000</v>
      </c>
      <c r="G34" s="336"/>
      <c r="H34" s="42"/>
      <c r="I34" s="5"/>
      <c r="J34" s="5"/>
      <c r="K34" s="5"/>
      <c r="M34" s="39" t="s">
        <v>57</v>
      </c>
      <c r="N34" s="44" t="s">
        <v>58</v>
      </c>
    </row>
    <row r="35" spans="1:14">
      <c r="A35" s="27"/>
      <c r="B35" s="28"/>
      <c r="C35" s="28"/>
      <c r="E35" s="28"/>
      <c r="F35" s="38"/>
      <c r="G35" s="38"/>
      <c r="H35" s="42"/>
      <c r="I35" s="5"/>
      <c r="J35" s="45" t="s">
        <v>59</v>
      </c>
      <c r="K35" s="46">
        <v>6.5000000000000002E-2</v>
      </c>
      <c r="M35" s="39"/>
      <c r="N35" s="13" t="s">
        <v>10</v>
      </c>
    </row>
    <row r="36" spans="1:14">
      <c r="A36" s="32" t="s">
        <v>60</v>
      </c>
      <c r="B36" s="28"/>
      <c r="C36" s="34" t="s">
        <v>61</v>
      </c>
      <c r="D36" s="35"/>
      <c r="E36" s="28"/>
      <c r="F36" s="34" t="s">
        <v>62</v>
      </c>
      <c r="G36" s="35"/>
      <c r="H36" s="42"/>
      <c r="I36" s="5"/>
      <c r="J36" s="5" t="s">
        <v>63</v>
      </c>
      <c r="K36" s="5">
        <f>C40</f>
        <v>11</v>
      </c>
      <c r="M36" s="39" t="s">
        <v>64</v>
      </c>
      <c r="N36" s="47">
        <f>N32-N34</f>
        <v>22125</v>
      </c>
    </row>
    <row r="37" spans="1:14">
      <c r="A37" s="32">
        <f>E19</f>
        <v>16650</v>
      </c>
      <c r="B37" s="28"/>
      <c r="C37" s="336" t="s">
        <v>398</v>
      </c>
      <c r="D37" s="336"/>
      <c r="E37" s="28"/>
      <c r="F37" s="38">
        <f>A37-C37</f>
        <v>15650</v>
      </c>
      <c r="G37" s="38"/>
      <c r="H37" s="42"/>
      <c r="I37" s="5"/>
      <c r="J37" s="5"/>
      <c r="K37" s="5"/>
    </row>
    <row r="38" spans="1:14">
      <c r="A38" s="32"/>
      <c r="B38" s="38"/>
      <c r="C38" s="38"/>
      <c r="D38" s="38"/>
      <c r="E38" s="38"/>
      <c r="F38" s="38"/>
      <c r="G38" s="38"/>
      <c r="H38" s="42"/>
      <c r="J38" s="337" t="s">
        <v>65</v>
      </c>
      <c r="K38" s="337"/>
      <c r="L38" s="5"/>
    </row>
    <row r="39" spans="1:14">
      <c r="A39" s="32" t="s">
        <v>66</v>
      </c>
      <c r="B39" s="28"/>
      <c r="C39" s="35" t="s">
        <v>67</v>
      </c>
      <c r="D39" s="34"/>
      <c r="E39" s="28"/>
      <c r="F39" s="34" t="s">
        <v>68</v>
      </c>
      <c r="G39" s="35"/>
      <c r="H39" s="42"/>
      <c r="J39" s="5" t="s">
        <v>69</v>
      </c>
      <c r="K39" s="5" t="str">
        <f>F40</f>
        <v>500</v>
      </c>
      <c r="L39" s="5"/>
    </row>
    <row r="40" spans="1:14">
      <c r="A40" s="36" t="s">
        <v>393</v>
      </c>
      <c r="B40" s="28"/>
      <c r="C40" s="338">
        <f>A34-1</f>
        <v>11</v>
      </c>
      <c r="D40" s="338"/>
      <c r="E40" s="28"/>
      <c r="F40" s="336" t="s">
        <v>390</v>
      </c>
      <c r="G40" s="336"/>
      <c r="H40" s="42"/>
      <c r="J40" s="5" t="s">
        <v>71</v>
      </c>
      <c r="K40" s="5">
        <f>C15</f>
        <v>2775</v>
      </c>
      <c r="L40" s="5"/>
    </row>
    <row r="41" spans="1:14">
      <c r="A41" s="32"/>
      <c r="B41" s="38"/>
      <c r="C41" s="38"/>
      <c r="D41" s="38"/>
      <c r="E41" s="38"/>
      <c r="F41" s="38"/>
      <c r="G41" s="38"/>
      <c r="H41" s="42"/>
      <c r="J41" s="5" t="s">
        <v>72</v>
      </c>
      <c r="K41" s="5">
        <f>IF(F43="Yes",A46,0)</f>
        <v>0</v>
      </c>
      <c r="L41" s="5"/>
    </row>
    <row r="42" spans="1:14">
      <c r="A42" s="32" t="s">
        <v>73</v>
      </c>
      <c r="B42" s="28"/>
      <c r="C42" s="34" t="s">
        <v>74</v>
      </c>
      <c r="D42" s="35"/>
      <c r="E42" s="28"/>
      <c r="F42" s="34" t="s">
        <v>75</v>
      </c>
      <c r="G42" s="35"/>
      <c r="H42" s="42"/>
      <c r="J42" s="5" t="s">
        <v>76</v>
      </c>
      <c r="K42" s="5">
        <f>A43</f>
        <v>6000</v>
      </c>
      <c r="L42" s="5"/>
    </row>
    <row r="43" spans="1:14">
      <c r="A43" s="36">
        <v>6000</v>
      </c>
      <c r="B43" s="28"/>
      <c r="C43" s="336">
        <v>20</v>
      </c>
      <c r="D43" s="336"/>
      <c r="E43" s="28"/>
      <c r="F43" s="336" t="s">
        <v>31</v>
      </c>
      <c r="G43" s="336"/>
      <c r="H43" s="42"/>
      <c r="J43" s="5" t="s">
        <v>77</v>
      </c>
      <c r="K43" s="5" t="str">
        <f>A34</f>
        <v>12</v>
      </c>
      <c r="L43" s="5"/>
    </row>
    <row r="44" spans="1:14">
      <c r="A44" s="32"/>
      <c r="B44" s="38"/>
      <c r="C44" s="38"/>
      <c r="D44" s="38"/>
      <c r="E44" s="38"/>
      <c r="F44" s="38"/>
      <c r="G44" s="38"/>
      <c r="H44" s="42"/>
      <c r="J44" s="5" t="s">
        <v>78</v>
      </c>
      <c r="K44" s="5">
        <f>((K40-(((K42/(1.2))*0.2)))/(K43))</f>
        <v>147.91666666666666</v>
      </c>
      <c r="L44" s="5"/>
    </row>
    <row r="45" spans="1:14">
      <c r="A45" s="32" t="s">
        <v>79</v>
      </c>
      <c r="B45" s="28"/>
      <c r="C45" s="34" t="s">
        <v>80</v>
      </c>
      <c r="D45" s="35"/>
      <c r="E45" s="28"/>
      <c r="F45" s="34" t="s">
        <v>81</v>
      </c>
      <c r="G45" s="35"/>
      <c r="H45" s="42"/>
      <c r="J45" s="5" t="s">
        <v>82</v>
      </c>
      <c r="K45" s="5">
        <f>(K39-K44)+K41</f>
        <v>352.08333333333337</v>
      </c>
      <c r="L45" s="5"/>
    </row>
    <row r="46" spans="1:14">
      <c r="A46" s="36">
        <v>0</v>
      </c>
      <c r="B46" s="28"/>
      <c r="C46" s="336">
        <v>1</v>
      </c>
      <c r="D46" s="336"/>
      <c r="E46" s="28"/>
      <c r="F46" s="336">
        <v>0</v>
      </c>
      <c r="G46" s="336"/>
      <c r="H46" s="42"/>
      <c r="J46" s="5" t="s">
        <v>83</v>
      </c>
      <c r="K46" s="5">
        <v>0</v>
      </c>
      <c r="L46" s="5"/>
    </row>
    <row r="47" spans="1:14">
      <c r="A47" s="32"/>
      <c r="B47" s="38"/>
      <c r="C47" s="38"/>
      <c r="D47" s="38"/>
      <c r="E47" s="38"/>
      <c r="F47" s="38"/>
      <c r="G47" s="38"/>
      <c r="H47" s="42"/>
      <c r="J47" s="5" t="s">
        <v>84</v>
      </c>
      <c r="K47" s="5">
        <f>A40/K29</f>
        <v>1</v>
      </c>
      <c r="L47" s="5"/>
    </row>
    <row r="48" spans="1:14">
      <c r="A48" s="32" t="s">
        <v>85</v>
      </c>
      <c r="B48" s="38"/>
      <c r="C48" s="38"/>
      <c r="D48" s="38"/>
      <c r="E48" s="38"/>
      <c r="F48" s="38"/>
      <c r="G48" s="38"/>
      <c r="H48" s="42"/>
      <c r="J48" s="48" t="s">
        <v>86</v>
      </c>
      <c r="K48" s="5">
        <f>C43/A34</f>
        <v>1.6666666666666667</v>
      </c>
      <c r="L48" s="5"/>
    </row>
    <row r="49" spans="1:12">
      <c r="A49" s="32">
        <f>C46+F46</f>
        <v>1</v>
      </c>
      <c r="B49" s="38"/>
      <c r="C49" s="38"/>
      <c r="D49" s="38"/>
      <c r="E49" s="28"/>
      <c r="F49" s="38"/>
      <c r="G49" s="38"/>
      <c r="H49" s="42"/>
      <c r="J49" s="48" t="s">
        <v>87</v>
      </c>
      <c r="K49" s="5">
        <f>K45+K48+K47</f>
        <v>354.75000000000006</v>
      </c>
      <c r="L49" s="5"/>
    </row>
    <row r="50" spans="1:12">
      <c r="A50" s="49"/>
      <c r="B50" s="50"/>
      <c r="C50" s="50"/>
      <c r="D50" s="50"/>
      <c r="E50" s="50"/>
      <c r="F50" s="50"/>
      <c r="G50" s="51"/>
      <c r="H50" s="52"/>
      <c r="I50" s="5"/>
      <c r="J50" s="48" t="s">
        <v>88</v>
      </c>
      <c r="K50" s="5">
        <f>K49-A46</f>
        <v>354.75000000000006</v>
      </c>
    </row>
    <row r="51" spans="1:12" ht="19.5" customHeight="1">
      <c r="A51" s="22"/>
      <c r="B51" s="23"/>
      <c r="C51" s="23"/>
      <c r="D51" s="23"/>
      <c r="E51" s="23"/>
      <c r="F51" s="23"/>
      <c r="G51" s="23"/>
      <c r="H51" s="24"/>
      <c r="I51" s="5"/>
      <c r="J51" s="5"/>
      <c r="K51" s="5"/>
    </row>
    <row r="52" spans="1:12">
      <c r="A52" s="53" t="s">
        <v>89</v>
      </c>
      <c r="B52" s="28"/>
      <c r="C52" s="28" t="s">
        <v>90</v>
      </c>
      <c r="D52" s="28"/>
      <c r="E52" s="28"/>
      <c r="F52" s="28"/>
      <c r="G52" s="28"/>
      <c r="H52" s="29"/>
      <c r="I52" s="5"/>
      <c r="J52" s="5"/>
      <c r="K52" s="5"/>
    </row>
    <row r="53" spans="1:12">
      <c r="A53" s="54">
        <v>1</v>
      </c>
      <c r="B53" s="28"/>
      <c r="C53" s="339">
        <v>1</v>
      </c>
      <c r="D53" s="339"/>
      <c r="E53" s="339"/>
      <c r="F53" s="28"/>
      <c r="G53" s="28"/>
      <c r="H53" s="29"/>
      <c r="I53" s="5"/>
      <c r="J53" s="55" t="s">
        <v>91</v>
      </c>
      <c r="K53" s="56" t="s">
        <v>407</v>
      </c>
    </row>
    <row r="54" spans="1:12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12">
      <c r="A55" s="22"/>
      <c r="B55" s="23"/>
      <c r="C55" s="23"/>
      <c r="D55" s="23"/>
      <c r="E55" s="23"/>
      <c r="F55" s="23"/>
      <c r="G55" s="23"/>
      <c r="H55" s="24"/>
      <c r="I55" s="5"/>
      <c r="J55" s="5" t="s">
        <v>92</v>
      </c>
      <c r="K55" s="5">
        <f>A46*A34</f>
        <v>0</v>
      </c>
    </row>
    <row r="56" spans="1:12">
      <c r="A56" s="58" t="s">
        <v>93</v>
      </c>
      <c r="B56" s="28"/>
      <c r="C56" s="28"/>
      <c r="D56" s="59"/>
      <c r="E56" s="59"/>
      <c r="F56" s="59"/>
      <c r="G56" s="59"/>
      <c r="H56" s="60"/>
      <c r="I56" s="5"/>
      <c r="J56" s="5"/>
      <c r="K56" s="5"/>
    </row>
    <row r="57" spans="1:12" ht="19.5" customHeight="1">
      <c r="A57" s="27"/>
      <c r="B57" s="61"/>
      <c r="C57" s="61"/>
      <c r="D57" s="28"/>
      <c r="E57" s="28"/>
      <c r="F57" s="28"/>
      <c r="G57" s="28"/>
      <c r="H57" s="29"/>
      <c r="I57" s="5"/>
      <c r="J57" s="5"/>
      <c r="K57" s="5"/>
    </row>
    <row r="58" spans="1:12" ht="21">
      <c r="A58" s="340" t="s">
        <v>94</v>
      </c>
      <c r="B58" s="341" t="s">
        <v>95</v>
      </c>
      <c r="C58" s="341"/>
      <c r="D58" s="341"/>
      <c r="E58" s="28"/>
      <c r="F58" s="28"/>
      <c r="G58" s="28"/>
      <c r="H58" s="29"/>
      <c r="I58" s="5"/>
      <c r="J58" s="5"/>
      <c r="K58" s="5"/>
    </row>
    <row r="59" spans="1:12">
      <c r="A59" s="340"/>
      <c r="B59" s="342" t="str">
        <f>K30</f>
        <v>5000</v>
      </c>
      <c r="C59" s="342"/>
      <c r="D59" s="342"/>
      <c r="E59" s="28"/>
      <c r="F59" s="28"/>
      <c r="G59" s="28"/>
      <c r="H59" s="29"/>
      <c r="I59" s="5"/>
      <c r="J59" s="5"/>
      <c r="K59" s="5"/>
    </row>
    <row r="60" spans="1:12">
      <c r="A60" s="62" t="str">
        <f>K29</f>
        <v>12</v>
      </c>
      <c r="B60" s="343">
        <f>K49</f>
        <v>354.75000000000006</v>
      </c>
      <c r="C60" s="343"/>
      <c r="D60" s="343"/>
      <c r="E60" s="28"/>
      <c r="F60" s="28"/>
      <c r="G60" s="28"/>
      <c r="H60" s="29"/>
      <c r="I60" s="5"/>
      <c r="J60" s="5"/>
      <c r="K60" s="5"/>
    </row>
    <row r="61" spans="1:12">
      <c r="A61" s="27"/>
      <c r="B61" s="28"/>
      <c r="C61" s="28"/>
      <c r="D61" s="28"/>
      <c r="E61" s="28"/>
      <c r="F61" s="28"/>
      <c r="G61" s="28"/>
      <c r="H61" s="29"/>
      <c r="I61" s="5"/>
      <c r="J61" s="5"/>
      <c r="K61" s="5"/>
    </row>
    <row r="62" spans="1:12">
      <c r="A62" s="49"/>
      <c r="B62" s="50"/>
      <c r="C62" s="50"/>
      <c r="D62" s="50"/>
      <c r="E62" s="50"/>
      <c r="F62" s="50"/>
      <c r="G62" s="50"/>
      <c r="H62" s="57"/>
      <c r="I62" s="5"/>
      <c r="J62" s="5"/>
      <c r="K62" s="5"/>
    </row>
    <row r="63" spans="1:12">
      <c r="A63" s="28"/>
      <c r="B63" s="28"/>
      <c r="C63" s="28"/>
      <c r="D63" s="28"/>
      <c r="E63" s="28"/>
      <c r="F63" s="28"/>
      <c r="G63" s="28"/>
      <c r="H63" s="28"/>
      <c r="I63" s="5"/>
      <c r="J63" s="5"/>
      <c r="K63" s="5"/>
    </row>
    <row r="64" spans="1:12">
      <c r="A64" s="28"/>
      <c r="B64" s="28"/>
      <c r="C64" s="28"/>
      <c r="D64" s="28"/>
      <c r="E64" s="28"/>
      <c r="F64" s="28"/>
      <c r="G64" s="28"/>
      <c r="H64" s="28"/>
      <c r="I64" s="5"/>
      <c r="J64" s="5"/>
      <c r="K64" s="5"/>
    </row>
    <row r="65" spans="1:35">
      <c r="A65" s="21"/>
      <c r="B65" s="21"/>
      <c r="C65" s="21"/>
      <c r="D65" s="21"/>
      <c r="E65" s="21"/>
      <c r="F65" s="21"/>
      <c r="G65" s="21"/>
      <c r="H65" s="21"/>
      <c r="J65" s="5"/>
      <c r="K65" s="5"/>
    </row>
    <row r="66" spans="1:35">
      <c r="A66" s="22"/>
      <c r="B66" s="23"/>
      <c r="C66" s="23"/>
      <c r="D66" s="23"/>
      <c r="E66" s="63"/>
      <c r="F66" s="63"/>
      <c r="G66" s="63"/>
      <c r="H66" s="24"/>
      <c r="J66" s="22"/>
      <c r="K66" s="23"/>
      <c r="L66" s="23"/>
      <c r="M66" s="23"/>
      <c r="N66" s="63"/>
      <c r="O66" s="63"/>
      <c r="P66" s="63"/>
      <c r="Q66" s="24"/>
      <c r="S66" s="22"/>
      <c r="T66" s="23"/>
      <c r="U66" s="23"/>
      <c r="V66" s="23"/>
      <c r="W66" s="63"/>
      <c r="X66" s="63"/>
      <c r="Y66" s="63"/>
      <c r="Z66" s="24"/>
      <c r="AB66" s="22"/>
      <c r="AC66" s="23"/>
      <c r="AD66" s="23"/>
      <c r="AE66" s="23"/>
      <c r="AF66" s="63"/>
      <c r="AG66" s="63"/>
      <c r="AH66" s="63"/>
      <c r="AI66" s="24"/>
    </row>
    <row r="67" spans="1:35">
      <c r="A67" s="27" t="s">
        <v>96</v>
      </c>
      <c r="B67" s="28">
        <v>1</v>
      </c>
      <c r="C67" s="28"/>
      <c r="D67" s="28"/>
      <c r="E67" s="21"/>
      <c r="F67" s="21"/>
      <c r="G67" s="21"/>
      <c r="H67" s="29"/>
      <c r="J67" s="27" t="s">
        <v>96</v>
      </c>
      <c r="K67" s="28">
        <v>1</v>
      </c>
      <c r="L67" s="28"/>
      <c r="M67" s="28"/>
      <c r="N67" s="21"/>
      <c r="O67" s="21"/>
      <c r="P67" s="21"/>
      <c r="Q67" s="29"/>
      <c r="S67" s="27" t="s">
        <v>96</v>
      </c>
      <c r="T67" s="28">
        <v>1</v>
      </c>
      <c r="U67" s="28"/>
      <c r="V67" s="28"/>
      <c r="W67" s="21"/>
      <c r="X67" s="21"/>
      <c r="Y67" s="21"/>
      <c r="Z67" s="29"/>
      <c r="AB67" s="27" t="s">
        <v>96</v>
      </c>
      <c r="AC67" s="28">
        <v>1</v>
      </c>
      <c r="AD67" s="28"/>
      <c r="AE67" s="28"/>
      <c r="AF67" s="21"/>
      <c r="AG67" s="21"/>
      <c r="AH67" s="21"/>
      <c r="AI67" s="29"/>
    </row>
    <row r="68" spans="1:35">
      <c r="A68" s="27" t="s">
        <v>97</v>
      </c>
      <c r="B68" s="28">
        <f>K29-B67</f>
        <v>11</v>
      </c>
      <c r="C68" s="28"/>
      <c r="D68" s="28"/>
      <c r="E68" s="21"/>
      <c r="F68" s="21"/>
      <c r="G68" s="21"/>
      <c r="H68" s="29"/>
      <c r="J68" s="27" t="s">
        <v>97</v>
      </c>
      <c r="K68" s="28">
        <f>K29-K67</f>
        <v>11</v>
      </c>
      <c r="L68" s="28"/>
      <c r="M68" s="28"/>
      <c r="N68" s="21"/>
      <c r="O68" s="21"/>
      <c r="P68" s="21"/>
      <c r="Q68" s="29"/>
      <c r="S68" s="27" t="s">
        <v>97</v>
      </c>
      <c r="T68" s="28">
        <f>K29-T67</f>
        <v>11</v>
      </c>
      <c r="U68" s="28"/>
      <c r="V68" s="28"/>
      <c r="W68" s="21"/>
      <c r="X68" s="21"/>
      <c r="Y68" s="21"/>
      <c r="Z68" s="29"/>
      <c r="AB68" s="27" t="s">
        <v>97</v>
      </c>
      <c r="AC68" s="28">
        <f>K29-AC67</f>
        <v>11</v>
      </c>
      <c r="AD68" s="28"/>
      <c r="AE68" s="28"/>
      <c r="AF68" s="21"/>
      <c r="AG68" s="21"/>
      <c r="AH68" s="21"/>
      <c r="AI68" s="29"/>
    </row>
    <row r="69" spans="1:35">
      <c r="A69" s="64" t="s">
        <v>98</v>
      </c>
      <c r="B69" s="65">
        <v>10</v>
      </c>
      <c r="C69" s="28"/>
      <c r="D69" s="28"/>
      <c r="E69" s="21"/>
      <c r="F69" s="21"/>
      <c r="G69" s="21"/>
      <c r="H69" s="29"/>
      <c r="J69" s="64" t="s">
        <v>98</v>
      </c>
      <c r="K69" s="65">
        <v>20</v>
      </c>
      <c r="L69" s="28"/>
      <c r="M69" s="28"/>
      <c r="N69" s="21"/>
      <c r="O69" s="21"/>
      <c r="P69" s="21"/>
      <c r="Q69" s="29"/>
      <c r="S69" s="64" t="s">
        <v>98</v>
      </c>
      <c r="T69" s="65">
        <v>10</v>
      </c>
      <c r="U69" s="28"/>
      <c r="V69" s="28"/>
      <c r="W69" s="21"/>
      <c r="X69" s="21"/>
      <c r="Y69" s="21"/>
      <c r="Z69" s="29"/>
      <c r="AB69" s="64" t="s">
        <v>98</v>
      </c>
      <c r="AC69" s="65">
        <v>10</v>
      </c>
      <c r="AD69" s="28"/>
      <c r="AE69" s="28"/>
      <c r="AF69" s="21"/>
      <c r="AG69" s="21"/>
      <c r="AH69" s="21"/>
      <c r="AI69" s="29"/>
    </row>
    <row r="70" spans="1:35">
      <c r="A70" s="27" t="s">
        <v>27</v>
      </c>
      <c r="B70" s="28">
        <f>J18</f>
        <v>40526</v>
      </c>
      <c r="C70" s="28"/>
      <c r="D70" s="28"/>
      <c r="E70" s="21"/>
      <c r="F70" s="21"/>
      <c r="G70" s="21"/>
      <c r="H70" s="29"/>
      <c r="J70" s="27" t="s">
        <v>27</v>
      </c>
      <c r="K70" s="28">
        <f>J18</f>
        <v>40526</v>
      </c>
      <c r="L70" s="28"/>
      <c r="M70" s="28"/>
      <c r="N70" s="21"/>
      <c r="O70" s="21"/>
      <c r="P70" s="21"/>
      <c r="Q70" s="29"/>
      <c r="S70" s="27" t="s">
        <v>27</v>
      </c>
      <c r="T70" s="28">
        <f>J18</f>
        <v>40526</v>
      </c>
      <c r="U70" s="28"/>
      <c r="V70" s="28"/>
      <c r="W70" s="21"/>
      <c r="X70" s="21"/>
      <c r="Y70" s="21"/>
      <c r="Z70" s="29"/>
      <c r="AB70" s="27" t="s">
        <v>27</v>
      </c>
      <c r="AC70" s="28">
        <f>J18</f>
        <v>40526</v>
      </c>
      <c r="AD70" s="28"/>
      <c r="AE70" s="28"/>
      <c r="AF70" s="21"/>
      <c r="AG70" s="21"/>
      <c r="AH70" s="21"/>
      <c r="AI70" s="29"/>
    </row>
    <row r="71" spans="1:35">
      <c r="A71" s="66" t="s">
        <v>99</v>
      </c>
      <c r="B71" s="67">
        <v>1.0500000000000001E-2</v>
      </c>
      <c r="C71" s="28"/>
      <c r="D71" s="28"/>
      <c r="E71" s="21"/>
      <c r="F71" s="21"/>
      <c r="G71" s="21"/>
      <c r="H71" s="29"/>
      <c r="J71" s="66" t="s">
        <v>99</v>
      </c>
      <c r="K71" s="67">
        <v>0.06</v>
      </c>
      <c r="L71" s="28"/>
      <c r="M71" s="28"/>
      <c r="N71" s="21"/>
      <c r="O71" s="21"/>
      <c r="P71" s="21"/>
      <c r="Q71" s="29"/>
      <c r="S71" s="66" t="s">
        <v>99</v>
      </c>
      <c r="T71" s="67">
        <f>IF(AND(K29&gt;=12,K29&lt;=24),0.0105,IF(AND(K29&gt;=48),-0.0075,0))</f>
        <v>-7.4999999999999997E-3</v>
      </c>
      <c r="U71" s="28"/>
      <c r="V71" s="28"/>
      <c r="W71" s="21"/>
      <c r="X71" s="21"/>
      <c r="Y71" s="21"/>
      <c r="Z71" s="29"/>
      <c r="AB71" s="66" t="s">
        <v>99</v>
      </c>
      <c r="AC71" s="67">
        <f>IF(AND(K29&gt;=12,K29&lt;=24),0.0105,IF(AND(K29&gt;=48),-0.0075,0))</f>
        <v>-7.4999999999999997E-3</v>
      </c>
      <c r="AD71" s="28"/>
      <c r="AE71" s="28"/>
      <c r="AF71" s="21"/>
      <c r="AG71" s="21"/>
      <c r="AH71" s="21"/>
      <c r="AI71" s="29"/>
    </row>
    <row r="72" spans="1:35">
      <c r="A72" s="68" t="s">
        <v>100</v>
      </c>
      <c r="B72" s="69">
        <v>6.5000000000000002E-2</v>
      </c>
      <c r="C72" s="28"/>
      <c r="D72" s="28"/>
      <c r="E72" s="21"/>
      <c r="F72" s="21"/>
      <c r="G72" s="21"/>
      <c r="H72" s="29"/>
      <c r="J72" s="68" t="s">
        <v>100</v>
      </c>
      <c r="K72" s="69">
        <v>0.08</v>
      </c>
      <c r="L72" s="28"/>
      <c r="M72" s="28"/>
      <c r="N72" s="21"/>
      <c r="O72" s="21"/>
      <c r="P72" s="21"/>
      <c r="Q72" s="29"/>
      <c r="S72" s="68" t="s">
        <v>100</v>
      </c>
      <c r="T72" s="69">
        <v>5.8999999999999997E-2</v>
      </c>
      <c r="U72" s="28"/>
      <c r="V72" s="28"/>
      <c r="W72" s="21"/>
      <c r="X72" s="21"/>
      <c r="Y72" s="21"/>
      <c r="Z72" s="29"/>
      <c r="AB72" s="68" t="s">
        <v>100</v>
      </c>
      <c r="AC72" s="69">
        <v>5.8999999999999997E-2</v>
      </c>
      <c r="AD72" s="28"/>
      <c r="AE72" s="28"/>
      <c r="AF72" s="21"/>
      <c r="AG72" s="21"/>
      <c r="AH72" s="21"/>
      <c r="AI72" s="29"/>
    </row>
    <row r="73" spans="1:35">
      <c r="A73" s="70" t="s">
        <v>101</v>
      </c>
      <c r="B73" s="71">
        <v>0.05</v>
      </c>
      <c r="C73" s="28"/>
      <c r="D73" s="28"/>
      <c r="E73" s="21"/>
      <c r="F73" s="21"/>
      <c r="G73" s="21"/>
      <c r="H73" s="29"/>
      <c r="J73" s="70" t="s">
        <v>101</v>
      </c>
      <c r="K73" s="71">
        <v>0.1</v>
      </c>
      <c r="L73" s="28"/>
      <c r="M73" s="28"/>
      <c r="N73" s="21"/>
      <c r="O73" s="21"/>
      <c r="P73" s="21"/>
      <c r="Q73" s="29"/>
      <c r="S73" s="70" t="s">
        <v>101</v>
      </c>
      <c r="T73" s="71">
        <f>IF(T117=AP117,2.4%,7.2%)</f>
        <v>7.2000000000000008E-2</v>
      </c>
      <c r="U73" s="28"/>
      <c r="V73" s="28"/>
      <c r="W73" s="21"/>
      <c r="X73" s="21"/>
      <c r="Y73" s="21"/>
      <c r="Z73" s="29"/>
      <c r="AB73" s="70" t="s">
        <v>101</v>
      </c>
      <c r="AC73" s="71">
        <f>IF(AC117=AP117,2.4%,7.2%)</f>
        <v>7.2000000000000008E-2</v>
      </c>
      <c r="AD73" s="28"/>
      <c r="AE73" s="28"/>
      <c r="AF73" s="21"/>
      <c r="AG73" s="21"/>
      <c r="AH73" s="21"/>
      <c r="AI73" s="29"/>
    </row>
    <row r="74" spans="1:35">
      <c r="A74" s="49" t="s">
        <v>102</v>
      </c>
      <c r="B74" s="57">
        <f>(B98*B68)-(K47*K29)</f>
        <v>9876.4347129125381</v>
      </c>
      <c r="C74" s="28"/>
      <c r="D74" s="28"/>
      <c r="E74" s="21"/>
      <c r="F74" s="21"/>
      <c r="G74" s="21"/>
      <c r="H74" s="29"/>
      <c r="J74" s="49" t="s">
        <v>102</v>
      </c>
      <c r="K74" s="57" t="e">
        <f>(K98*K68)-(K47*K29)</f>
        <v>#VALUE!</v>
      </c>
      <c r="L74" s="28"/>
      <c r="M74" s="28"/>
      <c r="N74" s="21"/>
      <c r="O74" s="21"/>
      <c r="P74" s="21"/>
      <c r="Q74" s="29"/>
      <c r="S74" s="49" t="s">
        <v>102</v>
      </c>
      <c r="T74" s="57" t="e">
        <f>(T98*T68)-(K47*K29)</f>
        <v>#VALUE!</v>
      </c>
      <c r="U74" s="28"/>
      <c r="V74" s="28"/>
      <c r="W74" s="21"/>
      <c r="X74" s="21"/>
      <c r="Y74" s="21"/>
      <c r="Z74" s="29"/>
      <c r="AB74" s="49" t="s">
        <v>102</v>
      </c>
      <c r="AC74" s="57" t="e">
        <f>(AC98*AC68)-(K47*K29)</f>
        <v>#VALUE!</v>
      </c>
      <c r="AD74" s="28"/>
      <c r="AE74" s="28"/>
      <c r="AF74" s="21"/>
      <c r="AG74" s="21"/>
      <c r="AH74" s="21"/>
      <c r="AI74" s="29"/>
    </row>
    <row r="75" spans="1:35">
      <c r="A75" s="66" t="s">
        <v>103</v>
      </c>
      <c r="B75" s="67">
        <v>0.02</v>
      </c>
      <c r="C75" s="28"/>
      <c r="D75" s="28"/>
      <c r="E75" s="21"/>
      <c r="F75" s="21"/>
      <c r="G75" s="21"/>
      <c r="H75" s="29"/>
      <c r="J75" s="66" t="s">
        <v>103</v>
      </c>
      <c r="K75" s="67">
        <v>0.05</v>
      </c>
      <c r="L75" s="28"/>
      <c r="M75" s="28"/>
      <c r="N75" s="21"/>
      <c r="O75" s="21"/>
      <c r="P75" s="21"/>
      <c r="Q75" s="29"/>
      <c r="S75" s="66" t="s">
        <v>103</v>
      </c>
      <c r="T75" s="67">
        <v>5.0000000000000001E-3</v>
      </c>
      <c r="U75" s="28"/>
      <c r="V75" s="28"/>
      <c r="W75" s="21"/>
      <c r="X75" s="21"/>
      <c r="Y75" s="21"/>
      <c r="Z75" s="29"/>
      <c r="AB75" s="66" t="s">
        <v>103</v>
      </c>
      <c r="AC75" s="67">
        <v>5.0000000000000001E-3</v>
      </c>
      <c r="AD75" s="28"/>
      <c r="AE75" s="28"/>
      <c r="AF75" s="21"/>
      <c r="AG75" s="21"/>
      <c r="AH75" s="21"/>
      <c r="AI75" s="29"/>
    </row>
    <row r="76" spans="1:35">
      <c r="A76" s="27"/>
      <c r="B76" s="72">
        <f>B75</f>
        <v>0.02</v>
      </c>
      <c r="C76" s="28"/>
      <c r="D76" s="28"/>
      <c r="E76" s="21"/>
      <c r="F76" s="21"/>
      <c r="G76" s="21"/>
      <c r="H76" s="29"/>
      <c r="J76" s="27" t="s">
        <v>104</v>
      </c>
      <c r="K76" s="72">
        <f>K75+(K75*0.25*(K29/12-1))</f>
        <v>0.05</v>
      </c>
      <c r="L76" s="28"/>
      <c r="M76" s="28"/>
      <c r="N76" s="21"/>
      <c r="O76" s="21"/>
      <c r="P76" s="21"/>
      <c r="Q76" s="29"/>
      <c r="S76" s="27" t="s">
        <v>104</v>
      </c>
      <c r="T76" s="72">
        <f>T75+(T75*0.5*(K29/12-1))</f>
        <v>5.0000000000000001E-3</v>
      </c>
      <c r="U76" s="28"/>
      <c r="V76" s="28"/>
      <c r="W76" s="21"/>
      <c r="X76" s="21"/>
      <c r="Y76" s="21"/>
      <c r="Z76" s="29"/>
      <c r="AB76" s="27" t="s">
        <v>104</v>
      </c>
      <c r="AC76" s="72">
        <f>AC75+(AC75*0.5*(K29/12-1))</f>
        <v>5.0000000000000001E-3</v>
      </c>
      <c r="AD76" s="28"/>
      <c r="AE76" s="28"/>
      <c r="AF76" s="21"/>
      <c r="AG76" s="21"/>
      <c r="AH76" s="21"/>
      <c r="AI76" s="29"/>
    </row>
    <row r="77" spans="1:35">
      <c r="A77" s="49" t="s">
        <v>105</v>
      </c>
      <c r="B77" s="57">
        <f>(G167*B76)</f>
        <v>405.99991999999997</v>
      </c>
      <c r="C77" s="28"/>
      <c r="D77" s="28"/>
      <c r="E77" s="21"/>
      <c r="F77" s="21"/>
      <c r="G77" s="21"/>
      <c r="H77" s="29"/>
      <c r="J77" s="49" t="s">
        <v>105</v>
      </c>
      <c r="K77" s="57">
        <f>K70*K76</f>
        <v>2026.3000000000002</v>
      </c>
      <c r="L77" s="28"/>
      <c r="M77" s="28"/>
      <c r="N77" s="21"/>
      <c r="O77" s="21"/>
      <c r="P77" s="21"/>
      <c r="Q77" s="29"/>
      <c r="S77" s="49" t="s">
        <v>105</v>
      </c>
      <c r="T77" s="57">
        <f>T70*T76</f>
        <v>202.63</v>
      </c>
      <c r="U77" s="28"/>
      <c r="V77" s="28"/>
      <c r="W77" s="21"/>
      <c r="X77" s="21"/>
      <c r="Y77" s="21"/>
      <c r="Z77" s="29"/>
      <c r="AB77" s="49" t="s">
        <v>105</v>
      </c>
      <c r="AC77" s="57" t="e">
        <f>AH167*AC76</f>
        <v>#VALUE!</v>
      </c>
      <c r="AD77" s="28"/>
      <c r="AE77" s="28"/>
      <c r="AF77" s="21"/>
      <c r="AG77" s="21"/>
      <c r="AH77" s="21"/>
      <c r="AI77" s="29"/>
    </row>
    <row r="78" spans="1:35">
      <c r="A78" s="66" t="s">
        <v>106</v>
      </c>
      <c r="B78" s="67">
        <v>0</v>
      </c>
      <c r="C78" s="28"/>
      <c r="D78" s="28"/>
      <c r="E78" s="21"/>
      <c r="F78" s="21"/>
      <c r="G78" s="21"/>
      <c r="H78" s="29"/>
      <c r="J78" s="66" t="s">
        <v>106</v>
      </c>
      <c r="K78" s="67">
        <v>0</v>
      </c>
      <c r="L78" s="28"/>
      <c r="M78" s="28"/>
      <c r="N78" s="21"/>
      <c r="O78" s="21"/>
      <c r="P78" s="21"/>
      <c r="Q78" s="29"/>
      <c r="S78" s="66" t="s">
        <v>106</v>
      </c>
      <c r="T78" s="67">
        <v>0</v>
      </c>
      <c r="U78" s="28"/>
      <c r="V78" s="28"/>
      <c r="W78" s="21"/>
      <c r="X78" s="21"/>
      <c r="Y78" s="21"/>
      <c r="Z78" s="29"/>
      <c r="AB78" s="66" t="s">
        <v>106</v>
      </c>
      <c r="AC78" s="67">
        <v>0</v>
      </c>
      <c r="AD78" s="28"/>
      <c r="AE78" s="28"/>
      <c r="AF78" s="21"/>
      <c r="AG78" s="21"/>
      <c r="AH78" s="21"/>
      <c r="AI78" s="29"/>
    </row>
    <row r="79" spans="1:35">
      <c r="A79" s="68" t="s">
        <v>107</v>
      </c>
      <c r="B79" s="69">
        <v>0</v>
      </c>
      <c r="C79" s="28"/>
      <c r="D79" s="28"/>
      <c r="E79" s="21"/>
      <c r="F79" s="21"/>
      <c r="G79" s="21"/>
      <c r="H79" s="29"/>
      <c r="J79" s="68" t="s">
        <v>107</v>
      </c>
      <c r="K79" s="69">
        <v>0</v>
      </c>
      <c r="L79" s="28"/>
      <c r="M79" s="28"/>
      <c r="N79" s="21"/>
      <c r="O79" s="21"/>
      <c r="P79" s="21"/>
      <c r="Q79" s="29"/>
      <c r="S79" s="68" t="s">
        <v>107</v>
      </c>
      <c r="T79" s="69">
        <v>0</v>
      </c>
      <c r="U79" s="28"/>
      <c r="V79" s="28"/>
      <c r="W79" s="21"/>
      <c r="X79" s="21"/>
      <c r="Y79" s="21"/>
      <c r="Z79" s="29"/>
      <c r="AB79" s="68" t="s">
        <v>107</v>
      </c>
      <c r="AC79" s="69">
        <v>0</v>
      </c>
      <c r="AD79" s="28"/>
      <c r="AE79" s="28"/>
      <c r="AF79" s="21"/>
      <c r="AG79" s="21"/>
      <c r="AH79" s="21"/>
      <c r="AI79" s="29"/>
    </row>
    <row r="80" spans="1:35">
      <c r="A80" s="49" t="s">
        <v>108</v>
      </c>
      <c r="B80" s="73">
        <f>B78*(1+B79)</f>
        <v>0</v>
      </c>
      <c r="C80" s="28"/>
      <c r="D80" s="28"/>
      <c r="E80" s="21"/>
      <c r="F80" s="21"/>
      <c r="G80" s="21"/>
      <c r="H80" s="29"/>
      <c r="J80" s="49" t="s">
        <v>108</v>
      </c>
      <c r="K80" s="73">
        <f>K78*(1+K79)</f>
        <v>0</v>
      </c>
      <c r="L80" s="28"/>
      <c r="M80" s="28"/>
      <c r="N80" s="21"/>
      <c r="O80" s="21"/>
      <c r="P80" s="21"/>
      <c r="Q80" s="29"/>
      <c r="S80" s="49" t="s">
        <v>108</v>
      </c>
      <c r="T80" s="73">
        <f>T78*(1+T79)</f>
        <v>0</v>
      </c>
      <c r="U80" s="28"/>
      <c r="V80" s="28"/>
      <c r="W80" s="21"/>
      <c r="X80" s="21"/>
      <c r="Y80" s="21"/>
      <c r="Z80" s="29"/>
      <c r="AB80" s="49" t="s">
        <v>108</v>
      </c>
      <c r="AC80" s="73">
        <f>AC78*(1+AC79)</f>
        <v>0</v>
      </c>
      <c r="AD80" s="28"/>
      <c r="AE80" s="28"/>
      <c r="AF80" s="21"/>
      <c r="AG80" s="21"/>
      <c r="AH80" s="21"/>
      <c r="AI80" s="29"/>
    </row>
    <row r="81" spans="1:35">
      <c r="A81" s="66" t="s">
        <v>109</v>
      </c>
      <c r="B81" s="74">
        <v>0</v>
      </c>
      <c r="C81" s="28"/>
      <c r="D81" s="28"/>
      <c r="E81" s="21"/>
      <c r="F81" s="21"/>
      <c r="G81" s="21"/>
      <c r="H81" s="29"/>
      <c r="J81" s="66" t="s">
        <v>109</v>
      </c>
      <c r="K81" s="74">
        <v>0</v>
      </c>
      <c r="L81" s="28"/>
      <c r="M81" s="28"/>
      <c r="N81" s="21"/>
      <c r="O81" s="21"/>
      <c r="P81" s="21"/>
      <c r="Q81" s="29"/>
      <c r="S81" s="66" t="s">
        <v>109</v>
      </c>
      <c r="T81" s="74">
        <v>0</v>
      </c>
      <c r="U81" s="28"/>
      <c r="V81" s="28"/>
      <c r="W81" s="21"/>
      <c r="X81" s="21"/>
      <c r="Y81" s="21"/>
      <c r="Z81" s="29"/>
      <c r="AB81" s="66" t="s">
        <v>109</v>
      </c>
      <c r="AC81" s="74">
        <v>0</v>
      </c>
      <c r="AD81" s="28"/>
      <c r="AE81" s="28"/>
      <c r="AF81" s="21"/>
      <c r="AG81" s="21"/>
      <c r="AH81" s="21"/>
      <c r="AI81" s="29"/>
    </row>
    <row r="82" spans="1:35">
      <c r="A82" s="68" t="s">
        <v>110</v>
      </c>
      <c r="B82" s="65">
        <v>0</v>
      </c>
      <c r="C82" s="28"/>
      <c r="D82" s="28"/>
      <c r="E82" s="21"/>
      <c r="F82" s="21"/>
      <c r="G82" s="21"/>
      <c r="H82" s="29"/>
      <c r="J82" s="68" t="s">
        <v>110</v>
      </c>
      <c r="K82" s="65">
        <v>0</v>
      </c>
      <c r="L82" s="28"/>
      <c r="M82" s="28"/>
      <c r="N82" s="21"/>
      <c r="O82" s="21"/>
      <c r="P82" s="21"/>
      <c r="Q82" s="29"/>
      <c r="S82" s="68" t="s">
        <v>110</v>
      </c>
      <c r="T82" s="65">
        <v>0</v>
      </c>
      <c r="U82" s="28"/>
      <c r="V82" s="28"/>
      <c r="W82" s="21"/>
      <c r="X82" s="21"/>
      <c r="Y82" s="21"/>
      <c r="Z82" s="29"/>
      <c r="AB82" s="68" t="s">
        <v>110</v>
      </c>
      <c r="AC82" s="65">
        <v>0</v>
      </c>
      <c r="AD82" s="28"/>
      <c r="AE82" s="28"/>
      <c r="AF82" s="21"/>
      <c r="AG82" s="21"/>
      <c r="AH82" s="21"/>
      <c r="AI82" s="29"/>
    </row>
    <row r="83" spans="1:35">
      <c r="A83" s="49" t="s">
        <v>111</v>
      </c>
      <c r="B83" s="57">
        <f>B82*K29</f>
        <v>0</v>
      </c>
      <c r="C83" s="28"/>
      <c r="D83" s="28">
        <f>B83+B81</f>
        <v>0</v>
      </c>
      <c r="E83" s="21"/>
      <c r="F83" s="21"/>
      <c r="G83" s="21"/>
      <c r="H83" s="29"/>
      <c r="J83" s="49" t="s">
        <v>111</v>
      </c>
      <c r="K83" s="57">
        <f>K82*K29</f>
        <v>0</v>
      </c>
      <c r="L83" s="28"/>
      <c r="M83" s="28">
        <f>K83+K81</f>
        <v>0</v>
      </c>
      <c r="N83" s="21"/>
      <c r="O83" s="21"/>
      <c r="P83" s="21"/>
      <c r="Q83" s="29"/>
      <c r="S83" s="49" t="s">
        <v>111</v>
      </c>
      <c r="T83" s="57">
        <f>T82*K29</f>
        <v>0</v>
      </c>
      <c r="U83" s="28"/>
      <c r="V83" s="28">
        <f>T83+T81</f>
        <v>0</v>
      </c>
      <c r="W83" s="21"/>
      <c r="X83" s="21"/>
      <c r="Y83" s="21"/>
      <c r="Z83" s="29"/>
      <c r="AB83" s="49" t="s">
        <v>111</v>
      </c>
      <c r="AC83" s="57">
        <f>AC82*K29</f>
        <v>0</v>
      </c>
      <c r="AD83" s="28"/>
      <c r="AE83" s="28">
        <f>AC83+AC81</f>
        <v>0</v>
      </c>
      <c r="AF83" s="21"/>
      <c r="AG83" s="21"/>
      <c r="AH83" s="21"/>
      <c r="AI83" s="29"/>
    </row>
    <row r="84" spans="1:35">
      <c r="A84" s="68" t="s">
        <v>112</v>
      </c>
      <c r="B84" s="65">
        <v>0</v>
      </c>
      <c r="C84" s="28"/>
      <c r="D84" s="28">
        <f>B84</f>
        <v>0</v>
      </c>
      <c r="E84" s="21"/>
      <c r="F84" s="21"/>
      <c r="G84" s="21"/>
      <c r="H84" s="29"/>
      <c r="J84" s="68" t="s">
        <v>112</v>
      </c>
      <c r="K84" s="65">
        <v>0</v>
      </c>
      <c r="L84" s="28"/>
      <c r="M84" s="28">
        <f>K84</f>
        <v>0</v>
      </c>
      <c r="N84" s="21"/>
      <c r="O84" s="21"/>
      <c r="P84" s="21"/>
      <c r="Q84" s="29"/>
      <c r="S84" s="68" t="s">
        <v>112</v>
      </c>
      <c r="T84" s="65">
        <v>0</v>
      </c>
      <c r="U84" s="28"/>
      <c r="V84" s="28">
        <f>T84</f>
        <v>0</v>
      </c>
      <c r="W84" s="21"/>
      <c r="X84" s="21"/>
      <c r="Y84" s="21"/>
      <c r="Z84" s="29"/>
      <c r="AB84" s="68" t="s">
        <v>112</v>
      </c>
      <c r="AC84" s="65">
        <v>0</v>
      </c>
      <c r="AD84" s="28"/>
      <c r="AE84" s="28">
        <f>AC84</f>
        <v>0</v>
      </c>
      <c r="AF84" s="21"/>
      <c r="AG84" s="21"/>
      <c r="AH84" s="21"/>
      <c r="AI84" s="29"/>
    </row>
    <row r="85" spans="1:35">
      <c r="A85" s="70" t="s">
        <v>113</v>
      </c>
      <c r="B85" s="75">
        <v>0</v>
      </c>
      <c r="C85" s="28"/>
      <c r="D85" s="28">
        <f>B85</f>
        <v>0</v>
      </c>
      <c r="E85" s="21"/>
      <c r="F85" s="28"/>
      <c r="G85" s="21"/>
      <c r="H85" s="29"/>
      <c r="J85" s="70" t="s">
        <v>113</v>
      </c>
      <c r="K85" s="75">
        <v>0</v>
      </c>
      <c r="L85" s="28"/>
      <c r="M85" s="28">
        <f>K85</f>
        <v>0</v>
      </c>
      <c r="N85" s="21"/>
      <c r="O85" s="21"/>
      <c r="P85" s="21"/>
      <c r="Q85" s="29"/>
      <c r="S85" s="70" t="s">
        <v>113</v>
      </c>
      <c r="T85" s="75">
        <v>0</v>
      </c>
      <c r="U85" s="28"/>
      <c r="V85" s="28">
        <f>T85</f>
        <v>0</v>
      </c>
      <c r="W85" s="21"/>
      <c r="X85" s="21"/>
      <c r="Y85" s="21"/>
      <c r="Z85" s="29"/>
      <c r="AB85" s="70" t="s">
        <v>113</v>
      </c>
      <c r="AC85" s="75">
        <v>0</v>
      </c>
      <c r="AD85" s="28"/>
      <c r="AE85" s="28">
        <f>AC85</f>
        <v>0</v>
      </c>
      <c r="AF85" s="21"/>
      <c r="AG85" s="21"/>
      <c r="AH85" s="21"/>
      <c r="AI85" s="29"/>
    </row>
    <row r="86" spans="1:35">
      <c r="A86" s="76" t="s">
        <v>114</v>
      </c>
      <c r="B86" s="77">
        <f>SUM(D74:D85)</f>
        <v>0</v>
      </c>
      <c r="C86" s="28"/>
      <c r="D86" s="28"/>
      <c r="E86" s="21"/>
      <c r="F86" s="28"/>
      <c r="G86" s="28"/>
      <c r="H86" s="29"/>
      <c r="J86" s="76" t="s">
        <v>114</v>
      </c>
      <c r="K86" s="77">
        <f>SUM(M74:M85)</f>
        <v>0</v>
      </c>
      <c r="L86" s="28"/>
      <c r="M86" s="28"/>
      <c r="N86" s="21"/>
      <c r="O86" s="21"/>
      <c r="P86" s="21"/>
      <c r="Q86" s="29"/>
      <c r="S86" s="76" t="s">
        <v>114</v>
      </c>
      <c r="T86" s="77">
        <f>SUM(V74:V85)</f>
        <v>0</v>
      </c>
      <c r="U86" s="28"/>
      <c r="V86" s="28"/>
      <c r="W86" s="21"/>
      <c r="X86" s="21"/>
      <c r="Y86" s="21"/>
      <c r="Z86" s="29"/>
      <c r="AB86" s="76" t="s">
        <v>114</v>
      </c>
      <c r="AC86" s="77">
        <f>SUM(AE74:AE85)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115</v>
      </c>
      <c r="B87" s="29">
        <f>B86/K29</f>
        <v>0</v>
      </c>
      <c r="C87" s="28"/>
      <c r="D87" s="28"/>
      <c r="E87" s="21"/>
      <c r="F87" s="21"/>
      <c r="G87" s="21"/>
      <c r="H87" s="29"/>
      <c r="J87" s="27" t="s">
        <v>115</v>
      </c>
      <c r="K87" s="29">
        <f>K86/K29</f>
        <v>0</v>
      </c>
      <c r="L87" s="28"/>
      <c r="M87" s="28"/>
      <c r="N87" s="21"/>
      <c r="O87" s="21"/>
      <c r="P87" s="21"/>
      <c r="Q87" s="29"/>
      <c r="S87" s="27" t="s">
        <v>115</v>
      </c>
      <c r="T87" s="29">
        <f>T86/K29</f>
        <v>0</v>
      </c>
      <c r="U87" s="28"/>
      <c r="V87" s="28"/>
      <c r="W87" s="21"/>
      <c r="X87" s="21"/>
      <c r="Y87" s="21"/>
      <c r="Z87" s="29"/>
      <c r="AB87" s="27" t="s">
        <v>115</v>
      </c>
      <c r="AC87" s="29">
        <f>AC86/K29</f>
        <v>0</v>
      </c>
      <c r="AD87" s="28"/>
      <c r="AE87" s="28"/>
      <c r="AF87" s="21"/>
      <c r="AG87" s="21"/>
      <c r="AH87" s="21"/>
      <c r="AI87" s="29"/>
    </row>
    <row r="88" spans="1:35">
      <c r="A88" s="78" t="s">
        <v>116</v>
      </c>
      <c r="B88" s="52">
        <f>K49</f>
        <v>354.75000000000006</v>
      </c>
      <c r="C88" s="28"/>
      <c r="D88" s="28"/>
      <c r="E88" s="21"/>
      <c r="F88" s="21"/>
      <c r="G88" s="21"/>
      <c r="H88" s="29"/>
      <c r="J88" s="78" t="s">
        <v>116</v>
      </c>
      <c r="K88" s="52">
        <f>K47</f>
        <v>1</v>
      </c>
      <c r="L88" s="28"/>
      <c r="M88" s="28"/>
      <c r="N88" s="21"/>
      <c r="O88" s="21"/>
      <c r="P88" s="21"/>
      <c r="Q88" s="29"/>
      <c r="S88" s="78" t="s">
        <v>116</v>
      </c>
      <c r="T88" s="52">
        <f>B60</f>
        <v>354.75000000000006</v>
      </c>
      <c r="U88" s="28"/>
      <c r="V88" s="28"/>
      <c r="W88" s="21"/>
      <c r="X88" s="21"/>
      <c r="Y88" s="21"/>
      <c r="Z88" s="29"/>
      <c r="AB88" s="78" t="s">
        <v>116</v>
      </c>
      <c r="AC88" s="52">
        <f>B60</f>
        <v>354.75000000000006</v>
      </c>
      <c r="AD88" s="28"/>
      <c r="AE88" s="28"/>
      <c r="AF88" s="21"/>
      <c r="AG88" s="21"/>
      <c r="AH88" s="21"/>
      <c r="AI88" s="29"/>
    </row>
    <row r="89" spans="1:35">
      <c r="A89" s="27"/>
      <c r="B89" s="28"/>
      <c r="C89" s="28"/>
      <c r="D89" s="28"/>
      <c r="E89" s="21"/>
      <c r="F89" s="21"/>
      <c r="G89" s="21"/>
      <c r="H89" s="29"/>
      <c r="J89" s="27"/>
      <c r="K89" s="28"/>
      <c r="L89" s="28"/>
      <c r="M89" s="28"/>
      <c r="N89" s="21"/>
      <c r="O89" s="21"/>
      <c r="P89" s="21"/>
      <c r="Q89" s="29"/>
      <c r="S89" s="27"/>
      <c r="T89" s="28"/>
      <c r="U89" s="28"/>
      <c r="V89" s="28"/>
      <c r="W89" s="21"/>
      <c r="X89" s="21"/>
      <c r="Y89" s="21"/>
      <c r="Z89" s="29"/>
      <c r="AB89" s="27"/>
      <c r="AC89" s="28"/>
      <c r="AD89" s="28"/>
      <c r="AE89" s="28"/>
      <c r="AF89" s="21"/>
      <c r="AG89" s="21"/>
      <c r="AH89" s="21"/>
      <c r="AI89" s="29"/>
    </row>
    <row r="90" spans="1:35">
      <c r="A90" s="22" t="s">
        <v>117</v>
      </c>
      <c r="B90" s="24">
        <f>F37</f>
        <v>15650</v>
      </c>
      <c r="C90" s="28"/>
      <c r="D90" s="28"/>
      <c r="E90" s="21"/>
      <c r="F90" s="22" t="s">
        <v>117</v>
      </c>
      <c r="G90" s="24">
        <f>F37</f>
        <v>15650</v>
      </c>
      <c r="H90" s="29"/>
      <c r="J90" s="22" t="s">
        <v>117</v>
      </c>
      <c r="K90" s="24" t="e">
        <f>P167</f>
        <v>#VALUE!</v>
      </c>
      <c r="L90" s="28"/>
      <c r="M90" s="28"/>
      <c r="N90" s="21"/>
      <c r="O90" s="21"/>
      <c r="P90" s="21"/>
      <c r="Q90" s="29"/>
      <c r="S90" s="22" t="s">
        <v>117</v>
      </c>
      <c r="T90" s="24" t="e">
        <f>Y167</f>
        <v>#VALUE!</v>
      </c>
      <c r="U90" s="28"/>
      <c r="V90" s="28"/>
      <c r="W90" s="21"/>
      <c r="X90" s="21"/>
      <c r="Y90" s="21"/>
      <c r="Z90" s="29"/>
      <c r="AB90" s="22" t="s">
        <v>117</v>
      </c>
      <c r="AC90" s="24" t="e">
        <f>AH167</f>
        <v>#VALUE!</v>
      </c>
      <c r="AD90" s="28"/>
      <c r="AE90" s="28"/>
      <c r="AF90" s="21"/>
      <c r="AG90" s="21"/>
      <c r="AH90" s="21"/>
      <c r="AI90" s="29"/>
    </row>
    <row r="91" spans="1:35">
      <c r="A91" s="27" t="s">
        <v>118</v>
      </c>
      <c r="B91" s="29">
        <f>IF(A111="YES",A43,0)*1.2</f>
        <v>7200</v>
      </c>
      <c r="C91" s="28"/>
      <c r="D91" s="28"/>
      <c r="E91" s="21"/>
      <c r="F91" s="27" t="s">
        <v>118</v>
      </c>
      <c r="G91" s="29">
        <f>IF(A111="YES",A43,0)*1.2</f>
        <v>7200</v>
      </c>
      <c r="H91" s="29"/>
      <c r="J91" s="27" t="s">
        <v>118</v>
      </c>
      <c r="K91" s="29">
        <f>IF(J120="YES",A40,0)</f>
        <v>0</v>
      </c>
      <c r="L91" s="28"/>
      <c r="M91" s="28"/>
      <c r="N91" s="21"/>
      <c r="O91" s="21"/>
      <c r="P91" s="21"/>
      <c r="Q91" s="29"/>
      <c r="S91" s="27" t="s">
        <v>118</v>
      </c>
      <c r="T91" s="29" t="str">
        <f>A40</f>
        <v>12</v>
      </c>
      <c r="U91" s="28"/>
      <c r="V91" s="28"/>
      <c r="W91" s="21"/>
      <c r="X91" s="21"/>
      <c r="Y91" s="21"/>
      <c r="Z91" s="29"/>
      <c r="AB91" s="27" t="s">
        <v>118</v>
      </c>
      <c r="AC91" s="29" t="str">
        <f>A40</f>
        <v>12</v>
      </c>
      <c r="AD91" s="28"/>
      <c r="AE91" s="28"/>
      <c r="AF91" s="21"/>
      <c r="AG91" s="21"/>
      <c r="AH91" s="21"/>
      <c r="AI91" s="29"/>
    </row>
    <row r="92" spans="1:35">
      <c r="A92" s="27" t="s">
        <v>119</v>
      </c>
      <c r="B92" s="72">
        <f>B71+B72+B73</f>
        <v>0.1255</v>
      </c>
      <c r="C92" s="28"/>
      <c r="D92" s="28"/>
      <c r="E92" s="21"/>
      <c r="F92" s="27" t="s">
        <v>119</v>
      </c>
      <c r="G92" s="79">
        <f>B72</f>
        <v>6.5000000000000002E-2</v>
      </c>
      <c r="H92" s="29"/>
      <c r="J92" s="27" t="s">
        <v>119</v>
      </c>
      <c r="K92" s="72">
        <f>K71+K72+K73</f>
        <v>0.24000000000000002</v>
      </c>
      <c r="L92" s="28"/>
      <c r="M92" s="28"/>
      <c r="N92" s="21"/>
      <c r="O92" s="21"/>
      <c r="P92" s="21"/>
      <c r="Q92" s="29"/>
      <c r="S92" s="27" t="s">
        <v>119</v>
      </c>
      <c r="T92" s="72">
        <f>T71+T72+T73</f>
        <v>0.1235</v>
      </c>
      <c r="U92" s="28"/>
      <c r="V92" s="28"/>
      <c r="W92" s="21"/>
      <c r="X92" s="21"/>
      <c r="Y92" s="21"/>
      <c r="Z92" s="29"/>
      <c r="AB92" s="27" t="s">
        <v>119</v>
      </c>
      <c r="AC92" s="72">
        <f>AC71+AC72+AC73</f>
        <v>0.1235</v>
      </c>
      <c r="AD92" s="28"/>
      <c r="AE92" s="28"/>
      <c r="AF92" s="21"/>
      <c r="AG92" s="21"/>
      <c r="AH92" s="21"/>
      <c r="AI92" s="29"/>
    </row>
    <row r="93" spans="1:35">
      <c r="A93" s="27" t="s">
        <v>120</v>
      </c>
      <c r="B93" s="72">
        <f>B92/12</f>
        <v>1.0458333333333333E-2</v>
      </c>
      <c r="C93" s="28"/>
      <c r="D93" s="28"/>
      <c r="E93" s="21"/>
      <c r="F93" s="27" t="s">
        <v>120</v>
      </c>
      <c r="G93" s="72">
        <f>G92/12</f>
        <v>5.4166666666666669E-3</v>
      </c>
      <c r="H93" s="29"/>
      <c r="J93" s="27" t="s">
        <v>120</v>
      </c>
      <c r="K93" s="72">
        <f>K92/12</f>
        <v>0.02</v>
      </c>
      <c r="L93" s="28"/>
      <c r="M93" s="28"/>
      <c r="N93" s="21"/>
      <c r="O93" s="21"/>
      <c r="P93" s="21"/>
      <c r="Q93" s="29"/>
      <c r="S93" s="27" t="s">
        <v>120</v>
      </c>
      <c r="T93" s="72">
        <f>T92/12</f>
        <v>1.0291666666666666E-2</v>
      </c>
      <c r="U93" s="28"/>
      <c r="V93" s="28"/>
      <c r="W93" s="21"/>
      <c r="X93" s="21"/>
      <c r="Y93" s="21"/>
      <c r="Z93" s="29"/>
      <c r="AB93" s="27" t="s">
        <v>120</v>
      </c>
      <c r="AC93" s="72">
        <f>AC92/12</f>
        <v>1.0291666666666666E-2</v>
      </c>
      <c r="AD93" s="28"/>
      <c r="AE93" s="28"/>
      <c r="AF93" s="21"/>
      <c r="AG93" s="21"/>
      <c r="AH93" s="21"/>
      <c r="AI93" s="29"/>
    </row>
    <row r="94" spans="1:35">
      <c r="A94" s="27" t="s">
        <v>121</v>
      </c>
      <c r="B94" s="29">
        <f>IF(B91=0,(B68+B67),(B68))</f>
        <v>11</v>
      </c>
      <c r="C94" s="28"/>
      <c r="D94" s="28"/>
      <c r="E94" s="21"/>
      <c r="F94" s="27" t="s">
        <v>121</v>
      </c>
      <c r="G94" s="29">
        <f>IF(G91=0,(B68+B67),(B68))</f>
        <v>11</v>
      </c>
      <c r="H94" s="29"/>
      <c r="J94" s="27" t="s">
        <v>121</v>
      </c>
      <c r="K94" s="29">
        <f>IF(K91=0,(K68+K67),(K68))</f>
        <v>12</v>
      </c>
      <c r="L94" s="28"/>
      <c r="M94" s="28"/>
      <c r="N94" s="21"/>
      <c r="O94" s="21"/>
      <c r="P94" s="21"/>
      <c r="Q94" s="29"/>
      <c r="S94" s="27" t="s">
        <v>121</v>
      </c>
      <c r="T94" s="29">
        <f>T68</f>
        <v>11</v>
      </c>
      <c r="U94" s="28"/>
      <c r="V94" s="28"/>
      <c r="W94" s="21"/>
      <c r="X94" s="21"/>
      <c r="Y94" s="21"/>
      <c r="Z94" s="29"/>
      <c r="AB94" s="27" t="s">
        <v>121</v>
      </c>
      <c r="AC94" s="29">
        <f>AC68</f>
        <v>11</v>
      </c>
      <c r="AD94" s="28"/>
      <c r="AE94" s="28"/>
      <c r="AF94" s="21"/>
      <c r="AG94" s="21"/>
      <c r="AH94" s="21"/>
      <c r="AI94" s="29"/>
    </row>
    <row r="95" spans="1:35">
      <c r="A95" s="27" t="s">
        <v>122</v>
      </c>
      <c r="B95" s="29">
        <f>(B91/((1+B93)^(B94+1)))</f>
        <v>6354.9417998796171</v>
      </c>
      <c r="C95" s="28"/>
      <c r="D95" s="28"/>
      <c r="E95" s="21"/>
      <c r="F95" s="27" t="s">
        <v>122</v>
      </c>
      <c r="G95" s="29">
        <f>(G91/((1+G93)^(G94+1)))</f>
        <v>6748.0693014409899</v>
      </c>
      <c r="H95" s="29"/>
      <c r="J95" s="27" t="s">
        <v>122</v>
      </c>
      <c r="K95" s="29">
        <f>(K91/((1+K93)^(K94+1)))</f>
        <v>0</v>
      </c>
      <c r="L95" s="28"/>
      <c r="M95" s="28"/>
      <c r="N95" s="21"/>
      <c r="O95" s="21"/>
      <c r="P95" s="21"/>
      <c r="Q95" s="29"/>
      <c r="S95" s="27" t="s">
        <v>122</v>
      </c>
      <c r="T95" s="29">
        <f>(T91/((1+T93)^(T94+1)))</f>
        <v>10.612556051563121</v>
      </c>
      <c r="U95" s="28"/>
      <c r="V95" s="28"/>
      <c r="W95" s="21"/>
      <c r="X95" s="21"/>
      <c r="Y95" s="21"/>
      <c r="Z95" s="29"/>
      <c r="AB95" s="27" t="s">
        <v>122</v>
      </c>
      <c r="AC95" s="29">
        <f>(AC91/((1+AC93)^(AC94+1)))</f>
        <v>10.612556051563121</v>
      </c>
      <c r="AD95" s="28"/>
      <c r="AE95" s="28"/>
      <c r="AF95" s="21"/>
      <c r="AG95" s="21"/>
      <c r="AH95" s="21"/>
      <c r="AI95" s="29"/>
    </row>
    <row r="96" spans="1:35">
      <c r="A96" s="27" t="s">
        <v>123</v>
      </c>
      <c r="B96" s="29">
        <f>((1-(1/((1+B93)^B94)))/B93)</f>
        <v>10.339921652899179</v>
      </c>
      <c r="C96" s="28"/>
      <c r="D96" s="28"/>
      <c r="E96" s="21"/>
      <c r="F96" s="27" t="s">
        <v>123</v>
      </c>
      <c r="G96" s="29">
        <f>((1-(1/((1+G93)^G94)))/G93)</f>
        <v>10.65073478229589</v>
      </c>
      <c r="H96" s="29"/>
      <c r="J96" s="27" t="s">
        <v>123</v>
      </c>
      <c r="K96" s="29">
        <f>((1-(1/((1+K93)^K94)))/K93)</f>
        <v>10.575341220917178</v>
      </c>
      <c r="L96" s="28"/>
      <c r="M96" s="28"/>
      <c r="N96" s="21"/>
      <c r="O96" s="21"/>
      <c r="P96" s="21"/>
      <c r="Q96" s="29"/>
      <c r="S96" s="27" t="s">
        <v>123</v>
      </c>
      <c r="T96" s="29">
        <f>((1-(1/((1+T93)^T94)))/T93)</f>
        <v>10.349984283990906</v>
      </c>
      <c r="U96" s="28"/>
      <c r="V96" s="28"/>
      <c r="W96" s="21"/>
      <c r="X96" s="21"/>
      <c r="Y96" s="21"/>
      <c r="Z96" s="29"/>
      <c r="AB96" s="27" t="s">
        <v>123</v>
      </c>
      <c r="AC96" s="29">
        <f>((1-(1/((1+AC93)^AC94)))/AC93)</f>
        <v>10.349984283990906</v>
      </c>
      <c r="AD96" s="28"/>
      <c r="AE96" s="28"/>
      <c r="AF96" s="21"/>
      <c r="AG96" s="21"/>
      <c r="AH96" s="21"/>
      <c r="AI96" s="29"/>
    </row>
    <row r="97" spans="1:35">
      <c r="A97" s="27" t="s">
        <v>124</v>
      </c>
      <c r="B97" s="29">
        <f>B90-B95</f>
        <v>9295.0582001203838</v>
      </c>
      <c r="C97" s="28"/>
      <c r="D97" s="28"/>
      <c r="E97" s="21"/>
      <c r="F97" s="27" t="s">
        <v>124</v>
      </c>
      <c r="G97" s="29">
        <f>G90-G95</f>
        <v>8901.9306985590101</v>
      </c>
      <c r="H97" s="29"/>
      <c r="J97" s="27" t="s">
        <v>124</v>
      </c>
      <c r="K97" s="29" t="e">
        <f>K90-K95</f>
        <v>#VALUE!</v>
      </c>
      <c r="L97" s="28"/>
      <c r="M97" s="28"/>
      <c r="N97" s="21"/>
      <c r="O97" s="21"/>
      <c r="P97" s="21"/>
      <c r="Q97" s="29"/>
      <c r="S97" s="27" t="s">
        <v>124</v>
      </c>
      <c r="T97" s="29" t="e">
        <f>T90-T95</f>
        <v>#VALUE!</v>
      </c>
      <c r="U97" s="28"/>
      <c r="V97" s="28"/>
      <c r="W97" s="21"/>
      <c r="X97" s="21"/>
      <c r="Y97" s="21"/>
      <c r="Z97" s="29"/>
      <c r="AB97" s="27" t="s">
        <v>124</v>
      </c>
      <c r="AC97" s="29" t="e">
        <f>AC90-AC95</f>
        <v>#VALUE!</v>
      </c>
      <c r="AD97" s="28"/>
      <c r="AE97" s="28"/>
      <c r="AF97" s="21"/>
      <c r="AG97" s="21"/>
      <c r="AH97" s="21"/>
      <c r="AI97" s="29"/>
    </row>
    <row r="98" spans="1:35">
      <c r="A98" s="27" t="s">
        <v>125</v>
      </c>
      <c r="B98" s="29">
        <f>(B97/B96)</f>
        <v>898.94861026477611</v>
      </c>
      <c r="C98" s="28"/>
      <c r="D98" s="28"/>
      <c r="E98" s="21"/>
      <c r="F98" s="27" t="s">
        <v>125</v>
      </c>
      <c r="G98" s="29">
        <f>(G97/G96)</f>
        <v>835.80437223506704</v>
      </c>
      <c r="H98" s="29"/>
      <c r="J98" s="27" t="s">
        <v>125</v>
      </c>
      <c r="K98" s="29" t="e">
        <f>(K97/K96)</f>
        <v>#VALUE!</v>
      </c>
      <c r="L98" s="28"/>
      <c r="M98" s="28"/>
      <c r="N98" s="21"/>
      <c r="O98" s="21"/>
      <c r="P98" s="21"/>
      <c r="Q98" s="29"/>
      <c r="S98" s="27" t="s">
        <v>125</v>
      </c>
      <c r="T98" s="29" t="e">
        <f>(T97/T96)</f>
        <v>#VALUE!</v>
      </c>
      <c r="U98" s="28"/>
      <c r="V98" s="28"/>
      <c r="W98" s="21"/>
      <c r="X98" s="21"/>
      <c r="Y98" s="21"/>
      <c r="Z98" s="29"/>
      <c r="AB98" s="27" t="s">
        <v>125</v>
      </c>
      <c r="AC98" s="29" t="e">
        <f>(AC97/AC96)</f>
        <v>#VALUE!</v>
      </c>
      <c r="AD98" s="28"/>
      <c r="AE98" s="28"/>
      <c r="AF98" s="21"/>
      <c r="AG98" s="21"/>
      <c r="AH98" s="21"/>
      <c r="AI98" s="29"/>
    </row>
    <row r="99" spans="1:35">
      <c r="A99" s="27" t="s">
        <v>126</v>
      </c>
      <c r="B99" s="29">
        <f>((B98*(B94))+B86)</f>
        <v>9888.4347129125381</v>
      </c>
      <c r="C99" s="28"/>
      <c r="D99" s="28"/>
      <c r="E99" s="21"/>
      <c r="F99" s="27" t="s">
        <v>126</v>
      </c>
      <c r="G99" s="29">
        <f>((G98*(G94))+G86)</f>
        <v>9193.8480945857373</v>
      </c>
      <c r="H99" s="29"/>
      <c r="J99" s="27" t="s">
        <v>126</v>
      </c>
      <c r="K99" s="29" t="e">
        <f>((K98*(K94))+K86)</f>
        <v>#VALUE!</v>
      </c>
      <c r="L99" s="28"/>
      <c r="M99" s="28"/>
      <c r="N99" s="21"/>
      <c r="O99" s="21"/>
      <c r="P99" s="21"/>
      <c r="Q99" s="29"/>
      <c r="S99" s="27" t="s">
        <v>126</v>
      </c>
      <c r="T99" s="29" t="e">
        <f>(T98*(T94))+T86</f>
        <v>#VALUE!</v>
      </c>
      <c r="U99" s="28"/>
      <c r="V99" s="28"/>
      <c r="W99" s="21"/>
      <c r="X99" s="21"/>
      <c r="Y99" s="21"/>
      <c r="Z99" s="29"/>
      <c r="AB99" s="27" t="s">
        <v>126</v>
      </c>
      <c r="AC99" s="29" t="e">
        <f>(AC98*(AC68))+AC86</f>
        <v>#VALUE!</v>
      </c>
      <c r="AD99" s="28"/>
      <c r="AE99" s="28"/>
      <c r="AF99" s="21"/>
      <c r="AG99" s="21"/>
      <c r="AH99" s="21"/>
      <c r="AI99" s="29"/>
    </row>
    <row r="100" spans="1:35">
      <c r="A100" s="27" t="s">
        <v>127</v>
      </c>
      <c r="B100" s="29">
        <f>(((B98*(B94))+B86)/(1-B80))*B80</f>
        <v>0</v>
      </c>
      <c r="C100" s="28"/>
      <c r="D100" s="28"/>
      <c r="E100" s="21"/>
      <c r="F100" s="27" t="s">
        <v>127</v>
      </c>
      <c r="G100" s="29">
        <f>(((G98*(G94))+G86)/(1-G80))*G80</f>
        <v>0</v>
      </c>
      <c r="H100" s="29"/>
      <c r="J100" s="27" t="s">
        <v>127</v>
      </c>
      <c r="K100" s="29" t="e">
        <f>(K99/(1-K80))*K80</f>
        <v>#VALUE!</v>
      </c>
      <c r="L100" s="28"/>
      <c r="M100" s="28"/>
      <c r="N100" s="21"/>
      <c r="O100" s="21"/>
      <c r="P100" s="21"/>
      <c r="Q100" s="29"/>
      <c r="S100" s="27" t="s">
        <v>127</v>
      </c>
      <c r="T100" s="29" t="e">
        <f>(T99/(1-T80))*T80</f>
        <v>#VALUE!</v>
      </c>
      <c r="U100" s="28"/>
      <c r="V100" s="28"/>
      <c r="W100" s="21"/>
      <c r="X100" s="21"/>
      <c r="Y100" s="21"/>
      <c r="Z100" s="29"/>
      <c r="AB100" s="27" t="s">
        <v>127</v>
      </c>
      <c r="AC100" s="29" t="e">
        <f>(AC99/(1-AC80))*AC80</f>
        <v>#VALUE!</v>
      </c>
      <c r="AD100" s="28"/>
      <c r="AE100" s="28"/>
      <c r="AF100" s="21"/>
      <c r="AG100" s="21"/>
      <c r="AH100" s="21"/>
      <c r="AI100" s="29"/>
    </row>
    <row r="101" spans="1:35">
      <c r="A101" s="49" t="s">
        <v>128</v>
      </c>
      <c r="B101" s="57">
        <f>(B99+B100)</f>
        <v>9888.4347129125381</v>
      </c>
      <c r="C101" s="28"/>
      <c r="D101" s="28"/>
      <c r="E101" s="21"/>
      <c r="F101" s="49" t="s">
        <v>128</v>
      </c>
      <c r="G101" s="57">
        <f>(G99+G100)</f>
        <v>9193.8480945857373</v>
      </c>
      <c r="H101" s="29"/>
      <c r="J101" s="49" t="s">
        <v>128</v>
      </c>
      <c r="K101" s="57" t="e">
        <f>(K99+K100)</f>
        <v>#VALUE!</v>
      </c>
      <c r="L101" s="28"/>
      <c r="M101" s="28"/>
      <c r="N101" s="21"/>
      <c r="O101" s="21"/>
      <c r="P101" s="21"/>
      <c r="Q101" s="29"/>
      <c r="S101" s="49" t="s">
        <v>128</v>
      </c>
      <c r="T101" s="57" t="e">
        <f>(T99+T100)</f>
        <v>#VALUE!</v>
      </c>
      <c r="U101" s="28"/>
      <c r="V101" s="28"/>
      <c r="W101" s="21"/>
      <c r="X101" s="21"/>
      <c r="Y101" s="21"/>
      <c r="Z101" s="29"/>
      <c r="AB101" s="49" t="s">
        <v>128</v>
      </c>
      <c r="AC101" s="57" t="e">
        <f>(AC99+AC100)</f>
        <v>#VALUE!</v>
      </c>
      <c r="AD101" s="28"/>
      <c r="AE101" s="28"/>
      <c r="AF101" s="21"/>
      <c r="AG101" s="21"/>
      <c r="AH101" s="21"/>
      <c r="AI101" s="29"/>
    </row>
    <row r="102" spans="1:35">
      <c r="A102" s="27"/>
      <c r="B102" s="28"/>
      <c r="C102" s="28"/>
      <c r="D102" s="28"/>
      <c r="E102" s="21"/>
      <c r="F102" s="27"/>
      <c r="G102" s="28"/>
      <c r="H102" s="29"/>
      <c r="J102" s="27"/>
      <c r="K102" s="28"/>
      <c r="L102" s="28"/>
      <c r="M102" s="28"/>
      <c r="N102" s="21"/>
      <c r="O102" s="21"/>
      <c r="P102" s="21"/>
      <c r="Q102" s="29"/>
      <c r="S102" s="27"/>
      <c r="T102" s="28"/>
      <c r="U102" s="28"/>
      <c r="V102" s="28"/>
      <c r="W102" s="21"/>
      <c r="X102" s="21"/>
      <c r="Y102" s="21"/>
      <c r="Z102" s="29"/>
      <c r="AB102" s="27"/>
      <c r="AC102" s="28"/>
      <c r="AD102" s="28"/>
      <c r="AE102" s="28"/>
      <c r="AF102" s="21"/>
      <c r="AG102" s="21"/>
      <c r="AH102" s="21"/>
      <c r="AI102" s="29"/>
    </row>
    <row r="103" spans="1:35">
      <c r="A103" s="76" t="s">
        <v>129</v>
      </c>
      <c r="B103" s="77">
        <f>((A46*A34)+((A46*A34)*A117))/(B68)*1.2</f>
        <v>0</v>
      </c>
      <c r="C103" s="28"/>
      <c r="D103" s="28"/>
      <c r="E103" s="21"/>
      <c r="F103" s="76" t="s">
        <v>129</v>
      </c>
      <c r="G103" s="80" t="str">
        <f>IF(B35="YES",((E49/B94)*(1+A117)*(C54/100)),"0")</f>
        <v>0</v>
      </c>
      <c r="H103" s="29"/>
      <c r="J103" s="76" t="s">
        <v>129</v>
      </c>
      <c r="K103" s="77">
        <f>((E40/K94)*(1+J117))*1.2</f>
        <v>0</v>
      </c>
      <c r="L103" s="28"/>
      <c r="M103" s="28"/>
      <c r="N103" s="21"/>
      <c r="O103" s="21"/>
      <c r="P103" s="21"/>
      <c r="Q103" s="29"/>
      <c r="S103" s="76" t="s">
        <v>129</v>
      </c>
      <c r="T103" s="77">
        <f>((E40/T94)*(1+S117))</f>
        <v>0</v>
      </c>
      <c r="U103" s="28"/>
      <c r="V103" s="28"/>
      <c r="W103" s="21"/>
      <c r="X103" s="21"/>
      <c r="Y103" s="21"/>
      <c r="Z103" s="29"/>
      <c r="AB103" s="76" t="s">
        <v>129</v>
      </c>
      <c r="AC103" s="77">
        <f>((E40/AC94)*(1+AB117))*1.2</f>
        <v>0</v>
      </c>
      <c r="AD103" s="28"/>
      <c r="AE103" s="28"/>
      <c r="AF103" s="21"/>
      <c r="AG103" s="21"/>
      <c r="AH103" s="21"/>
      <c r="AI103" s="29"/>
    </row>
    <row r="104" spans="1:35">
      <c r="A104" s="81" t="s">
        <v>130</v>
      </c>
      <c r="B104" s="82">
        <f>B101/(B94)</f>
        <v>898.94861026477622</v>
      </c>
      <c r="C104" s="28"/>
      <c r="D104" s="28"/>
      <c r="E104" s="21"/>
      <c r="F104" s="81" t="s">
        <v>130</v>
      </c>
      <c r="G104" s="82">
        <f>G101/(G94)</f>
        <v>835.80437223506704</v>
      </c>
      <c r="H104" s="29"/>
      <c r="J104" s="81" t="s">
        <v>130</v>
      </c>
      <c r="K104" s="82" t="e">
        <f>K101/(K94)</f>
        <v>#VALUE!</v>
      </c>
      <c r="L104" s="28"/>
      <c r="M104" s="28"/>
      <c r="N104" s="21"/>
      <c r="O104" s="21"/>
      <c r="P104" s="21"/>
      <c r="Q104" s="29"/>
      <c r="S104" s="81" t="s">
        <v>130</v>
      </c>
      <c r="T104" s="82" t="e">
        <f>T101/(T94)</f>
        <v>#VALUE!</v>
      </c>
      <c r="U104" s="28"/>
      <c r="V104" s="28"/>
      <c r="W104" s="21"/>
      <c r="X104" s="21"/>
      <c r="Y104" s="21"/>
      <c r="Z104" s="29"/>
      <c r="AB104" s="81" t="s">
        <v>130</v>
      </c>
      <c r="AC104" s="82" t="e">
        <f>AC101/(AC68)</f>
        <v>#VALUE!</v>
      </c>
      <c r="AD104" s="28"/>
      <c r="AE104" s="28"/>
      <c r="AF104" s="21"/>
      <c r="AG104" s="21"/>
      <c r="AH104" s="21"/>
      <c r="AI104" s="29"/>
    </row>
    <row r="105" spans="1:35">
      <c r="A105" s="83" t="s">
        <v>131</v>
      </c>
      <c r="B105" s="84">
        <f>B103+B104</f>
        <v>898.94861026477622</v>
      </c>
      <c r="C105" s="28"/>
      <c r="D105" s="28"/>
      <c r="E105" s="21" t="s">
        <v>31</v>
      </c>
      <c r="F105" s="83" t="s">
        <v>131</v>
      </c>
      <c r="G105" s="84">
        <f>G103+G104</f>
        <v>835.80437223506704</v>
      </c>
      <c r="H105" s="29"/>
      <c r="J105" s="83" t="s">
        <v>131</v>
      </c>
      <c r="K105" s="84" t="e">
        <f>(K103+K104)</f>
        <v>#VALUE!</v>
      </c>
      <c r="L105" s="28"/>
      <c r="M105" s="28"/>
      <c r="N105" s="21"/>
      <c r="O105" s="21"/>
      <c r="P105" s="21"/>
      <c r="Q105" s="29"/>
      <c r="S105" s="83" t="s">
        <v>131</v>
      </c>
      <c r="T105" s="84" t="e">
        <f>T103+T104</f>
        <v>#VALUE!</v>
      </c>
      <c r="U105" s="28"/>
      <c r="V105" s="28"/>
      <c r="W105" s="21"/>
      <c r="X105" s="21"/>
      <c r="Y105" s="21"/>
      <c r="Z105" s="29"/>
      <c r="AB105" s="83" t="s">
        <v>131</v>
      </c>
      <c r="AC105" s="84" t="e">
        <f>AC103+AC104</f>
        <v>#VALUE!</v>
      </c>
      <c r="AD105" s="28"/>
      <c r="AE105" s="28"/>
      <c r="AF105" s="21"/>
      <c r="AG105" s="21"/>
      <c r="AH105" s="21"/>
      <c r="AI105" s="29"/>
    </row>
    <row r="106" spans="1:35">
      <c r="A106" s="49"/>
      <c r="B106" s="50"/>
      <c r="C106" s="50"/>
      <c r="D106" s="50"/>
      <c r="E106" s="85"/>
      <c r="F106" s="85"/>
      <c r="G106" s="85"/>
      <c r="H106" s="57"/>
      <c r="J106" s="49"/>
      <c r="K106" s="50"/>
      <c r="L106" s="50"/>
      <c r="M106" s="50"/>
      <c r="N106" s="85"/>
      <c r="O106" s="85"/>
      <c r="P106" s="85"/>
      <c r="Q106" s="57"/>
      <c r="S106" s="49"/>
      <c r="T106" s="50"/>
      <c r="U106" s="50"/>
      <c r="V106" s="50"/>
      <c r="W106" s="85"/>
      <c r="X106" s="85"/>
      <c r="Y106" s="85"/>
      <c r="Z106" s="57"/>
      <c r="AB106" s="49"/>
      <c r="AC106" s="50"/>
      <c r="AD106" s="50"/>
      <c r="AE106" s="50"/>
      <c r="AF106" s="85"/>
      <c r="AG106" s="85"/>
      <c r="AH106" s="85"/>
      <c r="AI106" s="57"/>
    </row>
    <row r="107" spans="1:35" ht="14.25">
      <c r="A107" s="21"/>
      <c r="B107" s="21"/>
      <c r="C107" s="21"/>
      <c r="D107" s="21"/>
      <c r="E107" s="21"/>
      <c r="F107" s="21"/>
      <c r="G107" s="21"/>
      <c r="H107" s="21"/>
      <c r="J107" s="21"/>
      <c r="K107" s="21"/>
      <c r="L107" s="21"/>
      <c r="M107" s="21"/>
      <c r="N107" s="21"/>
      <c r="O107" s="21"/>
      <c r="P107" s="21"/>
      <c r="Q107" s="21"/>
      <c r="S107" s="21"/>
      <c r="T107" s="21"/>
      <c r="U107" s="21"/>
      <c r="V107" s="21"/>
      <c r="W107" s="21"/>
      <c r="X107" s="21"/>
      <c r="Y107" s="21"/>
      <c r="Z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4.25">
      <c r="A108" s="21">
        <v>0.2</v>
      </c>
      <c r="B108" s="21">
        <v>0</v>
      </c>
      <c r="C108" s="21"/>
      <c r="D108" s="21">
        <v>0</v>
      </c>
      <c r="E108" s="21"/>
      <c r="F108" s="21"/>
      <c r="G108" s="21"/>
      <c r="H108" s="21"/>
      <c r="J108" s="21"/>
      <c r="K108" s="21"/>
      <c r="L108" s="21"/>
      <c r="M108" s="21"/>
      <c r="N108" s="21"/>
      <c r="O108" s="21"/>
      <c r="P108" s="21"/>
      <c r="Q108" s="21"/>
      <c r="S108" s="21"/>
      <c r="T108" s="21"/>
      <c r="U108" s="21"/>
      <c r="V108" s="21"/>
      <c r="W108" s="21"/>
      <c r="X108" s="21"/>
      <c r="Y108" s="21"/>
      <c r="Z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47.25" customHeight="1">
      <c r="A109" s="344" t="s">
        <v>132</v>
      </c>
      <c r="B109" s="344"/>
      <c r="C109" s="344"/>
      <c r="D109" s="344"/>
      <c r="E109" s="344"/>
      <c r="F109" s="344"/>
      <c r="G109" s="344"/>
      <c r="H109" s="344"/>
      <c r="J109" s="334" t="s">
        <v>133</v>
      </c>
      <c r="K109" s="334"/>
      <c r="L109" s="334"/>
      <c r="M109" s="334"/>
      <c r="N109" s="334"/>
      <c r="O109" s="334"/>
      <c r="P109" s="334"/>
      <c r="Q109" s="334"/>
      <c r="S109" s="344" t="s">
        <v>134</v>
      </c>
      <c r="T109" s="344"/>
      <c r="U109" s="344"/>
      <c r="V109" s="344"/>
      <c r="W109" s="344"/>
      <c r="X109" s="344"/>
      <c r="Y109" s="344"/>
      <c r="Z109" s="344"/>
      <c r="AB109" s="344" t="s">
        <v>135</v>
      </c>
      <c r="AC109" s="344"/>
      <c r="AD109" s="344"/>
      <c r="AE109" s="344"/>
      <c r="AF109" s="344"/>
      <c r="AG109" s="344"/>
      <c r="AH109" s="344"/>
      <c r="AI109" s="344"/>
    </row>
    <row r="110" spans="1:35">
      <c r="A110" s="22"/>
      <c r="B110" s="23"/>
      <c r="C110" s="23"/>
      <c r="D110" s="23"/>
      <c r="E110" s="63"/>
      <c r="F110" s="63"/>
      <c r="G110" s="63"/>
      <c r="H110" s="87"/>
      <c r="J110" s="22"/>
      <c r="K110" s="23"/>
      <c r="L110" s="23"/>
      <c r="M110" s="23"/>
      <c r="N110" s="63"/>
      <c r="O110" s="63"/>
      <c r="P110" s="63"/>
      <c r="Q110" s="87"/>
      <c r="S110" s="22"/>
      <c r="T110" s="23"/>
      <c r="U110" s="23"/>
      <c r="V110" s="23"/>
      <c r="W110" s="63"/>
      <c r="X110" s="63"/>
      <c r="Y110" s="63"/>
      <c r="Z110" s="87"/>
      <c r="AB110" s="22"/>
      <c r="AC110" s="23"/>
      <c r="AD110" s="23"/>
      <c r="AE110" s="23"/>
      <c r="AF110" s="63"/>
      <c r="AG110" s="63"/>
      <c r="AH110" s="63"/>
      <c r="AI110" s="87"/>
    </row>
    <row r="111" spans="1:35" ht="23.25">
      <c r="A111" s="335" t="s">
        <v>31</v>
      </c>
      <c r="B111" s="335">
        <v>0</v>
      </c>
      <c r="C111" s="335"/>
      <c r="D111" s="335"/>
      <c r="E111" s="335">
        <v>0</v>
      </c>
      <c r="F111" s="335"/>
      <c r="G111" s="335"/>
      <c r="H111" s="335"/>
      <c r="J111" s="335" t="s">
        <v>136</v>
      </c>
      <c r="K111" s="335"/>
      <c r="L111" s="335"/>
      <c r="M111" s="335"/>
      <c r="N111" s="335"/>
      <c r="O111" s="335"/>
      <c r="P111" s="335"/>
      <c r="Q111" s="335"/>
      <c r="S111" s="335" t="s">
        <v>136</v>
      </c>
      <c r="T111" s="335"/>
      <c r="U111" s="335"/>
      <c r="V111" s="335"/>
      <c r="W111" s="335"/>
      <c r="X111" s="335"/>
      <c r="Y111" s="335"/>
      <c r="Z111" s="335"/>
      <c r="AB111" s="335" t="s">
        <v>136</v>
      </c>
      <c r="AC111" s="335"/>
      <c r="AD111" s="335"/>
      <c r="AE111" s="335"/>
      <c r="AF111" s="335"/>
      <c r="AG111" s="335"/>
      <c r="AH111" s="335"/>
      <c r="AI111" s="335"/>
    </row>
    <row r="112" spans="1:35">
      <c r="A112" s="27"/>
      <c r="B112" s="28"/>
      <c r="C112" s="28"/>
      <c r="D112" s="28"/>
      <c r="E112" s="21"/>
      <c r="F112" s="21"/>
      <c r="G112" s="21"/>
      <c r="H112" s="88"/>
      <c r="J112" s="27"/>
      <c r="K112" s="28"/>
      <c r="L112" s="28"/>
      <c r="M112" s="28"/>
      <c r="N112" s="21"/>
      <c r="O112" s="21"/>
      <c r="P112" s="21"/>
      <c r="Q112" s="88"/>
      <c r="S112" s="27"/>
      <c r="T112" s="28"/>
      <c r="U112" s="28"/>
      <c r="V112" s="28"/>
      <c r="W112" s="21"/>
      <c r="X112" s="21"/>
      <c r="Y112" s="21"/>
      <c r="Z112" s="88"/>
      <c r="AB112" s="27"/>
      <c r="AC112" s="28"/>
      <c r="AD112" s="28"/>
      <c r="AE112" s="28"/>
      <c r="AF112" s="21"/>
      <c r="AG112" s="21"/>
      <c r="AH112" s="21"/>
      <c r="AI112" s="88"/>
    </row>
    <row r="113" spans="1:42">
      <c r="A113" s="27" t="s">
        <v>137</v>
      </c>
      <c r="B113" s="28" t="s">
        <v>36</v>
      </c>
      <c r="C113" s="28"/>
      <c r="D113" s="28"/>
      <c r="E113" s="28" t="s">
        <v>138</v>
      </c>
      <c r="F113" s="28"/>
      <c r="G113" s="28"/>
      <c r="H113" s="29"/>
      <c r="J113" s="27" t="s">
        <v>137</v>
      </c>
      <c r="K113" s="28" t="s">
        <v>36</v>
      </c>
      <c r="L113" s="28"/>
      <c r="M113" s="28"/>
      <c r="N113" s="28" t="s">
        <v>138</v>
      </c>
      <c r="O113" s="28"/>
      <c r="P113" s="28"/>
      <c r="Q113" s="29"/>
      <c r="S113" s="27" t="s">
        <v>137</v>
      </c>
      <c r="T113" s="28" t="s">
        <v>36</v>
      </c>
      <c r="U113" s="28"/>
      <c r="V113" s="28"/>
      <c r="W113" s="28" t="s">
        <v>138</v>
      </c>
      <c r="X113" s="28"/>
      <c r="Y113" s="28"/>
      <c r="Z113" s="29"/>
      <c r="AB113" s="27" t="s">
        <v>137</v>
      </c>
      <c r="AC113" s="28" t="s">
        <v>36</v>
      </c>
      <c r="AD113" s="28"/>
      <c r="AE113" s="28"/>
      <c r="AF113" s="28" t="s">
        <v>138</v>
      </c>
      <c r="AG113" s="28"/>
      <c r="AH113" s="28"/>
      <c r="AI113" s="29"/>
    </row>
    <row r="114" spans="1:42">
      <c r="A114" s="32" t="s">
        <v>139</v>
      </c>
      <c r="B114" s="345" t="s">
        <v>140</v>
      </c>
      <c r="C114" s="345"/>
      <c r="D114" s="345"/>
      <c r="E114" s="346" t="s">
        <v>386</v>
      </c>
      <c r="F114" s="346"/>
      <c r="G114" s="346"/>
      <c r="H114" s="88"/>
      <c r="J114" s="32" t="s">
        <v>139</v>
      </c>
      <c r="K114" s="347" t="s">
        <v>140</v>
      </c>
      <c r="L114" s="347"/>
      <c r="M114" s="347"/>
      <c r="N114" s="346" t="s">
        <v>31</v>
      </c>
      <c r="O114" s="346"/>
      <c r="P114" s="346"/>
      <c r="Q114" s="88"/>
      <c r="S114" s="32" t="s">
        <v>139</v>
      </c>
      <c r="T114" s="345" t="s">
        <v>140</v>
      </c>
      <c r="U114" s="345"/>
      <c r="V114" s="345"/>
      <c r="W114" s="346" t="s">
        <v>31</v>
      </c>
      <c r="X114" s="346"/>
      <c r="Y114" s="346"/>
      <c r="Z114" s="88"/>
      <c r="AB114" s="32" t="s">
        <v>139</v>
      </c>
      <c r="AC114" s="345" t="s">
        <v>140</v>
      </c>
      <c r="AD114" s="345"/>
      <c r="AE114" s="345"/>
      <c r="AF114" s="346" t="s">
        <v>31</v>
      </c>
      <c r="AG114" s="346"/>
      <c r="AH114" s="346"/>
      <c r="AI114" s="88"/>
    </row>
    <row r="115" spans="1:42">
      <c r="A115" s="27"/>
      <c r="B115" s="28"/>
      <c r="C115" s="28"/>
      <c r="D115" s="21"/>
      <c r="E115" s="28"/>
      <c r="F115" s="28"/>
      <c r="G115" s="21"/>
      <c r="H115" s="29"/>
      <c r="J115" s="27"/>
      <c r="K115" s="28"/>
      <c r="L115" s="28"/>
      <c r="M115" s="21"/>
      <c r="N115" s="28"/>
      <c r="O115" s="28"/>
      <c r="P115" s="21"/>
      <c r="Q115" s="29"/>
      <c r="S115" s="27"/>
      <c r="T115" s="28"/>
      <c r="U115" s="28"/>
      <c r="V115" s="21"/>
      <c r="W115" s="28"/>
      <c r="X115" s="28"/>
      <c r="Y115" s="21"/>
      <c r="Z115" s="29"/>
      <c r="AB115" s="27"/>
      <c r="AC115" s="28"/>
      <c r="AD115" s="28"/>
      <c r="AE115" s="21"/>
      <c r="AF115" s="28"/>
      <c r="AG115" s="28"/>
      <c r="AH115" s="21"/>
      <c r="AI115" s="29"/>
    </row>
    <row r="116" spans="1:42">
      <c r="A116" s="27" t="s">
        <v>141</v>
      </c>
      <c r="B116" s="28" t="s">
        <v>142</v>
      </c>
      <c r="C116" s="28"/>
      <c r="D116" s="21"/>
      <c r="E116" s="28" t="s">
        <v>143</v>
      </c>
      <c r="F116" s="28"/>
      <c r="G116" s="21"/>
      <c r="H116" s="88"/>
      <c r="J116" s="27" t="s">
        <v>141</v>
      </c>
      <c r="K116" s="28" t="s">
        <v>142</v>
      </c>
      <c r="L116" s="28"/>
      <c r="M116" s="21"/>
      <c r="N116" s="28" t="s">
        <v>143</v>
      </c>
      <c r="O116" s="28"/>
      <c r="P116" s="21"/>
      <c r="Q116" s="88"/>
      <c r="S116" s="27" t="s">
        <v>141</v>
      </c>
      <c r="T116" s="28" t="s">
        <v>142</v>
      </c>
      <c r="U116" s="28"/>
      <c r="V116" s="21"/>
      <c r="W116" s="28" t="s">
        <v>143</v>
      </c>
      <c r="X116" s="28"/>
      <c r="Y116" s="21"/>
      <c r="Z116" s="88"/>
      <c r="AB116" s="27" t="s">
        <v>141</v>
      </c>
      <c r="AC116" s="28" t="s">
        <v>142</v>
      </c>
      <c r="AD116" s="28"/>
      <c r="AE116" s="21"/>
      <c r="AF116" s="28" t="s">
        <v>143</v>
      </c>
      <c r="AG116" s="28"/>
      <c r="AH116" s="21"/>
      <c r="AI116" s="88"/>
    </row>
    <row r="117" spans="1:42">
      <c r="A117" s="91">
        <v>0.2</v>
      </c>
      <c r="B117" s="348" t="s">
        <v>144</v>
      </c>
      <c r="C117" s="348"/>
      <c r="D117" s="348"/>
      <c r="E117" s="349">
        <f>B92</f>
        <v>0.1255</v>
      </c>
      <c r="F117" s="349"/>
      <c r="G117" s="349"/>
      <c r="H117" s="42"/>
      <c r="J117" s="91">
        <v>0.3</v>
      </c>
      <c r="K117" s="348" t="s">
        <v>144</v>
      </c>
      <c r="L117" s="348"/>
      <c r="M117" s="348"/>
      <c r="N117" s="349">
        <f>K92</f>
        <v>0.24000000000000002</v>
      </c>
      <c r="O117" s="349"/>
      <c r="P117" s="349"/>
      <c r="Q117" s="42"/>
      <c r="S117" s="91">
        <v>0.2</v>
      </c>
      <c r="T117" s="348" t="s">
        <v>145</v>
      </c>
      <c r="U117" s="348"/>
      <c r="V117" s="348"/>
      <c r="W117" s="349">
        <f>T92</f>
        <v>0.1235</v>
      </c>
      <c r="X117" s="349"/>
      <c r="Y117" s="349"/>
      <c r="Z117" s="42"/>
      <c r="AB117" s="91">
        <v>0.2</v>
      </c>
      <c r="AC117" s="348" t="s">
        <v>145</v>
      </c>
      <c r="AD117" s="348"/>
      <c r="AE117" s="348"/>
      <c r="AF117" s="350">
        <f>AC92</f>
        <v>0.1235</v>
      </c>
      <c r="AG117" s="350"/>
      <c r="AH117" s="350"/>
      <c r="AI117" s="42"/>
      <c r="AP117" s="4" t="s">
        <v>146</v>
      </c>
    </row>
    <row r="118" spans="1:42">
      <c r="A118" s="27"/>
      <c r="B118" s="28"/>
      <c r="C118" s="28"/>
      <c r="D118" s="28"/>
      <c r="E118" s="28"/>
      <c r="F118" s="28"/>
      <c r="G118" s="28"/>
      <c r="H118" s="29"/>
      <c r="J118" s="27"/>
      <c r="K118" s="28"/>
      <c r="L118" s="28"/>
      <c r="M118" s="28"/>
      <c r="N118" s="28"/>
      <c r="O118" s="28"/>
      <c r="P118" s="28"/>
      <c r="Q118" s="29"/>
      <c r="S118" s="27"/>
      <c r="T118" s="28"/>
      <c r="U118" s="28"/>
      <c r="V118" s="28"/>
      <c r="W118" s="28"/>
      <c r="X118" s="28"/>
      <c r="Y118" s="28"/>
      <c r="Z118" s="29"/>
      <c r="AB118" s="27"/>
      <c r="AC118" s="28"/>
      <c r="AD118" s="28"/>
      <c r="AE118" s="28"/>
      <c r="AF118" s="28"/>
      <c r="AG118" s="28"/>
      <c r="AH118" s="28"/>
      <c r="AI118" s="29"/>
      <c r="AP118" s="4" t="s">
        <v>144</v>
      </c>
    </row>
    <row r="119" spans="1:42">
      <c r="A119" s="27" t="s">
        <v>147</v>
      </c>
      <c r="B119" s="28" t="s">
        <v>148</v>
      </c>
      <c r="C119" s="28"/>
      <c r="D119" s="28"/>
      <c r="E119" s="28" t="s">
        <v>149</v>
      </c>
      <c r="F119" s="28"/>
      <c r="G119" s="28"/>
      <c r="H119" s="29"/>
      <c r="J119" s="27" t="s">
        <v>147</v>
      </c>
      <c r="K119" s="28" t="s">
        <v>148</v>
      </c>
      <c r="L119" s="28"/>
      <c r="M119" s="28"/>
      <c r="N119" s="28" t="s">
        <v>149</v>
      </c>
      <c r="O119" s="28"/>
      <c r="P119" s="28"/>
      <c r="Q119" s="29"/>
      <c r="S119" s="27" t="s">
        <v>147</v>
      </c>
      <c r="T119" s="28" t="s">
        <v>148</v>
      </c>
      <c r="U119" s="28"/>
      <c r="V119" s="28"/>
      <c r="W119" s="28" t="s">
        <v>149</v>
      </c>
      <c r="X119" s="28"/>
      <c r="Y119" s="28"/>
      <c r="Z119" s="29"/>
      <c r="AB119" s="27" t="s">
        <v>147</v>
      </c>
      <c r="AC119" s="28" t="s">
        <v>148</v>
      </c>
      <c r="AD119" s="28"/>
      <c r="AE119" s="28"/>
      <c r="AF119" s="28" t="s">
        <v>149</v>
      </c>
      <c r="AG119" s="28"/>
      <c r="AH119" s="28"/>
      <c r="AI119" s="29"/>
    </row>
    <row r="120" spans="1:42">
      <c r="A120" s="36" t="s">
        <v>385</v>
      </c>
      <c r="B120" s="348">
        <v>0</v>
      </c>
      <c r="C120" s="348"/>
      <c r="D120" s="348"/>
      <c r="E120" s="348">
        <v>0</v>
      </c>
      <c r="F120" s="348"/>
      <c r="G120" s="348"/>
      <c r="H120" s="88"/>
      <c r="J120" s="36" t="s">
        <v>32</v>
      </c>
      <c r="K120" s="348">
        <v>1000</v>
      </c>
      <c r="L120" s="348"/>
      <c r="M120" s="348"/>
      <c r="N120" s="348">
        <v>0</v>
      </c>
      <c r="O120" s="348"/>
      <c r="P120" s="348"/>
      <c r="Q120" s="88"/>
      <c r="S120" s="36" t="s">
        <v>31</v>
      </c>
      <c r="T120" s="348">
        <v>1000</v>
      </c>
      <c r="U120" s="348"/>
      <c r="V120" s="348"/>
      <c r="W120" s="348">
        <v>0</v>
      </c>
      <c r="X120" s="348"/>
      <c r="Y120" s="348"/>
      <c r="Z120" s="88"/>
      <c r="AB120" s="36" t="s">
        <v>31</v>
      </c>
      <c r="AC120" s="348">
        <v>1000</v>
      </c>
      <c r="AD120" s="348"/>
      <c r="AE120" s="348"/>
      <c r="AF120" s="348">
        <v>0</v>
      </c>
      <c r="AG120" s="348"/>
      <c r="AH120" s="348"/>
      <c r="AI120" s="88"/>
    </row>
    <row r="121" spans="1:42">
      <c r="A121" s="27"/>
      <c r="B121" s="28"/>
      <c r="C121" s="28"/>
      <c r="D121" s="28"/>
      <c r="E121" s="28"/>
      <c r="F121" s="28"/>
      <c r="G121" s="21"/>
      <c r="H121" s="88"/>
      <c r="J121" s="27"/>
      <c r="K121" s="28"/>
      <c r="L121" s="28"/>
      <c r="M121" s="28"/>
      <c r="N121" s="28"/>
      <c r="O121" s="28"/>
      <c r="P121" s="21"/>
      <c r="Q121" s="88"/>
      <c r="S121" s="27"/>
      <c r="T121" s="28"/>
      <c r="U121" s="28"/>
      <c r="V121" s="28"/>
      <c r="W121" s="28"/>
      <c r="X121" s="28"/>
      <c r="Y121" s="21"/>
      <c r="Z121" s="88"/>
      <c r="AB121" s="27"/>
      <c r="AC121" s="28"/>
      <c r="AD121" s="28"/>
      <c r="AE121" s="28"/>
      <c r="AF121" s="28"/>
      <c r="AG121" s="28"/>
      <c r="AH121" s="21"/>
      <c r="AI121" s="88"/>
    </row>
    <row r="122" spans="1:42">
      <c r="A122" s="93" t="s">
        <v>150</v>
      </c>
      <c r="B122" s="28" t="s">
        <v>151</v>
      </c>
      <c r="C122" s="28"/>
      <c r="D122" s="28"/>
      <c r="E122" s="28" t="s">
        <v>152</v>
      </c>
      <c r="F122" s="28"/>
      <c r="G122" s="21"/>
      <c r="H122" s="88"/>
      <c r="J122" s="93" t="s">
        <v>150</v>
      </c>
      <c r="K122" s="28" t="s">
        <v>151</v>
      </c>
      <c r="L122" s="28"/>
      <c r="M122" s="28"/>
      <c r="N122" s="28" t="s">
        <v>152</v>
      </c>
      <c r="O122" s="28"/>
      <c r="P122" s="21"/>
      <c r="Q122" s="88"/>
      <c r="S122" s="93" t="s">
        <v>150</v>
      </c>
      <c r="T122" s="28" t="s">
        <v>151</v>
      </c>
      <c r="U122" s="28"/>
      <c r="V122" s="28"/>
      <c r="W122" s="28" t="s">
        <v>152</v>
      </c>
      <c r="X122" s="28"/>
      <c r="Y122" s="21"/>
      <c r="Z122" s="88"/>
      <c r="AB122" s="93" t="s">
        <v>150</v>
      </c>
      <c r="AC122" s="28" t="s">
        <v>151</v>
      </c>
      <c r="AD122" s="28"/>
      <c r="AE122" s="28"/>
      <c r="AF122" s="28" t="s">
        <v>152</v>
      </c>
      <c r="AG122" s="28"/>
      <c r="AH122" s="21"/>
      <c r="AI122" s="88"/>
    </row>
    <row r="123" spans="1:42">
      <c r="A123" s="94">
        <f>B120+E120</f>
        <v>0</v>
      </c>
      <c r="B123" s="348">
        <v>1000</v>
      </c>
      <c r="C123" s="348"/>
      <c r="D123" s="348"/>
      <c r="E123" s="348">
        <v>0</v>
      </c>
      <c r="F123" s="348"/>
      <c r="G123" s="348"/>
      <c r="H123" s="88"/>
      <c r="J123" s="94">
        <f>K120+N120</f>
        <v>1000</v>
      </c>
      <c r="K123" s="348">
        <v>239.99</v>
      </c>
      <c r="L123" s="348"/>
      <c r="M123" s="348"/>
      <c r="N123" s="348">
        <v>0</v>
      </c>
      <c r="O123" s="348"/>
      <c r="P123" s="348"/>
      <c r="Q123" s="88"/>
      <c r="S123" s="94">
        <f>T120+W120</f>
        <v>1000</v>
      </c>
      <c r="T123" s="348">
        <v>199.99</v>
      </c>
      <c r="U123" s="348"/>
      <c r="V123" s="348"/>
      <c r="W123" s="348">
        <v>0</v>
      </c>
      <c r="X123" s="348"/>
      <c r="Y123" s="348"/>
      <c r="Z123" s="88"/>
      <c r="AB123" s="94">
        <f>AC120+AF120</f>
        <v>1000</v>
      </c>
      <c r="AC123" s="348">
        <v>239.99</v>
      </c>
      <c r="AD123" s="348"/>
      <c r="AE123" s="348"/>
      <c r="AF123" s="348">
        <v>0</v>
      </c>
      <c r="AG123" s="348"/>
      <c r="AH123" s="348"/>
      <c r="AI123" s="88"/>
    </row>
    <row r="124" spans="1:42" ht="14.25">
      <c r="A124" s="95"/>
      <c r="B124" s="21"/>
      <c r="C124" s="21"/>
      <c r="D124" s="21"/>
      <c r="E124" s="21"/>
      <c r="F124" s="21"/>
      <c r="G124" s="21"/>
      <c r="H124" s="88"/>
      <c r="J124" s="95"/>
      <c r="K124" s="21"/>
      <c r="L124" s="21"/>
      <c r="M124" s="21"/>
      <c r="N124" s="21"/>
      <c r="O124" s="21"/>
      <c r="P124" s="21"/>
      <c r="Q124" s="88"/>
      <c r="S124" s="95"/>
      <c r="T124" s="21"/>
      <c r="U124" s="21"/>
      <c r="V124" s="21"/>
      <c r="W124" s="21"/>
      <c r="X124" s="21"/>
      <c r="Y124" s="21"/>
      <c r="Z124" s="88"/>
      <c r="AB124" s="95"/>
      <c r="AC124" s="21"/>
      <c r="AD124" s="21"/>
      <c r="AE124" s="21"/>
      <c r="AF124" s="21"/>
      <c r="AG124" s="21"/>
      <c r="AH124" s="21"/>
      <c r="AI124" s="88"/>
    </row>
    <row r="125" spans="1:42" ht="14.25">
      <c r="A125" s="95"/>
      <c r="B125" s="21"/>
      <c r="C125" s="21"/>
      <c r="D125" s="21"/>
      <c r="E125" s="21"/>
      <c r="F125" s="21"/>
      <c r="G125" s="21"/>
      <c r="H125" s="88"/>
      <c r="J125" s="95"/>
      <c r="K125" s="21"/>
      <c r="L125" s="21"/>
      <c r="M125" s="21"/>
      <c r="N125" s="21"/>
      <c r="O125" s="21"/>
      <c r="P125" s="21"/>
      <c r="Q125" s="88"/>
      <c r="S125" s="95"/>
      <c r="T125" s="21"/>
      <c r="U125" s="21"/>
      <c r="V125" s="21"/>
      <c r="W125" s="21"/>
      <c r="X125" s="21"/>
      <c r="Y125" s="21"/>
      <c r="Z125" s="88"/>
      <c r="AB125" s="95"/>
      <c r="AC125" s="21"/>
      <c r="AD125" s="21"/>
      <c r="AE125" s="21"/>
      <c r="AF125" s="21"/>
      <c r="AG125" s="21"/>
      <c r="AH125" s="21"/>
      <c r="AI125" s="88"/>
    </row>
    <row r="126" spans="1:42" ht="23.25">
      <c r="A126" s="335" t="s">
        <v>153</v>
      </c>
      <c r="B126" s="335"/>
      <c r="C126" s="335"/>
      <c r="D126" s="335"/>
      <c r="E126" s="335"/>
      <c r="F126" s="335"/>
      <c r="G126" s="335"/>
      <c r="H126" s="335"/>
      <c r="J126" s="335" t="s">
        <v>153</v>
      </c>
      <c r="K126" s="335"/>
      <c r="L126" s="335"/>
      <c r="M126" s="335"/>
      <c r="N126" s="335"/>
      <c r="O126" s="335"/>
      <c r="P126" s="335"/>
      <c r="Q126" s="335"/>
      <c r="S126" s="335" t="s">
        <v>153</v>
      </c>
      <c r="T126" s="335"/>
      <c r="U126" s="335"/>
      <c r="V126" s="335"/>
      <c r="W126" s="335"/>
      <c r="X126" s="335"/>
      <c r="Y126" s="335"/>
      <c r="Z126" s="335"/>
      <c r="AB126" s="335" t="s">
        <v>153</v>
      </c>
      <c r="AC126" s="335"/>
      <c r="AD126" s="335"/>
      <c r="AE126" s="335"/>
      <c r="AF126" s="335"/>
      <c r="AG126" s="335"/>
      <c r="AH126" s="335"/>
      <c r="AI126" s="335"/>
    </row>
    <row r="127" spans="1:42" ht="14.25">
      <c r="A127" s="95"/>
      <c r="B127" s="21"/>
      <c r="C127" s="21"/>
      <c r="D127" s="21"/>
      <c r="E127" s="21"/>
      <c r="F127" s="21"/>
      <c r="G127" s="21"/>
      <c r="H127" s="88"/>
      <c r="J127" s="95"/>
      <c r="K127" s="21"/>
      <c r="L127" s="21"/>
      <c r="M127" s="21"/>
      <c r="N127" s="21"/>
      <c r="O127" s="21"/>
      <c r="P127" s="21"/>
      <c r="Q127" s="88"/>
      <c r="S127" s="95"/>
      <c r="T127" s="21"/>
      <c r="U127" s="21"/>
      <c r="V127" s="21"/>
      <c r="W127" s="21"/>
      <c r="X127" s="21"/>
      <c r="Y127" s="21"/>
      <c r="Z127" s="88"/>
      <c r="AB127" s="95"/>
      <c r="AC127" s="21"/>
      <c r="AD127" s="21"/>
      <c r="AE127" s="21"/>
      <c r="AF127" s="21"/>
      <c r="AG127" s="21"/>
      <c r="AH127" s="21"/>
      <c r="AI127" s="88"/>
    </row>
    <row r="128" spans="1:42" ht="21">
      <c r="A128" s="66"/>
      <c r="B128" s="351" t="s">
        <v>154</v>
      </c>
      <c r="C128" s="351"/>
      <c r="D128" s="351" t="s">
        <v>155</v>
      </c>
      <c r="E128" s="351"/>
      <c r="F128" s="351" t="s">
        <v>156</v>
      </c>
      <c r="G128" s="351"/>
      <c r="H128" s="96" t="s">
        <v>157</v>
      </c>
      <c r="J128" s="66"/>
      <c r="K128" s="351" t="s">
        <v>154</v>
      </c>
      <c r="L128" s="351"/>
      <c r="M128" s="351" t="s">
        <v>155</v>
      </c>
      <c r="N128" s="351"/>
      <c r="O128" s="351" t="s">
        <v>156</v>
      </c>
      <c r="P128" s="351"/>
      <c r="Q128" s="96" t="s">
        <v>157</v>
      </c>
      <c r="S128" s="66"/>
      <c r="T128" s="351" t="s">
        <v>154</v>
      </c>
      <c r="U128" s="351"/>
      <c r="V128" s="351" t="s">
        <v>155</v>
      </c>
      <c r="W128" s="351"/>
      <c r="X128" s="351" t="s">
        <v>156</v>
      </c>
      <c r="Y128" s="351"/>
      <c r="Z128" s="96" t="s">
        <v>157</v>
      </c>
      <c r="AB128" s="66"/>
      <c r="AC128" s="351" t="s">
        <v>154</v>
      </c>
      <c r="AD128" s="351"/>
      <c r="AE128" s="351" t="s">
        <v>155</v>
      </c>
      <c r="AF128" s="351"/>
      <c r="AG128" s="351" t="s">
        <v>156</v>
      </c>
      <c r="AH128" s="351"/>
      <c r="AI128" s="96" t="s">
        <v>157</v>
      </c>
    </row>
    <row r="129" spans="1:35" ht="21">
      <c r="A129" s="68"/>
      <c r="B129" s="97" t="s">
        <v>158</v>
      </c>
      <c r="C129" s="98" t="s">
        <v>159</v>
      </c>
      <c r="D129" s="97" t="s">
        <v>158</v>
      </c>
      <c r="E129" s="99" t="s">
        <v>159</v>
      </c>
      <c r="F129" s="97" t="s">
        <v>158</v>
      </c>
      <c r="G129" s="99" t="s">
        <v>159</v>
      </c>
      <c r="H129" s="100"/>
      <c r="J129" s="68"/>
      <c r="K129" s="97" t="s">
        <v>158</v>
      </c>
      <c r="L129" s="98" t="s">
        <v>159</v>
      </c>
      <c r="M129" s="97" t="s">
        <v>158</v>
      </c>
      <c r="N129" s="99" t="s">
        <v>159</v>
      </c>
      <c r="O129" s="97" t="s">
        <v>158</v>
      </c>
      <c r="P129" s="99" t="s">
        <v>159</v>
      </c>
      <c r="Q129" s="100"/>
      <c r="S129" s="68"/>
      <c r="T129" s="97" t="s">
        <v>158</v>
      </c>
      <c r="U129" s="98" t="s">
        <v>159</v>
      </c>
      <c r="V129" s="97" t="s">
        <v>158</v>
      </c>
      <c r="W129" s="99" t="s">
        <v>159</v>
      </c>
      <c r="X129" s="97" t="s">
        <v>158</v>
      </c>
      <c r="Y129" s="99" t="s">
        <v>159</v>
      </c>
      <c r="Z129" s="100"/>
      <c r="AB129" s="68"/>
      <c r="AC129" s="97" t="s">
        <v>158</v>
      </c>
      <c r="AD129" s="98" t="s">
        <v>159</v>
      </c>
      <c r="AE129" s="97" t="s">
        <v>158</v>
      </c>
      <c r="AF129" s="99" t="s">
        <v>159</v>
      </c>
      <c r="AG129" s="97" t="s">
        <v>158</v>
      </c>
      <c r="AH129" s="99" t="s">
        <v>159</v>
      </c>
      <c r="AI129" s="100"/>
    </row>
    <row r="130" spans="1:35">
      <c r="A130" s="22" t="s">
        <v>160</v>
      </c>
      <c r="B130" s="22">
        <f>E19</f>
        <v>16650</v>
      </c>
      <c r="C130" s="36">
        <v>15958.33</v>
      </c>
      <c r="D130" s="22">
        <f>D12</f>
        <v>0</v>
      </c>
      <c r="E130" s="36">
        <f>D130</f>
        <v>0</v>
      </c>
      <c r="F130" s="22">
        <v>0</v>
      </c>
      <c r="G130" s="36">
        <f>F130</f>
        <v>0</v>
      </c>
      <c r="H130" s="101">
        <f>H12</f>
        <v>0</v>
      </c>
      <c r="J130" s="22" t="s">
        <v>160</v>
      </c>
      <c r="K130" s="22">
        <f>B3</f>
        <v>0</v>
      </c>
      <c r="L130" s="36">
        <v>28629.17</v>
      </c>
      <c r="M130" s="22">
        <f>D3</f>
        <v>0</v>
      </c>
      <c r="N130" s="36">
        <f>M130</f>
        <v>0</v>
      </c>
      <c r="O130" s="22" t="str">
        <f>F3</f>
        <v xml:space="preserve"> </v>
      </c>
      <c r="P130" s="36" t="str">
        <f>O130</f>
        <v xml:space="preserve"> </v>
      </c>
      <c r="Q130" s="101">
        <f>H3</f>
        <v>0</v>
      </c>
      <c r="S130" s="22" t="s">
        <v>160</v>
      </c>
      <c r="T130" s="22">
        <f>B3</f>
        <v>0</v>
      </c>
      <c r="U130" s="36">
        <f>T130</f>
        <v>0</v>
      </c>
      <c r="V130" s="22">
        <f>D3</f>
        <v>0</v>
      </c>
      <c r="W130" s="36">
        <f>V130</f>
        <v>0</v>
      </c>
      <c r="X130" s="22" t="str">
        <f>F3</f>
        <v xml:space="preserve"> </v>
      </c>
      <c r="Y130" s="36" t="str">
        <f>X130</f>
        <v xml:space="preserve"> </v>
      </c>
      <c r="Z130" s="101">
        <f>H3</f>
        <v>0</v>
      </c>
      <c r="AB130" s="22" t="s">
        <v>160</v>
      </c>
      <c r="AC130" s="22">
        <f>B3</f>
        <v>0</v>
      </c>
      <c r="AD130" s="36">
        <f>AC130</f>
        <v>0</v>
      </c>
      <c r="AE130" s="22">
        <f>D3</f>
        <v>0</v>
      </c>
      <c r="AF130" s="36">
        <f>AE130</f>
        <v>0</v>
      </c>
      <c r="AG130" s="22" t="str">
        <f>F3</f>
        <v xml:space="preserve"> </v>
      </c>
      <c r="AH130" s="36" t="str">
        <f>AG130</f>
        <v xml:space="preserve"> </v>
      </c>
      <c r="AI130" s="101">
        <f>H3</f>
        <v>0</v>
      </c>
    </row>
    <row r="131" spans="1:35">
      <c r="A131" s="27" t="s">
        <v>161</v>
      </c>
      <c r="B131" s="102">
        <v>0</v>
      </c>
      <c r="C131" s="103">
        <f>B131</f>
        <v>0</v>
      </c>
      <c r="D131" s="102">
        <v>0</v>
      </c>
      <c r="E131" s="103">
        <f>D131</f>
        <v>0</v>
      </c>
      <c r="F131" s="102">
        <v>0</v>
      </c>
      <c r="G131" s="104">
        <f>F131</f>
        <v>0</v>
      </c>
      <c r="H131" s="105"/>
      <c r="J131" s="27" t="s">
        <v>161</v>
      </c>
      <c r="K131" s="102">
        <f>B4</f>
        <v>16650</v>
      </c>
      <c r="L131" s="106">
        <v>0</v>
      </c>
      <c r="M131" s="102">
        <f>D4</f>
        <v>0</v>
      </c>
      <c r="N131" s="106">
        <f>M131</f>
        <v>0</v>
      </c>
      <c r="O131" s="102" t="str">
        <f>F4</f>
        <v xml:space="preserve"> </v>
      </c>
      <c r="P131" s="106" t="str">
        <f>O131</f>
        <v xml:space="preserve"> </v>
      </c>
      <c r="Q131" s="105"/>
      <c r="S131" s="27" t="s">
        <v>161</v>
      </c>
      <c r="T131" s="102">
        <f>B4</f>
        <v>16650</v>
      </c>
      <c r="U131" s="106">
        <v>0.25</v>
      </c>
      <c r="V131" s="102">
        <f>D4</f>
        <v>0</v>
      </c>
      <c r="W131" s="106">
        <f>V131</f>
        <v>0</v>
      </c>
      <c r="X131" s="102" t="str">
        <f>F4</f>
        <v xml:space="preserve"> </v>
      </c>
      <c r="Y131" s="106" t="str">
        <f>X131</f>
        <v xml:space="preserve"> </v>
      </c>
      <c r="Z131" s="105"/>
      <c r="AB131" s="27" t="s">
        <v>161</v>
      </c>
      <c r="AC131" s="102">
        <f>B4</f>
        <v>16650</v>
      </c>
      <c r="AD131" s="106">
        <v>0.25</v>
      </c>
      <c r="AE131" s="102">
        <f>D4</f>
        <v>0</v>
      </c>
      <c r="AF131" s="106">
        <f>AE131</f>
        <v>0</v>
      </c>
      <c r="AG131" s="102" t="str">
        <f>F4</f>
        <v xml:space="preserve"> </v>
      </c>
      <c r="AH131" s="106" t="str">
        <f>AG131</f>
        <v xml:space="preserve"> </v>
      </c>
      <c r="AI131" s="105"/>
    </row>
    <row r="132" spans="1:35">
      <c r="A132" s="27" t="s">
        <v>162</v>
      </c>
      <c r="B132" s="27">
        <v>0</v>
      </c>
      <c r="C132" s="36">
        <f>B132</f>
        <v>0</v>
      </c>
      <c r="D132" s="27">
        <v>0</v>
      </c>
      <c r="E132" s="36">
        <f>D132</f>
        <v>0</v>
      </c>
      <c r="F132" s="27">
        <v>0</v>
      </c>
      <c r="G132" s="36">
        <f>F132</f>
        <v>0</v>
      </c>
      <c r="H132" s="29"/>
      <c r="J132" s="27" t="s">
        <v>162</v>
      </c>
      <c r="K132" s="27">
        <f>B5</f>
        <v>0</v>
      </c>
      <c r="L132" s="36">
        <v>0</v>
      </c>
      <c r="M132" s="27">
        <f>D5</f>
        <v>0</v>
      </c>
      <c r="N132" s="36">
        <f>M132</f>
        <v>0</v>
      </c>
      <c r="O132" s="27" t="str">
        <f>F5</f>
        <v xml:space="preserve"> </v>
      </c>
      <c r="P132" s="36" t="str">
        <f>O132</f>
        <v xml:space="preserve"> </v>
      </c>
      <c r="Q132" s="29"/>
      <c r="S132" s="27" t="s">
        <v>162</v>
      </c>
      <c r="T132" s="27">
        <f>B5</f>
        <v>0</v>
      </c>
      <c r="U132" s="36">
        <v>0</v>
      </c>
      <c r="V132" s="27">
        <f>D5</f>
        <v>0</v>
      </c>
      <c r="W132" s="36">
        <f>V132</f>
        <v>0</v>
      </c>
      <c r="X132" s="27" t="str">
        <f>F5</f>
        <v xml:space="preserve"> </v>
      </c>
      <c r="Y132" s="36" t="str">
        <f>X132</f>
        <v xml:space="preserve"> </v>
      </c>
      <c r="Z132" s="29"/>
      <c r="AB132" s="27" t="s">
        <v>162</v>
      </c>
      <c r="AC132" s="27">
        <f>B5</f>
        <v>0</v>
      </c>
      <c r="AD132" s="36">
        <v>0</v>
      </c>
      <c r="AE132" s="27">
        <f>D5</f>
        <v>0</v>
      </c>
      <c r="AF132" s="36">
        <f>AE132</f>
        <v>0</v>
      </c>
      <c r="AG132" s="27" t="str">
        <f>F5</f>
        <v xml:space="preserve"> </v>
      </c>
      <c r="AH132" s="36" t="str">
        <f>AG132</f>
        <v xml:space="preserve"> </v>
      </c>
      <c r="AI132" s="29"/>
    </row>
    <row r="133" spans="1:35">
      <c r="A133" s="27" t="s">
        <v>163</v>
      </c>
      <c r="B133" s="27">
        <f>(B130*B131)+B132</f>
        <v>0</v>
      </c>
      <c r="C133" s="24">
        <f>(C130*C131/100)+C132</f>
        <v>0</v>
      </c>
      <c r="D133" s="27">
        <f>(D130*D131)+D132</f>
        <v>0</v>
      </c>
      <c r="E133" s="24">
        <f>(E130*E131/100)+E132</f>
        <v>0</v>
      </c>
      <c r="F133" s="27">
        <f>(F130*F131)+F132</f>
        <v>0</v>
      </c>
      <c r="G133" s="24">
        <f>(G130*G131/100)+G132</f>
        <v>0</v>
      </c>
      <c r="H133" s="29"/>
      <c r="J133" s="27" t="s">
        <v>163</v>
      </c>
      <c r="K133" s="27">
        <f t="shared" ref="K133:P133" si="0">(K130*K131)+K132</f>
        <v>0</v>
      </c>
      <c r="L133" s="24">
        <f t="shared" si="0"/>
        <v>0</v>
      </c>
      <c r="M133" s="27">
        <f t="shared" si="0"/>
        <v>0</v>
      </c>
      <c r="N133" s="24">
        <f t="shared" si="0"/>
        <v>0</v>
      </c>
      <c r="O133" s="27" t="e">
        <f t="shared" si="0"/>
        <v>#VALUE!</v>
      </c>
      <c r="P133" s="24" t="e">
        <f t="shared" si="0"/>
        <v>#VALUE!</v>
      </c>
      <c r="Q133" s="29"/>
      <c r="S133" s="27" t="s">
        <v>163</v>
      </c>
      <c r="T133" s="27">
        <f t="shared" ref="T133:Y133" si="1">(T130*T131)+T132</f>
        <v>0</v>
      </c>
      <c r="U133" s="24">
        <f t="shared" si="1"/>
        <v>0</v>
      </c>
      <c r="V133" s="27">
        <f t="shared" si="1"/>
        <v>0</v>
      </c>
      <c r="W133" s="24">
        <f t="shared" si="1"/>
        <v>0</v>
      </c>
      <c r="X133" s="27" t="e">
        <f t="shared" si="1"/>
        <v>#VALUE!</v>
      </c>
      <c r="Y133" s="24" t="e">
        <f t="shared" si="1"/>
        <v>#VALUE!</v>
      </c>
      <c r="Z133" s="29"/>
      <c r="AB133" s="27" t="s">
        <v>163</v>
      </c>
      <c r="AC133" s="27">
        <f t="shared" ref="AC133:AH133" si="2">(AC130*AC131)+AC132</f>
        <v>0</v>
      </c>
      <c r="AD133" s="24">
        <f t="shared" si="2"/>
        <v>0</v>
      </c>
      <c r="AE133" s="27">
        <f t="shared" si="2"/>
        <v>0</v>
      </c>
      <c r="AF133" s="24">
        <f t="shared" si="2"/>
        <v>0</v>
      </c>
      <c r="AG133" s="27" t="e">
        <f t="shared" si="2"/>
        <v>#VALUE!</v>
      </c>
      <c r="AH133" s="24" t="e">
        <f t="shared" si="2"/>
        <v>#VALUE!</v>
      </c>
      <c r="AI133" s="29"/>
    </row>
    <row r="134" spans="1:35">
      <c r="A134" s="49" t="s">
        <v>164</v>
      </c>
      <c r="B134" s="49">
        <f t="shared" ref="B134:G134" si="3">B130-B133</f>
        <v>16650</v>
      </c>
      <c r="C134" s="57">
        <f t="shared" si="3"/>
        <v>15958.33</v>
      </c>
      <c r="D134" s="49">
        <f t="shared" si="3"/>
        <v>0</v>
      </c>
      <c r="E134" s="57">
        <f t="shared" si="3"/>
        <v>0</v>
      </c>
      <c r="F134" s="49">
        <f t="shared" si="3"/>
        <v>0</v>
      </c>
      <c r="G134" s="57">
        <f t="shared" si="3"/>
        <v>0</v>
      </c>
      <c r="H134" s="57"/>
      <c r="J134" s="49" t="s">
        <v>164</v>
      </c>
      <c r="K134" s="49">
        <f t="shared" ref="K134:P134" si="4">K130-K133</f>
        <v>0</v>
      </c>
      <c r="L134" s="57">
        <f t="shared" si="4"/>
        <v>28629.17</v>
      </c>
      <c r="M134" s="49">
        <f t="shared" si="4"/>
        <v>0</v>
      </c>
      <c r="N134" s="57">
        <f t="shared" si="4"/>
        <v>0</v>
      </c>
      <c r="O134" s="49" t="e">
        <f t="shared" si="4"/>
        <v>#VALUE!</v>
      </c>
      <c r="P134" s="57" t="e">
        <f t="shared" si="4"/>
        <v>#VALUE!</v>
      </c>
      <c r="Q134" s="57"/>
      <c r="S134" s="49" t="s">
        <v>164</v>
      </c>
      <c r="T134" s="49">
        <f t="shared" ref="T134:Y134" si="5">T130-T133</f>
        <v>0</v>
      </c>
      <c r="U134" s="57">
        <f t="shared" si="5"/>
        <v>0</v>
      </c>
      <c r="V134" s="49">
        <f t="shared" si="5"/>
        <v>0</v>
      </c>
      <c r="W134" s="57">
        <f t="shared" si="5"/>
        <v>0</v>
      </c>
      <c r="X134" s="49" t="e">
        <f t="shared" si="5"/>
        <v>#VALUE!</v>
      </c>
      <c r="Y134" s="57" t="e">
        <f t="shared" si="5"/>
        <v>#VALUE!</v>
      </c>
      <c r="Z134" s="57"/>
      <c r="AB134" s="49" t="s">
        <v>164</v>
      </c>
      <c r="AC134" s="49">
        <f t="shared" ref="AC134:AH134" si="6">AC130-AC133</f>
        <v>0</v>
      </c>
      <c r="AD134" s="57">
        <f t="shared" si="6"/>
        <v>0</v>
      </c>
      <c r="AE134" s="49">
        <f t="shared" si="6"/>
        <v>0</v>
      </c>
      <c r="AF134" s="57">
        <f t="shared" si="6"/>
        <v>0</v>
      </c>
      <c r="AG134" s="49" t="e">
        <f t="shared" si="6"/>
        <v>#VALUE!</v>
      </c>
      <c r="AH134" s="57" t="e">
        <f t="shared" si="6"/>
        <v>#VALUE!</v>
      </c>
      <c r="AI134" s="57"/>
    </row>
    <row r="135" spans="1:35">
      <c r="A135" s="27"/>
      <c r="B135" s="28"/>
      <c r="C135" s="28"/>
      <c r="D135" s="28"/>
      <c r="E135" s="28"/>
      <c r="F135" s="28"/>
      <c r="G135" s="28"/>
      <c r="H135" s="29"/>
      <c r="J135" s="27"/>
      <c r="K135" s="28"/>
      <c r="L135" s="28"/>
      <c r="M135" s="28"/>
      <c r="N135" s="28"/>
      <c r="O135" s="28"/>
      <c r="P135" s="28"/>
      <c r="Q135" s="29"/>
      <c r="S135" s="27"/>
      <c r="T135" s="28"/>
      <c r="U135" s="28"/>
      <c r="V135" s="28"/>
      <c r="W135" s="28"/>
      <c r="X135" s="28"/>
      <c r="Y135" s="28"/>
      <c r="Z135" s="29"/>
      <c r="AB135" s="27"/>
      <c r="AC135" s="28"/>
      <c r="AD135" s="28"/>
      <c r="AE135" s="28"/>
      <c r="AF135" s="28"/>
      <c r="AG135" s="28"/>
      <c r="AH135" s="28"/>
      <c r="AI135" s="29"/>
    </row>
    <row r="136" spans="1:35" ht="21">
      <c r="A136" s="107"/>
      <c r="B136" s="108"/>
      <c r="C136" s="108"/>
      <c r="D136" s="108"/>
      <c r="E136" s="108"/>
      <c r="F136" s="108"/>
      <c r="G136" s="109" t="s">
        <v>158</v>
      </c>
      <c r="H136" s="110" t="s">
        <v>159</v>
      </c>
      <c r="J136" s="107"/>
      <c r="K136" s="108"/>
      <c r="L136" s="108"/>
      <c r="M136" s="108"/>
      <c r="N136" s="108"/>
      <c r="O136" s="108"/>
      <c r="P136" s="109" t="s">
        <v>158</v>
      </c>
      <c r="Q136" s="110" t="s">
        <v>159</v>
      </c>
      <c r="S136" s="107"/>
      <c r="T136" s="108"/>
      <c r="U136" s="108"/>
      <c r="V136" s="108"/>
      <c r="W136" s="108"/>
      <c r="X136" s="108"/>
      <c r="Y136" s="109" t="s">
        <v>158</v>
      </c>
      <c r="Z136" s="110" t="s">
        <v>159</v>
      </c>
      <c r="AB136" s="107"/>
      <c r="AC136" s="108"/>
      <c r="AD136" s="108"/>
      <c r="AE136" s="108"/>
      <c r="AF136" s="108"/>
      <c r="AG136" s="108"/>
      <c r="AH136" s="109" t="s">
        <v>158</v>
      </c>
      <c r="AI136" s="110" t="s">
        <v>159</v>
      </c>
    </row>
    <row r="137" spans="1:35">
      <c r="A137" s="111" t="s">
        <v>165</v>
      </c>
      <c r="B137" s="112"/>
      <c r="C137" s="112"/>
      <c r="D137" s="112"/>
      <c r="E137" s="112"/>
      <c r="F137" s="112"/>
      <c r="G137" s="113">
        <f>H130</f>
        <v>0</v>
      </c>
      <c r="H137" s="114">
        <f>SUM(H140:H142)</f>
        <v>0</v>
      </c>
      <c r="J137" s="111" t="s">
        <v>165</v>
      </c>
      <c r="K137" s="112"/>
      <c r="L137" s="112"/>
      <c r="M137" s="112"/>
      <c r="N137" s="112"/>
      <c r="O137" s="112"/>
      <c r="P137" s="113">
        <f>Q130</f>
        <v>0</v>
      </c>
      <c r="Q137" s="114">
        <f>SUM(Q140:Q142)</f>
        <v>0</v>
      </c>
      <c r="S137" s="111" t="s">
        <v>165</v>
      </c>
      <c r="T137" s="112"/>
      <c r="U137" s="112"/>
      <c r="V137" s="112"/>
      <c r="W137" s="112"/>
      <c r="X137" s="112"/>
      <c r="Y137" s="113">
        <f>Z130</f>
        <v>0</v>
      </c>
      <c r="Z137" s="114">
        <f>SUM(Z140:Z142)</f>
        <v>0</v>
      </c>
      <c r="AB137" s="111" t="s">
        <v>165</v>
      </c>
      <c r="AC137" s="112"/>
      <c r="AD137" s="112"/>
      <c r="AE137" s="112"/>
      <c r="AF137" s="112"/>
      <c r="AG137" s="112"/>
      <c r="AH137" s="113">
        <f>AI130</f>
        <v>0</v>
      </c>
      <c r="AI137" s="114">
        <f>SUM(AI140:AI142)</f>
        <v>0</v>
      </c>
    </row>
    <row r="138" spans="1:35">
      <c r="A138" s="27"/>
      <c r="B138" s="28"/>
      <c r="C138" s="28"/>
      <c r="D138" s="28"/>
      <c r="E138" s="28"/>
      <c r="F138" s="28"/>
      <c r="G138" s="115"/>
      <c r="H138" s="116"/>
      <c r="J138" s="27"/>
      <c r="K138" s="28"/>
      <c r="L138" s="28"/>
      <c r="M138" s="28"/>
      <c r="N138" s="28"/>
      <c r="O138" s="28"/>
      <c r="P138" s="115"/>
      <c r="Q138" s="116"/>
      <c r="S138" s="27"/>
      <c r="T138" s="28"/>
      <c r="U138" s="28"/>
      <c r="V138" s="28"/>
      <c r="W138" s="28"/>
      <c r="X138" s="28"/>
      <c r="Y138" s="115"/>
      <c r="Z138" s="116"/>
      <c r="AB138" s="27"/>
      <c r="AC138" s="28"/>
      <c r="AD138" s="28"/>
      <c r="AE138" s="28"/>
      <c r="AF138" s="28"/>
      <c r="AG138" s="28"/>
      <c r="AH138" s="115"/>
      <c r="AI138" s="116"/>
    </row>
    <row r="139" spans="1:35">
      <c r="A139" s="117" t="s">
        <v>166</v>
      </c>
      <c r="B139" s="352" t="s">
        <v>167</v>
      </c>
      <c r="C139" s="352"/>
      <c r="D139" s="352" t="s">
        <v>168</v>
      </c>
      <c r="E139" s="352"/>
      <c r="F139" s="352" t="s">
        <v>162</v>
      </c>
      <c r="G139" s="352"/>
      <c r="H139" s="116" t="s">
        <v>159</v>
      </c>
      <c r="J139" s="117" t="s">
        <v>166</v>
      </c>
      <c r="K139" s="353" t="s">
        <v>167</v>
      </c>
      <c r="L139" s="353"/>
      <c r="M139" s="352" t="s">
        <v>168</v>
      </c>
      <c r="N139" s="352"/>
      <c r="O139" s="352" t="s">
        <v>162</v>
      </c>
      <c r="P139" s="352"/>
      <c r="Q139" s="116" t="s">
        <v>159</v>
      </c>
      <c r="S139" s="117" t="s">
        <v>166</v>
      </c>
      <c r="T139" s="352" t="s">
        <v>167</v>
      </c>
      <c r="U139" s="352"/>
      <c r="V139" s="352" t="s">
        <v>168</v>
      </c>
      <c r="W139" s="352"/>
      <c r="X139" s="352" t="s">
        <v>162</v>
      </c>
      <c r="Y139" s="352"/>
      <c r="Z139" s="116" t="s">
        <v>159</v>
      </c>
      <c r="AB139" s="117" t="s">
        <v>166</v>
      </c>
      <c r="AC139" s="352" t="s">
        <v>167</v>
      </c>
      <c r="AD139" s="352"/>
      <c r="AE139" s="352" t="s">
        <v>168</v>
      </c>
      <c r="AF139" s="352"/>
      <c r="AG139" s="352" t="s">
        <v>162</v>
      </c>
      <c r="AH139" s="352"/>
      <c r="AI139" s="116" t="s">
        <v>159</v>
      </c>
    </row>
    <row r="140" spans="1:35">
      <c r="A140" s="27" t="s">
        <v>169</v>
      </c>
      <c r="B140" s="354">
        <f>G137</f>
        <v>0</v>
      </c>
      <c r="C140" s="354"/>
      <c r="D140" s="355">
        <v>0</v>
      </c>
      <c r="E140" s="355"/>
      <c r="F140" s="354">
        <v>0</v>
      </c>
      <c r="G140" s="354"/>
      <c r="H140" s="119">
        <f>(B140-(B140*D140))-F140</f>
        <v>0</v>
      </c>
      <c r="J140" s="27" t="s">
        <v>169</v>
      </c>
      <c r="K140" s="354">
        <f>P137</f>
        <v>0</v>
      </c>
      <c r="L140" s="354"/>
      <c r="M140" s="355">
        <v>0</v>
      </c>
      <c r="N140" s="355"/>
      <c r="O140" s="354">
        <v>0</v>
      </c>
      <c r="P140" s="354"/>
      <c r="Q140" s="119">
        <f>(K140-(K140*M140))-O140</f>
        <v>0</v>
      </c>
      <c r="S140" s="27" t="s">
        <v>169</v>
      </c>
      <c r="T140" s="354">
        <f>Y137</f>
        <v>0</v>
      </c>
      <c r="U140" s="354"/>
      <c r="V140" s="355">
        <v>0</v>
      </c>
      <c r="W140" s="355"/>
      <c r="X140" s="354">
        <v>0</v>
      </c>
      <c r="Y140" s="354"/>
      <c r="Z140" s="119">
        <f>(T140-(T140*V140))-X140</f>
        <v>0</v>
      </c>
      <c r="AB140" s="27" t="s">
        <v>169</v>
      </c>
      <c r="AC140" s="354">
        <f>AH137</f>
        <v>0</v>
      </c>
      <c r="AD140" s="354"/>
      <c r="AE140" s="355">
        <v>0</v>
      </c>
      <c r="AF140" s="355"/>
      <c r="AG140" s="354">
        <v>0</v>
      </c>
      <c r="AH140" s="354"/>
      <c r="AI140" s="119">
        <f>(AC140-(AC140*AE140))-AG140</f>
        <v>0</v>
      </c>
    </row>
    <row r="141" spans="1:35">
      <c r="A141" s="27" t="s">
        <v>170</v>
      </c>
      <c r="B141" s="354">
        <v>0</v>
      </c>
      <c r="C141" s="354"/>
      <c r="D141" s="355">
        <v>0</v>
      </c>
      <c r="E141" s="355"/>
      <c r="F141" s="354">
        <v>0</v>
      </c>
      <c r="G141" s="354"/>
      <c r="H141" s="119">
        <f>(B141-(B141*D141))-F141</f>
        <v>0</v>
      </c>
      <c r="J141" s="27" t="s">
        <v>170</v>
      </c>
      <c r="K141" s="354">
        <v>0</v>
      </c>
      <c r="L141" s="354"/>
      <c r="M141" s="355">
        <v>0</v>
      </c>
      <c r="N141" s="355"/>
      <c r="O141" s="354">
        <v>0</v>
      </c>
      <c r="P141" s="354"/>
      <c r="Q141" s="119">
        <f>(K141-(K141*M141))-O141</f>
        <v>0</v>
      </c>
      <c r="S141" s="27" t="s">
        <v>170</v>
      </c>
      <c r="T141" s="354">
        <v>0</v>
      </c>
      <c r="U141" s="354"/>
      <c r="V141" s="355">
        <v>0</v>
      </c>
      <c r="W141" s="355"/>
      <c r="X141" s="354">
        <v>0</v>
      </c>
      <c r="Y141" s="354"/>
      <c r="Z141" s="119">
        <f>(T141-(T141*V141))-X141</f>
        <v>0</v>
      </c>
      <c r="AB141" s="27" t="s">
        <v>170</v>
      </c>
      <c r="AC141" s="354">
        <v>0</v>
      </c>
      <c r="AD141" s="354"/>
      <c r="AE141" s="355">
        <v>0</v>
      </c>
      <c r="AF141" s="355"/>
      <c r="AG141" s="354">
        <v>0</v>
      </c>
      <c r="AH141" s="354"/>
      <c r="AI141" s="119">
        <f>(AC141-(AC141*AE141))-AG141</f>
        <v>0</v>
      </c>
    </row>
    <row r="142" spans="1:35">
      <c r="A142" s="27" t="s">
        <v>171</v>
      </c>
      <c r="B142" s="354">
        <v>0</v>
      </c>
      <c r="C142" s="354"/>
      <c r="D142" s="355">
        <v>0</v>
      </c>
      <c r="E142" s="355"/>
      <c r="F142" s="354">
        <v>0</v>
      </c>
      <c r="G142" s="354"/>
      <c r="H142" s="119">
        <f>(B142-(B142*D142))-F142</f>
        <v>0</v>
      </c>
      <c r="J142" s="27" t="s">
        <v>171</v>
      </c>
      <c r="K142" s="354">
        <v>0</v>
      </c>
      <c r="L142" s="354"/>
      <c r="M142" s="355">
        <v>0</v>
      </c>
      <c r="N142" s="355"/>
      <c r="O142" s="354">
        <v>0</v>
      </c>
      <c r="P142" s="354"/>
      <c r="Q142" s="119">
        <f>(K142-(K142*M142))-O142</f>
        <v>0</v>
      </c>
      <c r="S142" s="27" t="s">
        <v>171</v>
      </c>
      <c r="T142" s="354">
        <v>0</v>
      </c>
      <c r="U142" s="354"/>
      <c r="V142" s="355">
        <v>0</v>
      </c>
      <c r="W142" s="355"/>
      <c r="X142" s="354">
        <v>0</v>
      </c>
      <c r="Y142" s="354"/>
      <c r="Z142" s="119">
        <f>(T142-(T142*V142))-X142</f>
        <v>0</v>
      </c>
      <c r="AB142" s="27" t="s">
        <v>171</v>
      </c>
      <c r="AC142" s="354">
        <v>0</v>
      </c>
      <c r="AD142" s="354"/>
      <c r="AE142" s="355">
        <v>0</v>
      </c>
      <c r="AF142" s="355"/>
      <c r="AG142" s="354">
        <v>0</v>
      </c>
      <c r="AH142" s="354"/>
      <c r="AI142" s="119">
        <f>(AC142-(AC142*AE142))-AG142</f>
        <v>0</v>
      </c>
    </row>
    <row r="143" spans="1:35">
      <c r="A143" s="27"/>
      <c r="B143" s="28"/>
      <c r="C143" s="28"/>
      <c r="D143" s="28"/>
      <c r="E143" s="28"/>
      <c r="F143" s="28"/>
      <c r="G143" s="115"/>
      <c r="H143" s="116"/>
      <c r="J143" s="27"/>
      <c r="K143" s="28"/>
      <c r="L143" s="28"/>
      <c r="M143" s="28"/>
      <c r="N143" s="28"/>
      <c r="O143" s="28"/>
      <c r="P143" s="115"/>
      <c r="Q143" s="116"/>
      <c r="S143" s="27"/>
      <c r="T143" s="28"/>
      <c r="U143" s="28"/>
      <c r="V143" s="28"/>
      <c r="W143" s="28"/>
      <c r="X143" s="28"/>
      <c r="Y143" s="115"/>
      <c r="Z143" s="116"/>
      <c r="AB143" s="27"/>
      <c r="AC143" s="28"/>
      <c r="AD143" s="28"/>
      <c r="AE143" s="28"/>
      <c r="AF143" s="28"/>
      <c r="AG143" s="28"/>
      <c r="AH143" s="115"/>
      <c r="AI143" s="116"/>
    </row>
    <row r="144" spans="1:35" ht="21">
      <c r="A144" s="356" t="s">
        <v>172</v>
      </c>
      <c r="B144" s="356"/>
      <c r="C144" s="356"/>
      <c r="D144" s="356"/>
      <c r="E144" s="356"/>
      <c r="F144" s="356"/>
      <c r="G144" s="109">
        <f>E21</f>
        <v>13875</v>
      </c>
      <c r="H144" s="120">
        <f>C134+E134+G134+H137</f>
        <v>15958.33</v>
      </c>
      <c r="J144" s="356" t="s">
        <v>172</v>
      </c>
      <c r="K144" s="356"/>
      <c r="L144" s="356"/>
      <c r="M144" s="356"/>
      <c r="N144" s="356"/>
      <c r="O144" s="356"/>
      <c r="P144" s="109">
        <f t="shared" ref="P144:P151" si="7">H9</f>
        <v>0</v>
      </c>
      <c r="Q144" s="120" t="e">
        <f>L134+N134+P134+Q137</f>
        <v>#VALUE!</v>
      </c>
      <c r="S144" s="356" t="s">
        <v>172</v>
      </c>
      <c r="T144" s="356"/>
      <c r="U144" s="356"/>
      <c r="V144" s="356"/>
      <c r="W144" s="356"/>
      <c r="X144" s="356"/>
      <c r="Y144" s="109">
        <f t="shared" ref="Y144:Y151" si="8">H9</f>
        <v>0</v>
      </c>
      <c r="Z144" s="120" t="e">
        <f>U134+W134+Y134+Z137</f>
        <v>#VALUE!</v>
      </c>
      <c r="AB144" s="356" t="s">
        <v>172</v>
      </c>
      <c r="AC144" s="356"/>
      <c r="AD144" s="356"/>
      <c r="AE144" s="356"/>
      <c r="AF144" s="356"/>
      <c r="AG144" s="356"/>
      <c r="AH144" s="109">
        <f t="shared" ref="AH144:AH151" si="9">H9</f>
        <v>0</v>
      </c>
      <c r="AI144" s="120" t="e">
        <f>AD134+AF134+AH134+AI137</f>
        <v>#VALUE!</v>
      </c>
    </row>
    <row r="145" spans="1:35">
      <c r="A145" s="357" t="s">
        <v>173</v>
      </c>
      <c r="B145" s="357"/>
      <c r="C145" s="357"/>
      <c r="D145" s="357"/>
      <c r="E145" s="357"/>
      <c r="F145" s="357"/>
      <c r="G145" s="121">
        <f>H19</f>
        <v>0</v>
      </c>
      <c r="H145" s="29">
        <f>G145</f>
        <v>0</v>
      </c>
      <c r="J145" s="357" t="s">
        <v>173</v>
      </c>
      <c r="K145" s="357"/>
      <c r="L145" s="357"/>
      <c r="M145" s="357"/>
      <c r="N145" s="357"/>
      <c r="O145" s="357"/>
      <c r="P145" s="121">
        <f t="shared" si="7"/>
        <v>0</v>
      </c>
      <c r="Q145" s="29">
        <f>P145</f>
        <v>0</v>
      </c>
      <c r="S145" s="357" t="s">
        <v>173</v>
      </c>
      <c r="T145" s="357"/>
      <c r="U145" s="357"/>
      <c r="V145" s="357"/>
      <c r="W145" s="357"/>
      <c r="X145" s="357"/>
      <c r="Y145" s="121">
        <f t="shared" si="8"/>
        <v>0</v>
      </c>
      <c r="Z145" s="29">
        <f>Y145</f>
        <v>0</v>
      </c>
      <c r="AB145" s="357" t="s">
        <v>173</v>
      </c>
      <c r="AC145" s="357"/>
      <c r="AD145" s="357"/>
      <c r="AE145" s="357"/>
      <c r="AF145" s="357"/>
      <c r="AG145" s="357"/>
      <c r="AH145" s="121">
        <f t="shared" si="9"/>
        <v>0</v>
      </c>
      <c r="AI145" s="29">
        <f>AH145</f>
        <v>0</v>
      </c>
    </row>
    <row r="146" spans="1:35">
      <c r="A146" s="357" t="s">
        <v>174</v>
      </c>
      <c r="B146" s="357"/>
      <c r="C146" s="357"/>
      <c r="D146" s="357"/>
      <c r="E146" s="357"/>
      <c r="F146" s="357"/>
      <c r="G146" s="29">
        <f>(G144+G145)*20%</f>
        <v>2775</v>
      </c>
      <c r="H146" s="29">
        <f>(H144+H145)*20%</f>
        <v>3191.6660000000002</v>
      </c>
      <c r="J146" s="357" t="s">
        <v>174</v>
      </c>
      <c r="K146" s="357"/>
      <c r="L146" s="357"/>
      <c r="M146" s="357"/>
      <c r="N146" s="357"/>
      <c r="O146" s="357"/>
      <c r="P146" s="121">
        <f t="shared" si="7"/>
        <v>0</v>
      </c>
      <c r="Q146" s="29" t="e">
        <f>(Q144+Q145)*20%</f>
        <v>#VALUE!</v>
      </c>
      <c r="S146" s="357" t="s">
        <v>174</v>
      </c>
      <c r="T146" s="357"/>
      <c r="U146" s="357"/>
      <c r="V146" s="357"/>
      <c r="W146" s="357"/>
      <c r="X146" s="357"/>
      <c r="Y146" s="121">
        <f t="shared" si="8"/>
        <v>0</v>
      </c>
      <c r="Z146" s="29" t="e">
        <f>(Z144+Z145)*20%</f>
        <v>#VALUE!</v>
      </c>
      <c r="AB146" s="357" t="s">
        <v>174</v>
      </c>
      <c r="AC146" s="357"/>
      <c r="AD146" s="357"/>
      <c r="AE146" s="357"/>
      <c r="AF146" s="357"/>
      <c r="AG146" s="357"/>
      <c r="AH146" s="121">
        <f t="shared" si="9"/>
        <v>0</v>
      </c>
      <c r="AI146" s="29" t="e">
        <f>(AI144+AI145)*20%</f>
        <v>#VALUE!</v>
      </c>
    </row>
    <row r="147" spans="1:35">
      <c r="A147" s="357" t="s">
        <v>175</v>
      </c>
      <c r="B147" s="357"/>
      <c r="C147" s="357"/>
      <c r="D147" s="357"/>
      <c r="E147" s="357"/>
      <c r="F147" s="357"/>
      <c r="G147" s="121">
        <f>H21</f>
        <v>0</v>
      </c>
      <c r="H147" s="29">
        <v>0</v>
      </c>
      <c r="J147" s="357" t="s">
        <v>175</v>
      </c>
      <c r="K147" s="357"/>
      <c r="L147" s="357"/>
      <c r="M147" s="357"/>
      <c r="N147" s="357"/>
      <c r="O147" s="357"/>
      <c r="P147" s="121">
        <f t="shared" si="7"/>
        <v>0</v>
      </c>
      <c r="Q147" s="29">
        <f>P147</f>
        <v>0</v>
      </c>
      <c r="S147" s="357" t="s">
        <v>175</v>
      </c>
      <c r="T147" s="357"/>
      <c r="U147" s="357"/>
      <c r="V147" s="357"/>
      <c r="W147" s="357"/>
      <c r="X147" s="357"/>
      <c r="Y147" s="121">
        <f t="shared" si="8"/>
        <v>0</v>
      </c>
      <c r="Z147" s="29">
        <f>Y147</f>
        <v>0</v>
      </c>
      <c r="AB147" s="357" t="s">
        <v>175</v>
      </c>
      <c r="AC147" s="357"/>
      <c r="AD147" s="357"/>
      <c r="AE147" s="357"/>
      <c r="AF147" s="357"/>
      <c r="AG147" s="357"/>
      <c r="AH147" s="121">
        <f t="shared" si="9"/>
        <v>0</v>
      </c>
      <c r="AI147" s="29">
        <f>AH147</f>
        <v>0</v>
      </c>
    </row>
    <row r="148" spans="1:35">
      <c r="A148" s="357" t="s">
        <v>176</v>
      </c>
      <c r="B148" s="357"/>
      <c r="C148" s="357"/>
      <c r="D148" s="357"/>
      <c r="E148" s="357"/>
      <c r="F148" s="357"/>
      <c r="G148" s="121">
        <f>H22</f>
        <v>0</v>
      </c>
      <c r="H148" s="29">
        <f>G148</f>
        <v>0</v>
      </c>
      <c r="J148" s="357" t="s">
        <v>176</v>
      </c>
      <c r="K148" s="357"/>
      <c r="L148" s="357"/>
      <c r="M148" s="357"/>
      <c r="N148" s="357"/>
      <c r="O148" s="357"/>
      <c r="P148" s="121">
        <f t="shared" si="7"/>
        <v>0</v>
      </c>
      <c r="Q148" s="29">
        <f>P148</f>
        <v>0</v>
      </c>
      <c r="S148" s="357" t="s">
        <v>176</v>
      </c>
      <c r="T148" s="357"/>
      <c r="U148" s="357"/>
      <c r="V148" s="357"/>
      <c r="W148" s="357"/>
      <c r="X148" s="357"/>
      <c r="Y148" s="121">
        <f t="shared" si="8"/>
        <v>0</v>
      </c>
      <c r="Z148" s="29">
        <f>Y148</f>
        <v>0</v>
      </c>
      <c r="AB148" s="357" t="s">
        <v>176</v>
      </c>
      <c r="AC148" s="357"/>
      <c r="AD148" s="357"/>
      <c r="AE148" s="357"/>
      <c r="AF148" s="357"/>
      <c r="AG148" s="357"/>
      <c r="AH148" s="121">
        <f t="shared" si="9"/>
        <v>0</v>
      </c>
      <c r="AI148" s="29">
        <f>AH148</f>
        <v>0</v>
      </c>
    </row>
    <row r="149" spans="1:35">
      <c r="A149" s="357" t="s">
        <v>177</v>
      </c>
      <c r="B149" s="357"/>
      <c r="C149" s="357"/>
      <c r="D149" s="357"/>
      <c r="E149" s="357"/>
      <c r="F149" s="357"/>
      <c r="G149" s="121">
        <f>H23</f>
        <v>0</v>
      </c>
      <c r="H149" s="29">
        <f>G149</f>
        <v>0</v>
      </c>
      <c r="J149" s="357" t="s">
        <v>177</v>
      </c>
      <c r="K149" s="357"/>
      <c r="L149" s="357"/>
      <c r="M149" s="357"/>
      <c r="N149" s="357"/>
      <c r="O149" s="357"/>
      <c r="P149" s="121">
        <f t="shared" si="7"/>
        <v>0</v>
      </c>
      <c r="Q149" s="29">
        <v>55</v>
      </c>
      <c r="S149" s="357" t="s">
        <v>177</v>
      </c>
      <c r="T149" s="357"/>
      <c r="U149" s="357"/>
      <c r="V149" s="357"/>
      <c r="W149" s="357"/>
      <c r="X149" s="357"/>
      <c r="Y149" s="121">
        <f t="shared" si="8"/>
        <v>0</v>
      </c>
      <c r="Z149" s="29">
        <v>55</v>
      </c>
      <c r="AB149" s="357" t="s">
        <v>177</v>
      </c>
      <c r="AC149" s="357"/>
      <c r="AD149" s="357"/>
      <c r="AE149" s="357"/>
      <c r="AF149" s="357"/>
      <c r="AG149" s="357"/>
      <c r="AH149" s="121">
        <f t="shared" si="9"/>
        <v>0</v>
      </c>
      <c r="AI149" s="29">
        <v>55</v>
      </c>
    </row>
    <row r="150" spans="1:35" ht="21">
      <c r="A150" s="357" t="s">
        <v>178</v>
      </c>
      <c r="B150" s="357"/>
      <c r="C150" s="357"/>
      <c r="D150" s="357"/>
      <c r="E150" s="357"/>
      <c r="F150" s="357"/>
      <c r="G150" s="122">
        <f>(G144+G145+G148+G149+G146)-G147</f>
        <v>16650</v>
      </c>
      <c r="H150" s="122">
        <f>(H144+H145+H148+H149+H146)-H147</f>
        <v>19149.995999999999</v>
      </c>
      <c r="J150" s="357" t="s">
        <v>178</v>
      </c>
      <c r="K150" s="357"/>
      <c r="L150" s="357"/>
      <c r="M150" s="357"/>
      <c r="N150" s="357"/>
      <c r="O150" s="357"/>
      <c r="P150" s="123">
        <f t="shared" si="7"/>
        <v>0</v>
      </c>
      <c r="Q150" s="122" t="e">
        <f>(Q144+Q145+Q148+Q149+Q146)-Q147</f>
        <v>#VALUE!</v>
      </c>
      <c r="S150" s="357" t="s">
        <v>178</v>
      </c>
      <c r="T150" s="357"/>
      <c r="U150" s="357"/>
      <c r="V150" s="357"/>
      <c r="W150" s="357"/>
      <c r="X150" s="357"/>
      <c r="Y150" s="123">
        <f t="shared" si="8"/>
        <v>0</v>
      </c>
      <c r="Z150" s="122" t="e">
        <f>(Z144+Z145+Z148+Z149+Z146)-Z147</f>
        <v>#VALUE!</v>
      </c>
      <c r="AB150" s="357" t="s">
        <v>178</v>
      </c>
      <c r="AC150" s="357"/>
      <c r="AD150" s="357"/>
      <c r="AE150" s="357"/>
      <c r="AF150" s="357"/>
      <c r="AG150" s="357"/>
      <c r="AH150" s="123">
        <f t="shared" si="9"/>
        <v>0</v>
      </c>
      <c r="AI150" s="122" t="e">
        <f>(AI144+AI145+AI148+AI149+AI146)-AI147</f>
        <v>#VALUE!</v>
      </c>
    </row>
    <row r="151" spans="1:35">
      <c r="A151" s="357" t="s">
        <v>179</v>
      </c>
      <c r="B151" s="357"/>
      <c r="C151" s="357"/>
      <c r="D151" s="357"/>
      <c r="E151" s="357"/>
      <c r="F151" s="357"/>
      <c r="G151" s="36">
        <f>F151</f>
        <v>0</v>
      </c>
      <c r="H151" s="36">
        <f>G151</f>
        <v>0</v>
      </c>
      <c r="J151" s="357" t="s">
        <v>179</v>
      </c>
      <c r="K151" s="357"/>
      <c r="L151" s="357"/>
      <c r="M151" s="357"/>
      <c r="N151" s="357"/>
      <c r="O151" s="357"/>
      <c r="P151" s="121">
        <f t="shared" si="7"/>
        <v>0</v>
      </c>
      <c r="Q151" s="36">
        <f>P151</f>
        <v>0</v>
      </c>
      <c r="S151" s="357" t="s">
        <v>179</v>
      </c>
      <c r="T151" s="357"/>
      <c r="U151" s="357"/>
      <c r="V151" s="357"/>
      <c r="W151" s="357"/>
      <c r="X151" s="357"/>
      <c r="Y151" s="121">
        <f t="shared" si="8"/>
        <v>0</v>
      </c>
      <c r="Z151" s="36">
        <f>Y151</f>
        <v>0</v>
      </c>
      <c r="AB151" s="357" t="s">
        <v>179</v>
      </c>
      <c r="AC151" s="357"/>
      <c r="AD151" s="357"/>
      <c r="AE151" s="357"/>
      <c r="AF151" s="357"/>
      <c r="AG151" s="357"/>
      <c r="AH151" s="121">
        <f t="shared" si="9"/>
        <v>0</v>
      </c>
      <c r="AI151" s="36">
        <f>AH151</f>
        <v>0</v>
      </c>
    </row>
    <row r="152" spans="1:35">
      <c r="A152" s="358" t="s">
        <v>180</v>
      </c>
      <c r="B152" s="358"/>
      <c r="C152" s="358"/>
      <c r="D152" s="358"/>
      <c r="E152" s="358">
        <v>0</v>
      </c>
      <c r="F152" s="358"/>
      <c r="G152" s="29">
        <v>0</v>
      </c>
      <c r="H152" s="29"/>
      <c r="J152" s="359" t="s">
        <v>180</v>
      </c>
      <c r="K152" s="359"/>
      <c r="L152" s="359"/>
      <c r="M152" s="359"/>
      <c r="N152" s="359"/>
      <c r="O152" s="359"/>
      <c r="P152" s="34"/>
      <c r="Q152" s="29"/>
      <c r="S152" s="358" t="s">
        <v>180</v>
      </c>
      <c r="T152" s="358"/>
      <c r="U152" s="358"/>
      <c r="V152" s="358"/>
      <c r="W152" s="358"/>
      <c r="X152" s="358"/>
      <c r="Y152" s="34"/>
      <c r="Z152" s="29"/>
      <c r="AB152" s="358" t="s">
        <v>180</v>
      </c>
      <c r="AC152" s="358"/>
      <c r="AD152" s="358"/>
      <c r="AE152" s="358"/>
      <c r="AF152" s="358"/>
      <c r="AG152" s="358"/>
      <c r="AH152" s="34"/>
      <c r="AI152" s="29"/>
    </row>
    <row r="153" spans="1:35">
      <c r="A153" s="124" t="s">
        <v>26</v>
      </c>
      <c r="B153" s="360">
        <v>0</v>
      </c>
      <c r="C153" s="360"/>
      <c r="D153" s="360"/>
      <c r="E153" s="360"/>
      <c r="F153" s="360"/>
      <c r="G153" s="36">
        <v>0</v>
      </c>
      <c r="H153" s="36">
        <v>0</v>
      </c>
      <c r="J153" s="124" t="s">
        <v>26</v>
      </c>
      <c r="K153" s="360" t="s">
        <v>181</v>
      </c>
      <c r="L153" s="360"/>
      <c r="M153" s="360"/>
      <c r="N153" s="360"/>
      <c r="O153" s="360"/>
      <c r="P153" s="121">
        <f>H18</f>
        <v>0</v>
      </c>
      <c r="Q153" s="36">
        <f>P153</f>
        <v>0</v>
      </c>
      <c r="S153" s="124" t="s">
        <v>26</v>
      </c>
      <c r="T153" s="360" t="s">
        <v>181</v>
      </c>
      <c r="U153" s="360"/>
      <c r="V153" s="360"/>
      <c r="W153" s="360"/>
      <c r="X153" s="360"/>
      <c r="Y153" s="121">
        <f>H18</f>
        <v>0</v>
      </c>
      <c r="Z153" s="36">
        <f>Y153</f>
        <v>0</v>
      </c>
      <c r="AB153" s="124" t="s">
        <v>26</v>
      </c>
      <c r="AC153" s="360" t="s">
        <v>181</v>
      </c>
      <c r="AD153" s="360"/>
      <c r="AE153" s="360"/>
      <c r="AF153" s="360"/>
      <c r="AG153" s="360"/>
      <c r="AH153" s="121">
        <f>H18</f>
        <v>0</v>
      </c>
      <c r="AI153" s="36">
        <f>AH153</f>
        <v>0</v>
      </c>
    </row>
    <row r="154" spans="1:35">
      <c r="A154" s="124" t="s">
        <v>28</v>
      </c>
      <c r="B154" s="360" t="s">
        <v>181</v>
      </c>
      <c r="C154" s="360"/>
      <c r="D154" s="360"/>
      <c r="E154" s="360"/>
      <c r="F154" s="360"/>
      <c r="G154" s="36">
        <v>0</v>
      </c>
      <c r="H154" s="36">
        <v>0</v>
      </c>
      <c r="I154" s="4">
        <f>(G151+G154+G155+G153)</f>
        <v>0</v>
      </c>
      <c r="J154" s="124" t="s">
        <v>28</v>
      </c>
      <c r="K154" s="360" t="s">
        <v>181</v>
      </c>
      <c r="L154" s="360"/>
      <c r="M154" s="360"/>
      <c r="N154" s="360"/>
      <c r="O154" s="360"/>
      <c r="P154" s="121">
        <f>H19</f>
        <v>0</v>
      </c>
      <c r="Q154" s="36">
        <f>P154</f>
        <v>0</v>
      </c>
      <c r="S154" s="124" t="s">
        <v>28</v>
      </c>
      <c r="T154" s="360" t="s">
        <v>181</v>
      </c>
      <c r="U154" s="360"/>
      <c r="V154" s="360"/>
      <c r="W154" s="360"/>
      <c r="X154" s="360"/>
      <c r="Y154" s="121">
        <f>H19</f>
        <v>0</v>
      </c>
      <c r="Z154" s="36">
        <f>Y154</f>
        <v>0</v>
      </c>
      <c r="AB154" s="124" t="s">
        <v>28</v>
      </c>
      <c r="AC154" s="360" t="s">
        <v>181</v>
      </c>
      <c r="AD154" s="360"/>
      <c r="AE154" s="360"/>
      <c r="AF154" s="360"/>
      <c r="AG154" s="360"/>
      <c r="AH154" s="121">
        <f>H19</f>
        <v>0</v>
      </c>
      <c r="AI154" s="36">
        <f>AH154</f>
        <v>0</v>
      </c>
    </row>
    <row r="155" spans="1:35">
      <c r="A155" s="125" t="s">
        <v>29</v>
      </c>
      <c r="B155" s="361" t="s">
        <v>181</v>
      </c>
      <c r="C155" s="361"/>
      <c r="D155" s="361"/>
      <c r="E155" s="361"/>
      <c r="F155" s="361"/>
      <c r="G155" s="36">
        <v>0</v>
      </c>
      <c r="H155" s="36">
        <v>0</v>
      </c>
      <c r="I155" s="4">
        <f>(H151+H153+H154+H155)</f>
        <v>0</v>
      </c>
      <c r="J155" s="125" t="s">
        <v>29</v>
      </c>
      <c r="K155" s="361" t="s">
        <v>181</v>
      </c>
      <c r="L155" s="361"/>
      <c r="M155" s="361"/>
      <c r="N155" s="361"/>
      <c r="O155" s="361"/>
      <c r="P155" s="121">
        <f>H20</f>
        <v>0</v>
      </c>
      <c r="Q155" s="36">
        <f>P155</f>
        <v>0</v>
      </c>
      <c r="S155" s="125" t="s">
        <v>29</v>
      </c>
      <c r="T155" s="361" t="s">
        <v>181</v>
      </c>
      <c r="U155" s="361"/>
      <c r="V155" s="361"/>
      <c r="W155" s="361"/>
      <c r="X155" s="361"/>
      <c r="Y155" s="121">
        <f>H20</f>
        <v>0</v>
      </c>
      <c r="Z155" s="36">
        <f>Y155</f>
        <v>0</v>
      </c>
      <c r="AB155" s="125" t="s">
        <v>29</v>
      </c>
      <c r="AC155" s="361" t="s">
        <v>181</v>
      </c>
      <c r="AD155" s="361"/>
      <c r="AE155" s="361"/>
      <c r="AF155" s="361"/>
      <c r="AG155" s="361"/>
      <c r="AH155" s="121">
        <f>H20</f>
        <v>0</v>
      </c>
      <c r="AI155" s="36">
        <f>AH155</f>
        <v>0</v>
      </c>
    </row>
    <row r="156" spans="1:35" ht="21">
      <c r="A156" s="357" t="s">
        <v>182</v>
      </c>
      <c r="B156" s="357"/>
      <c r="C156" s="357"/>
      <c r="D156" s="357"/>
      <c r="E156" s="357"/>
      <c r="F156" s="357"/>
      <c r="G156" s="126">
        <f>G150-((G153*1.2)+(G154*1.2)+(G155*1.2)+(G151*1.2))</f>
        <v>16650</v>
      </c>
      <c r="H156" s="126">
        <f>H150-((H153*1.2)+(H154*1.2)+(H155*1.2)+(H151*1.2))</f>
        <v>19149.995999999999</v>
      </c>
      <c r="J156" s="362" t="s">
        <v>182</v>
      </c>
      <c r="K156" s="362"/>
      <c r="L156" s="362"/>
      <c r="M156" s="362"/>
      <c r="N156" s="362"/>
      <c r="O156" s="362"/>
      <c r="P156" s="123">
        <f>P150-((P153*1.2)+(P154*1.2)+(P155*1.2)+(P151*1.2))</f>
        <v>0</v>
      </c>
      <c r="Q156" s="126" t="e">
        <f>Q150-((Q153*1.2)+(Q154*1.2)+(Q155*1.2)+(Q151*1.2))</f>
        <v>#VALUE!</v>
      </c>
      <c r="S156" s="357" t="s">
        <v>182</v>
      </c>
      <c r="T156" s="357"/>
      <c r="U156" s="357"/>
      <c r="V156" s="357"/>
      <c r="W156" s="357"/>
      <c r="X156" s="357"/>
      <c r="Y156" s="123">
        <f>Y150-((Y153*1.2)+(Y154*1.2)+(Y155*1.2)+(Y151*1.2))</f>
        <v>0</v>
      </c>
      <c r="Z156" s="126" t="e">
        <f>Z150-((Z153*1.2)+(Z154*1.2)+(Z155*1.2)+(Z151*1.2))</f>
        <v>#VALUE!</v>
      </c>
      <c r="AB156" s="357" t="s">
        <v>182</v>
      </c>
      <c r="AC156" s="357"/>
      <c r="AD156" s="357"/>
      <c r="AE156" s="357"/>
      <c r="AF156" s="357"/>
      <c r="AG156" s="357"/>
      <c r="AH156" s="123">
        <f>AH150-((AH153*1.2)+(AH154*1.2)+(AH155*1.2)+(AH151*1.2))</f>
        <v>0</v>
      </c>
      <c r="AI156" s="126" t="e">
        <f>AI150-((AI153*1.2)+(AI154*1.2)+(AI155*1.2)+(AI151*1.2))</f>
        <v>#VALUE!</v>
      </c>
    </row>
    <row r="157" spans="1:35">
      <c r="A157" s="357" t="s">
        <v>183</v>
      </c>
      <c r="B157" s="357"/>
      <c r="C157" s="357"/>
      <c r="D157" s="357"/>
      <c r="E157" s="357"/>
      <c r="F157" s="357"/>
      <c r="G157" s="121"/>
      <c r="H157" s="36">
        <f>((H156-G156)-(H146-G146))+((I155-I154)*0.2)</f>
        <v>2083.329999999999</v>
      </c>
      <c r="I157" s="4">
        <f>(H157-G90)/1.2</f>
        <v>-11305.558333333336</v>
      </c>
      <c r="J157" s="357" t="s">
        <v>183</v>
      </c>
      <c r="K157" s="357"/>
      <c r="L157" s="357"/>
      <c r="M157" s="357"/>
      <c r="N157" s="357"/>
      <c r="O157" s="357"/>
      <c r="P157" s="121"/>
      <c r="Q157" s="36" t="e">
        <f>Q156-P156</f>
        <v>#VALUE!</v>
      </c>
      <c r="S157" s="357" t="s">
        <v>183</v>
      </c>
      <c r="T157" s="357"/>
      <c r="U157" s="357"/>
      <c r="V157" s="357"/>
      <c r="W157" s="357"/>
      <c r="X157" s="357"/>
      <c r="Y157" s="121"/>
      <c r="Z157" s="36" t="e">
        <f>Z156-Y156</f>
        <v>#VALUE!</v>
      </c>
      <c r="AB157" s="357" t="s">
        <v>183</v>
      </c>
      <c r="AC157" s="357"/>
      <c r="AD157" s="357"/>
      <c r="AE157" s="357"/>
      <c r="AF157" s="357"/>
      <c r="AG157" s="357"/>
      <c r="AH157" s="121"/>
      <c r="AI157" s="36" t="e">
        <f>AI156-AH156</f>
        <v>#VALUE!</v>
      </c>
    </row>
    <row r="158" spans="1:35">
      <c r="A158" s="27"/>
      <c r="B158" s="28"/>
      <c r="C158" s="28"/>
      <c r="D158" s="28"/>
      <c r="E158" s="21"/>
      <c r="F158" s="21"/>
      <c r="G158" s="21"/>
      <c r="H158" s="29"/>
      <c r="J158" s="27"/>
      <c r="K158" s="28"/>
      <c r="L158" s="28"/>
      <c r="M158" s="28"/>
      <c r="N158" s="21"/>
      <c r="O158" s="21"/>
      <c r="P158" s="21"/>
      <c r="Q158" s="29"/>
      <c r="S158" s="27"/>
      <c r="T158" s="28"/>
      <c r="U158" s="28"/>
      <c r="V158" s="28"/>
      <c r="W158" s="21"/>
      <c r="X158" s="21"/>
      <c r="Y158" s="21"/>
      <c r="Z158" s="29"/>
      <c r="AB158" s="27"/>
      <c r="AC158" s="28"/>
      <c r="AD158" s="28"/>
      <c r="AE158" s="28"/>
      <c r="AF158" s="21"/>
      <c r="AG158" s="21"/>
      <c r="AH158" s="21"/>
      <c r="AI158" s="29"/>
    </row>
    <row r="159" spans="1:35" ht="23.25">
      <c r="A159" s="335" t="s">
        <v>184</v>
      </c>
      <c r="B159" s="335"/>
      <c r="C159" s="335"/>
      <c r="D159" s="335"/>
      <c r="E159" s="335"/>
      <c r="F159" s="335"/>
      <c r="G159" s="335"/>
      <c r="H159" s="335"/>
      <c r="J159" s="335" t="s">
        <v>184</v>
      </c>
      <c r="K159" s="335"/>
      <c r="L159" s="335"/>
      <c r="M159" s="335"/>
      <c r="N159" s="335"/>
      <c r="O159" s="335"/>
      <c r="P159" s="335"/>
      <c r="Q159" s="335"/>
      <c r="S159" s="335" t="s">
        <v>184</v>
      </c>
      <c r="T159" s="335"/>
      <c r="U159" s="335"/>
      <c r="V159" s="335"/>
      <c r="W159" s="335"/>
      <c r="X159" s="335"/>
      <c r="Y159" s="335"/>
      <c r="Z159" s="335"/>
      <c r="AB159" s="335" t="s">
        <v>184</v>
      </c>
      <c r="AC159" s="335"/>
      <c r="AD159" s="335"/>
      <c r="AE159" s="335"/>
      <c r="AF159" s="335"/>
      <c r="AG159" s="335"/>
      <c r="AH159" s="335"/>
      <c r="AI159" s="335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 t="s">
        <v>185</v>
      </c>
      <c r="B161" s="28"/>
      <c r="C161" s="28"/>
      <c r="D161" s="21"/>
      <c r="E161" s="348">
        <v>0</v>
      </c>
      <c r="F161" s="348"/>
      <c r="G161" s="348">
        <v>0</v>
      </c>
      <c r="H161" s="348"/>
      <c r="J161" s="27" t="s">
        <v>185</v>
      </c>
      <c r="K161" s="28"/>
      <c r="L161" s="28"/>
      <c r="M161" s="21"/>
      <c r="N161" s="348">
        <v>10000</v>
      </c>
      <c r="O161" s="348"/>
      <c r="P161" s="348">
        <v>5000</v>
      </c>
      <c r="Q161" s="348"/>
      <c r="S161" s="27" t="s">
        <v>185</v>
      </c>
      <c r="T161" s="28"/>
      <c r="U161" s="28"/>
      <c r="V161" s="21"/>
      <c r="W161" s="348">
        <v>10000</v>
      </c>
      <c r="X161" s="348"/>
      <c r="Y161" s="348">
        <v>5000</v>
      </c>
      <c r="Z161" s="348"/>
      <c r="AB161" s="27" t="s">
        <v>185</v>
      </c>
      <c r="AC161" s="28"/>
      <c r="AD161" s="28"/>
      <c r="AE161" s="21"/>
      <c r="AF161" s="348">
        <v>10000</v>
      </c>
      <c r="AG161" s="348"/>
      <c r="AH161" s="348">
        <v>5000</v>
      </c>
      <c r="AI161" s="348"/>
    </row>
    <row r="162" spans="1:35">
      <c r="A162" s="27" t="s">
        <v>186</v>
      </c>
      <c r="B162" s="28"/>
      <c r="C162" s="28"/>
      <c r="D162" s="21"/>
      <c r="E162" s="363">
        <f>G162</f>
        <v>0</v>
      </c>
      <c r="F162" s="363"/>
      <c r="G162" s="348">
        <v>0</v>
      </c>
      <c r="H162" s="348"/>
      <c r="J162" s="27" t="s">
        <v>186</v>
      </c>
      <c r="K162" s="28"/>
      <c r="L162" s="28"/>
      <c r="M162" s="21"/>
      <c r="N162" s="363">
        <f>P162</f>
        <v>7000</v>
      </c>
      <c r="O162" s="363"/>
      <c r="P162" s="348">
        <v>7000</v>
      </c>
      <c r="Q162" s="348"/>
      <c r="S162" s="27" t="s">
        <v>186</v>
      </c>
      <c r="T162" s="28"/>
      <c r="U162" s="28"/>
      <c r="V162" s="21"/>
      <c r="W162" s="363">
        <f>Y162</f>
        <v>7000</v>
      </c>
      <c r="X162" s="363"/>
      <c r="Y162" s="348">
        <v>7000</v>
      </c>
      <c r="Z162" s="348"/>
      <c r="AB162" s="27" t="s">
        <v>186</v>
      </c>
      <c r="AC162" s="28"/>
      <c r="AD162" s="28"/>
      <c r="AE162" s="21"/>
      <c r="AF162" s="363">
        <f>AH162</f>
        <v>7000</v>
      </c>
      <c r="AG162" s="363"/>
      <c r="AH162" s="348">
        <v>7000</v>
      </c>
      <c r="AI162" s="348"/>
    </row>
    <row r="163" spans="1:35">
      <c r="A163" s="27" t="s">
        <v>187</v>
      </c>
      <c r="B163" s="28"/>
      <c r="C163" s="28"/>
      <c r="D163" s="21"/>
      <c r="E163" s="363">
        <f>E161-E162</f>
        <v>0</v>
      </c>
      <c r="F163" s="363"/>
      <c r="G163" s="364">
        <f>G161-G162</f>
        <v>0</v>
      </c>
      <c r="H163" s="364"/>
      <c r="J163" s="27" t="s">
        <v>187</v>
      </c>
      <c r="K163" s="28"/>
      <c r="L163" s="28"/>
      <c r="M163" s="21"/>
      <c r="N163" s="363">
        <f>N161-N162</f>
        <v>3000</v>
      </c>
      <c r="O163" s="363"/>
      <c r="P163" s="364">
        <f>P161-P162</f>
        <v>-2000</v>
      </c>
      <c r="Q163" s="364"/>
      <c r="S163" s="27" t="s">
        <v>187</v>
      </c>
      <c r="T163" s="28"/>
      <c r="U163" s="28"/>
      <c r="V163" s="21"/>
      <c r="W163" s="363">
        <f>W161-W162</f>
        <v>3000</v>
      </c>
      <c r="X163" s="363"/>
      <c r="Y163" s="364">
        <f>Y161-Y162</f>
        <v>-2000</v>
      </c>
      <c r="Z163" s="364"/>
      <c r="AB163" s="27" t="s">
        <v>187</v>
      </c>
      <c r="AC163" s="28"/>
      <c r="AD163" s="28"/>
      <c r="AE163" s="21"/>
      <c r="AF163" s="363">
        <f>AF161-AF162</f>
        <v>3000</v>
      </c>
      <c r="AG163" s="363"/>
      <c r="AH163" s="364">
        <f>AH161-AH162</f>
        <v>-2000</v>
      </c>
      <c r="AI163" s="364"/>
    </row>
    <row r="164" spans="1:35">
      <c r="A164" s="27" t="s">
        <v>188</v>
      </c>
      <c r="B164" s="28"/>
      <c r="C164" s="28"/>
      <c r="D164" s="21"/>
      <c r="E164" s="363">
        <f>E163-G163</f>
        <v>0</v>
      </c>
      <c r="F164" s="363"/>
      <c r="G164" s="21"/>
      <c r="H164" s="29"/>
      <c r="J164" s="27" t="s">
        <v>188</v>
      </c>
      <c r="K164" s="28"/>
      <c r="L164" s="28"/>
      <c r="M164" s="21"/>
      <c r="N164" s="363">
        <f>N163-P163</f>
        <v>5000</v>
      </c>
      <c r="O164" s="363"/>
      <c r="P164" s="21"/>
      <c r="Q164" s="29"/>
      <c r="S164" s="27" t="s">
        <v>188</v>
      </c>
      <c r="T164" s="28"/>
      <c r="U164" s="28"/>
      <c r="V164" s="21"/>
      <c r="W164" s="363">
        <f>W163-Y163</f>
        <v>5000</v>
      </c>
      <c r="X164" s="363"/>
      <c r="Y164" s="21"/>
      <c r="Z164" s="29"/>
      <c r="AB164" s="27" t="s">
        <v>188</v>
      </c>
      <c r="AC164" s="28"/>
      <c r="AD164" s="28"/>
      <c r="AE164" s="21"/>
      <c r="AF164" s="363">
        <f>AF163-AH163</f>
        <v>5000</v>
      </c>
      <c r="AG164" s="363"/>
      <c r="AH164" s="21"/>
      <c r="AI164" s="29"/>
    </row>
    <row r="165" spans="1:35">
      <c r="A165" s="27" t="s">
        <v>189</v>
      </c>
      <c r="B165" s="28"/>
      <c r="C165" s="28"/>
      <c r="D165" s="21"/>
      <c r="E165" s="28"/>
      <c r="F165" s="21"/>
      <c r="G165" s="21"/>
      <c r="H165" s="36">
        <v>1150</v>
      </c>
      <c r="J165" s="27"/>
      <c r="K165" s="28"/>
      <c r="L165" s="28"/>
      <c r="M165" s="21"/>
      <c r="N165" s="28"/>
      <c r="O165" s="21"/>
      <c r="P165" s="21"/>
      <c r="Q165" s="29"/>
      <c r="S165" s="27"/>
      <c r="T165" s="28"/>
      <c r="U165" s="28"/>
      <c r="V165" s="21"/>
      <c r="W165" s="28"/>
      <c r="X165" s="21"/>
      <c r="Y165" s="21"/>
      <c r="Z165" s="29"/>
      <c r="AB165" s="27"/>
      <c r="AC165" s="28"/>
      <c r="AD165" s="28"/>
      <c r="AE165" s="21"/>
      <c r="AF165" s="28"/>
      <c r="AG165" s="21"/>
      <c r="AH165" s="21"/>
      <c r="AI165" s="29"/>
    </row>
    <row r="166" spans="1:35">
      <c r="A166" s="22" t="s">
        <v>190</v>
      </c>
      <c r="B166" s="23"/>
      <c r="C166" s="23"/>
      <c r="D166" s="63"/>
      <c r="E166" s="23"/>
      <c r="F166" s="63"/>
      <c r="G166" s="365">
        <f>B120</f>
        <v>0</v>
      </c>
      <c r="H166" s="365"/>
      <c r="J166" s="22" t="s">
        <v>190</v>
      </c>
      <c r="K166" s="23"/>
      <c r="L166" s="23"/>
      <c r="M166" s="63"/>
      <c r="N166" s="23"/>
      <c r="O166" s="63"/>
      <c r="P166" s="365">
        <f>K120</f>
        <v>1000</v>
      </c>
      <c r="Q166" s="365"/>
      <c r="S166" s="22" t="s">
        <v>190</v>
      </c>
      <c r="T166" s="23"/>
      <c r="U166" s="23"/>
      <c r="V166" s="63"/>
      <c r="W166" s="23"/>
      <c r="X166" s="63"/>
      <c r="Y166" s="365">
        <f>T120</f>
        <v>1000</v>
      </c>
      <c r="Z166" s="365"/>
      <c r="AB166" s="22" t="s">
        <v>190</v>
      </c>
      <c r="AC166" s="23"/>
      <c r="AD166" s="23"/>
      <c r="AE166" s="63"/>
      <c r="AF166" s="23"/>
      <c r="AG166" s="63"/>
      <c r="AH166" s="365">
        <f>AC120</f>
        <v>1000</v>
      </c>
      <c r="AI166" s="365"/>
    </row>
    <row r="167" spans="1:35" ht="21">
      <c r="A167" s="129" t="s">
        <v>191</v>
      </c>
      <c r="B167" s="28"/>
      <c r="C167" s="28"/>
      <c r="D167" s="21"/>
      <c r="E167" s="28"/>
      <c r="F167" s="21"/>
      <c r="G167" s="366">
        <f>H156-G163-G166+H165</f>
        <v>20299.995999999999</v>
      </c>
      <c r="H167" s="366"/>
      <c r="J167" s="129" t="s">
        <v>191</v>
      </c>
      <c r="K167" s="28"/>
      <c r="L167" s="28"/>
      <c r="M167" s="21"/>
      <c r="N167" s="28"/>
      <c r="O167" s="21"/>
      <c r="P167" s="366" t="e">
        <f>Q156-P163-P166</f>
        <v>#VALUE!</v>
      </c>
      <c r="Q167" s="366"/>
      <c r="S167" s="129" t="s">
        <v>191</v>
      </c>
      <c r="T167" s="28"/>
      <c r="U167" s="28"/>
      <c r="V167" s="21"/>
      <c r="W167" s="28"/>
      <c r="X167" s="21"/>
      <c r="Y167" s="366" t="e">
        <f>Z156-Y163-Y166</f>
        <v>#VALUE!</v>
      </c>
      <c r="Z167" s="366"/>
      <c r="AB167" s="129" t="s">
        <v>191</v>
      </c>
      <c r="AC167" s="28"/>
      <c r="AD167" s="28"/>
      <c r="AE167" s="21"/>
      <c r="AF167" s="28"/>
      <c r="AG167" s="21"/>
      <c r="AH167" s="366" t="e">
        <f>AI156-AH163-AH166</f>
        <v>#VALUE!</v>
      </c>
      <c r="AI167" s="366"/>
    </row>
    <row r="168" spans="1:35">
      <c r="A168" s="49" t="s">
        <v>66</v>
      </c>
      <c r="B168" s="50"/>
      <c r="C168" s="50"/>
      <c r="D168" s="85"/>
      <c r="E168" s="50"/>
      <c r="F168" s="85"/>
      <c r="G168" s="367">
        <f>B123</f>
        <v>1000</v>
      </c>
      <c r="H168" s="367"/>
      <c r="J168" s="49" t="s">
        <v>66</v>
      </c>
      <c r="K168" s="50"/>
      <c r="L168" s="50"/>
      <c r="M168" s="85"/>
      <c r="N168" s="50"/>
      <c r="O168" s="85"/>
      <c r="P168" s="367">
        <f>K123</f>
        <v>239.99</v>
      </c>
      <c r="Q168" s="367"/>
      <c r="S168" s="49" t="s">
        <v>66</v>
      </c>
      <c r="T168" s="50"/>
      <c r="U168" s="50"/>
      <c r="V168" s="85"/>
      <c r="W168" s="50"/>
      <c r="X168" s="85"/>
      <c r="Y168" s="367">
        <f>T123</f>
        <v>199.99</v>
      </c>
      <c r="Z168" s="367"/>
      <c r="AB168" s="49" t="s">
        <v>66</v>
      </c>
      <c r="AC168" s="50"/>
      <c r="AD168" s="50"/>
      <c r="AE168" s="85"/>
      <c r="AF168" s="50"/>
      <c r="AG168" s="85"/>
      <c r="AH168" s="367">
        <f>AC123</f>
        <v>239.99</v>
      </c>
      <c r="AI168" s="367"/>
    </row>
    <row r="169" spans="1:35">
      <c r="A169" s="27"/>
      <c r="B169" s="28"/>
      <c r="C169" s="28"/>
      <c r="D169" s="28"/>
      <c r="E169" s="21"/>
      <c r="F169" s="21"/>
      <c r="G169" s="21"/>
      <c r="H169" s="29"/>
      <c r="J169" s="27"/>
      <c r="K169" s="28"/>
      <c r="L169" s="28"/>
      <c r="M169" s="28"/>
      <c r="N169" s="21"/>
      <c r="O169" s="21"/>
      <c r="P169" s="21"/>
      <c r="Q169" s="29"/>
      <c r="S169" s="27"/>
      <c r="T169" s="28"/>
      <c r="U169" s="28"/>
      <c r="V169" s="28"/>
      <c r="W169" s="21"/>
      <c r="X169" s="21"/>
      <c r="Y169" s="21"/>
      <c r="Z169" s="29"/>
      <c r="AB169" s="27"/>
      <c r="AC169" s="28"/>
      <c r="AD169" s="28"/>
      <c r="AE169" s="28"/>
      <c r="AF169" s="21"/>
      <c r="AG169" s="21"/>
      <c r="AH169" s="21"/>
      <c r="AI169" s="29"/>
    </row>
    <row r="170" spans="1:35">
      <c r="A170" s="27"/>
      <c r="B170" s="28"/>
      <c r="C170" s="28"/>
      <c r="D170" s="28"/>
      <c r="E170" s="21">
        <v>7200</v>
      </c>
      <c r="F170" s="21"/>
      <c r="G170" s="21"/>
      <c r="H170" s="29"/>
      <c r="J170" s="27"/>
      <c r="K170" s="28"/>
      <c r="L170" s="28"/>
      <c r="M170" s="28"/>
      <c r="N170" s="21"/>
      <c r="O170" s="21"/>
      <c r="P170" s="21"/>
      <c r="Q170" s="29"/>
      <c r="S170" s="27"/>
      <c r="T170" s="28"/>
      <c r="U170" s="28"/>
      <c r="V170" s="28"/>
      <c r="W170" s="21"/>
      <c r="X170" s="21"/>
      <c r="Y170" s="21"/>
      <c r="Z170" s="29"/>
      <c r="AB170" s="27"/>
      <c r="AC170" s="28"/>
      <c r="AD170" s="28"/>
      <c r="AE170" s="28"/>
      <c r="AF170" s="21"/>
      <c r="AG170" s="21"/>
      <c r="AH170" s="21"/>
      <c r="AI170" s="29"/>
    </row>
    <row r="171" spans="1:35" ht="23.25">
      <c r="A171" s="335" t="s">
        <v>192</v>
      </c>
      <c r="B171" s="335"/>
      <c r="C171" s="335"/>
      <c r="D171" s="335"/>
      <c r="E171" s="335"/>
      <c r="F171" s="335"/>
      <c r="G171" s="335"/>
      <c r="H171" s="335"/>
      <c r="J171" s="335" t="s">
        <v>192</v>
      </c>
      <c r="K171" s="335"/>
      <c r="L171" s="335"/>
      <c r="M171" s="335"/>
      <c r="N171" s="335"/>
      <c r="O171" s="335"/>
      <c r="P171" s="335"/>
      <c r="Q171" s="335"/>
      <c r="S171" s="335" t="s">
        <v>192</v>
      </c>
      <c r="T171" s="335"/>
      <c r="U171" s="335"/>
      <c r="V171" s="335"/>
      <c r="W171" s="335"/>
      <c r="X171" s="335"/>
      <c r="Y171" s="335"/>
      <c r="Z171" s="335"/>
      <c r="AB171" s="335" t="s">
        <v>192</v>
      </c>
      <c r="AC171" s="335"/>
      <c r="AD171" s="335"/>
      <c r="AE171" s="335"/>
      <c r="AF171" s="335"/>
      <c r="AG171" s="335"/>
      <c r="AH171" s="335"/>
      <c r="AI171" s="335"/>
    </row>
    <row r="172" spans="1:35">
      <c r="A172" s="27"/>
      <c r="B172" s="28"/>
      <c r="C172" s="28"/>
      <c r="D172" s="28"/>
      <c r="E172" s="21"/>
      <c r="F172" s="21"/>
      <c r="G172" s="21"/>
      <c r="H172" s="29"/>
      <c r="J172" s="27"/>
      <c r="K172" s="28"/>
      <c r="L172" s="28"/>
      <c r="M172" s="28"/>
      <c r="N172" s="21"/>
      <c r="O172" s="21"/>
      <c r="P172" s="21"/>
      <c r="Q172" s="29"/>
      <c r="S172" s="27"/>
      <c r="T172" s="28"/>
      <c r="U172" s="28"/>
      <c r="V172" s="28"/>
      <c r="W172" s="21"/>
      <c r="X172" s="21"/>
      <c r="Y172" s="21"/>
      <c r="Z172" s="29"/>
      <c r="AB172" s="27"/>
      <c r="AC172" s="28"/>
      <c r="AD172" s="28"/>
      <c r="AE172" s="28"/>
      <c r="AF172" s="21"/>
      <c r="AG172" s="21"/>
      <c r="AH172" s="21"/>
      <c r="AI172" s="29"/>
    </row>
    <row r="173" spans="1:35">
      <c r="A173" s="27" t="s">
        <v>193</v>
      </c>
      <c r="B173" s="368">
        <v>0</v>
      </c>
      <c r="C173" s="368"/>
      <c r="D173" s="28"/>
      <c r="E173" s="21"/>
      <c r="F173" s="21"/>
      <c r="G173" s="21"/>
      <c r="H173" s="29"/>
      <c r="J173" s="27" t="s">
        <v>193</v>
      </c>
      <c r="K173" s="368">
        <v>0</v>
      </c>
      <c r="L173" s="368"/>
      <c r="M173" s="28"/>
      <c r="N173" s="21"/>
      <c r="O173" s="21"/>
      <c r="P173" s="21"/>
      <c r="Q173" s="29"/>
      <c r="S173" s="27" t="s">
        <v>193</v>
      </c>
      <c r="T173" s="368">
        <v>0</v>
      </c>
      <c r="U173" s="368"/>
      <c r="V173" s="28"/>
      <c r="W173" s="21"/>
      <c r="X173" s="21"/>
      <c r="Y173" s="21"/>
      <c r="Z173" s="29"/>
      <c r="AB173" s="27" t="s">
        <v>193</v>
      </c>
      <c r="AC173" s="368">
        <v>0</v>
      </c>
      <c r="AD173" s="368"/>
      <c r="AE173" s="28"/>
      <c r="AF173" s="21"/>
      <c r="AG173" s="21"/>
      <c r="AH173" s="21"/>
      <c r="AI173" s="29"/>
    </row>
    <row r="174" spans="1:35">
      <c r="A174" s="27"/>
      <c r="B174" s="28"/>
      <c r="C174" s="28"/>
      <c r="D174" s="28"/>
      <c r="E174" s="21"/>
      <c r="F174" s="21"/>
      <c r="G174" s="21"/>
      <c r="H174" s="29"/>
      <c r="J174" s="27"/>
      <c r="K174" s="28"/>
      <c r="L174" s="28"/>
      <c r="M174" s="28"/>
      <c r="N174" s="21"/>
      <c r="O174" s="21"/>
      <c r="P174" s="21"/>
      <c r="Q174" s="29"/>
      <c r="S174" s="27"/>
      <c r="T174" s="28"/>
      <c r="U174" s="28"/>
      <c r="V174" s="28"/>
      <c r="W174" s="21"/>
      <c r="X174" s="21"/>
      <c r="Y174" s="21"/>
      <c r="Z174" s="29"/>
      <c r="AB174" s="27"/>
      <c r="AC174" s="28"/>
      <c r="AD174" s="28"/>
      <c r="AE174" s="28"/>
      <c r="AF174" s="21"/>
      <c r="AG174" s="21"/>
      <c r="AH174" s="21"/>
      <c r="AI174" s="29"/>
    </row>
    <row r="175" spans="1:35">
      <c r="A175" s="130" t="s">
        <v>194</v>
      </c>
      <c r="B175" s="131" t="s">
        <v>195</v>
      </c>
      <c r="C175" s="131"/>
      <c r="D175" s="131"/>
      <c r="E175" s="131" t="s">
        <v>196</v>
      </c>
      <c r="F175" s="21"/>
      <c r="G175" s="21" t="s">
        <v>197</v>
      </c>
      <c r="H175" s="29"/>
      <c r="J175" s="130" t="s">
        <v>194</v>
      </c>
      <c r="K175" s="131" t="s">
        <v>195</v>
      </c>
      <c r="L175" s="131"/>
      <c r="M175" s="131"/>
      <c r="N175" s="131" t="s">
        <v>196</v>
      </c>
      <c r="O175" s="21"/>
      <c r="P175" s="21"/>
      <c r="Q175" s="29"/>
      <c r="S175" s="130" t="s">
        <v>194</v>
      </c>
      <c r="T175" s="131" t="s">
        <v>195</v>
      </c>
      <c r="U175" s="131"/>
      <c r="V175" s="131"/>
      <c r="W175" s="131" t="s">
        <v>196</v>
      </c>
      <c r="X175" s="21"/>
      <c r="Y175" s="21"/>
      <c r="Z175" s="29"/>
      <c r="AB175" s="130" t="s">
        <v>194</v>
      </c>
      <c r="AC175" s="131" t="s">
        <v>195</v>
      </c>
      <c r="AD175" s="131"/>
      <c r="AE175" s="131"/>
      <c r="AF175" s="131" t="s">
        <v>196</v>
      </c>
      <c r="AG175" s="21"/>
      <c r="AH175" s="21"/>
      <c r="AI175" s="29"/>
    </row>
    <row r="176" spans="1:35">
      <c r="A176" s="132">
        <f>B104</f>
        <v>898.94861026477622</v>
      </c>
      <c r="B176" s="133">
        <f>B103</f>
        <v>0</v>
      </c>
      <c r="C176" s="131"/>
      <c r="D176" s="131"/>
      <c r="E176" s="133">
        <f>B105</f>
        <v>898.94861026477622</v>
      </c>
      <c r="F176" s="21"/>
      <c r="G176" s="21">
        <f>ROUND(G104,2)</f>
        <v>835.8</v>
      </c>
      <c r="H176" s="29"/>
      <c r="J176" s="132" t="e">
        <f>K104</f>
        <v>#VALUE!</v>
      </c>
      <c r="K176" s="133">
        <f>K103</f>
        <v>0</v>
      </c>
      <c r="L176" s="131"/>
      <c r="M176" s="131"/>
      <c r="N176" s="133" t="e">
        <f>K105</f>
        <v>#VALUE!</v>
      </c>
      <c r="O176" s="21"/>
      <c r="P176" s="21"/>
      <c r="Q176" s="29"/>
      <c r="S176" s="132" t="e">
        <f>T104</f>
        <v>#VALUE!</v>
      </c>
      <c r="T176" s="133">
        <f>T103</f>
        <v>0</v>
      </c>
      <c r="U176" s="131"/>
      <c r="V176" s="131"/>
      <c r="W176" s="133" t="e">
        <f>T105</f>
        <v>#VALUE!</v>
      </c>
      <c r="X176" s="21"/>
      <c r="Y176" s="21"/>
      <c r="Z176" s="29"/>
      <c r="AB176" s="132" t="e">
        <f>AC104</f>
        <v>#VALUE!</v>
      </c>
      <c r="AC176" s="133">
        <f>AC103</f>
        <v>0</v>
      </c>
      <c r="AD176" s="131"/>
      <c r="AE176" s="131"/>
      <c r="AF176" s="133" t="e">
        <f>AC105</f>
        <v>#VALUE!</v>
      </c>
      <c r="AG176" s="21"/>
      <c r="AH176" s="21"/>
      <c r="AI176" s="29"/>
    </row>
    <row r="177" spans="1:35">
      <c r="A177" s="27"/>
      <c r="B177" s="28"/>
      <c r="C177" s="28"/>
      <c r="D177" s="28"/>
      <c r="E177" s="21"/>
      <c r="F177" s="21"/>
      <c r="G177" s="21"/>
      <c r="H177" s="29"/>
      <c r="J177" s="27"/>
      <c r="K177" s="28"/>
      <c r="L177" s="28"/>
      <c r="M177" s="28"/>
      <c r="N177" s="21"/>
      <c r="O177" s="21"/>
      <c r="P177" s="21"/>
      <c r="Q177" s="29"/>
      <c r="S177" s="27"/>
      <c r="T177" s="28"/>
      <c r="U177" s="28"/>
      <c r="V177" s="28"/>
      <c r="W177" s="21"/>
      <c r="X177" s="21"/>
      <c r="Y177" s="21"/>
      <c r="Z177" s="29"/>
      <c r="AB177" s="27"/>
      <c r="AC177" s="28"/>
      <c r="AD177" s="28"/>
      <c r="AE177" s="28"/>
      <c r="AF177" s="21"/>
      <c r="AG177" s="21"/>
      <c r="AH177" s="21"/>
      <c r="AI177" s="29"/>
    </row>
    <row r="178" spans="1:35">
      <c r="A178" s="27" t="s">
        <v>94</v>
      </c>
      <c r="B178" s="28" t="s">
        <v>95</v>
      </c>
      <c r="C178" s="28"/>
      <c r="D178" s="21"/>
      <c r="E178" s="28" t="s">
        <v>198</v>
      </c>
      <c r="F178" s="21"/>
      <c r="G178" s="21"/>
      <c r="H178" s="29"/>
      <c r="J178" s="27" t="s">
        <v>94</v>
      </c>
      <c r="K178" s="28" t="s">
        <v>95</v>
      </c>
      <c r="L178" s="28"/>
      <c r="M178" s="21"/>
      <c r="N178" s="28" t="s">
        <v>198</v>
      </c>
      <c r="O178" s="21"/>
      <c r="P178" s="21"/>
      <c r="Q178" s="29"/>
      <c r="S178" s="27" t="s">
        <v>94</v>
      </c>
      <c r="T178" s="28" t="s">
        <v>95</v>
      </c>
      <c r="U178" s="28"/>
      <c r="V178" s="21"/>
      <c r="W178" s="28" t="s">
        <v>198</v>
      </c>
      <c r="X178" s="21"/>
      <c r="Y178" s="21"/>
      <c r="Z178" s="29"/>
      <c r="AB178" s="27" t="s">
        <v>94</v>
      </c>
      <c r="AC178" s="28" t="s">
        <v>95</v>
      </c>
      <c r="AD178" s="28"/>
      <c r="AE178" s="21"/>
      <c r="AF178" s="28" t="s">
        <v>198</v>
      </c>
      <c r="AG178" s="21"/>
      <c r="AH178" s="21"/>
      <c r="AI178" s="29"/>
    </row>
    <row r="179" spans="1:35">
      <c r="A179" s="134">
        <f>B38</f>
        <v>0</v>
      </c>
      <c r="B179" s="135">
        <f>B39</f>
        <v>0</v>
      </c>
      <c r="C179" s="136"/>
      <c r="D179" s="21"/>
      <c r="E179" s="137">
        <f>B91</f>
        <v>7200</v>
      </c>
      <c r="F179" s="21"/>
      <c r="G179" s="21"/>
      <c r="H179" s="29"/>
      <c r="J179" s="134" t="str">
        <f>K29</f>
        <v>12</v>
      </c>
      <c r="K179" s="135" t="str">
        <f>K30</f>
        <v>5000</v>
      </c>
      <c r="L179" s="136"/>
      <c r="M179" s="21"/>
      <c r="N179" s="137" t="str">
        <f>IF(A120="YES",A40,0)</f>
        <v>12</v>
      </c>
      <c r="O179" s="21"/>
      <c r="P179" s="21"/>
      <c r="Q179" s="29"/>
      <c r="S179" s="134" t="str">
        <f>K29</f>
        <v>12</v>
      </c>
      <c r="T179" s="135" t="str">
        <f>K30</f>
        <v>5000</v>
      </c>
      <c r="U179" s="136"/>
      <c r="V179" s="21"/>
      <c r="W179" s="137" t="str">
        <f>IF(A120="YES",A40,0)</f>
        <v>12</v>
      </c>
      <c r="X179" s="21"/>
      <c r="Y179" s="21"/>
      <c r="Z179" s="29"/>
      <c r="AB179" s="134" t="str">
        <f>K29</f>
        <v>12</v>
      </c>
      <c r="AC179" s="135" t="str">
        <f>K30</f>
        <v>5000</v>
      </c>
      <c r="AD179" s="136"/>
      <c r="AE179" s="21"/>
      <c r="AF179" s="137" t="str">
        <f>IF(A120="YES",A40,0)</f>
        <v>12</v>
      </c>
      <c r="AG179" s="21"/>
      <c r="AH179" s="21"/>
      <c r="AI179" s="29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199</v>
      </c>
      <c r="B181" s="28" t="s">
        <v>200</v>
      </c>
      <c r="C181" s="28"/>
      <c r="D181" s="21"/>
      <c r="E181" s="28" t="s">
        <v>201</v>
      </c>
      <c r="F181" s="21"/>
      <c r="G181" s="21"/>
      <c r="H181" s="29"/>
      <c r="J181" s="27" t="s">
        <v>199</v>
      </c>
      <c r="K181" s="28" t="s">
        <v>200</v>
      </c>
      <c r="L181" s="28"/>
      <c r="M181" s="21"/>
      <c r="N181" s="28" t="s">
        <v>201</v>
      </c>
      <c r="O181" s="21"/>
      <c r="P181" s="21"/>
      <c r="Q181" s="29"/>
      <c r="S181" s="27" t="s">
        <v>199</v>
      </c>
      <c r="T181" s="28" t="s">
        <v>200</v>
      </c>
      <c r="U181" s="28"/>
      <c r="V181" s="21"/>
      <c r="W181" s="28" t="s">
        <v>201</v>
      </c>
      <c r="X181" s="21"/>
      <c r="Y181" s="21"/>
      <c r="Z181" s="29"/>
      <c r="AB181" s="27" t="s">
        <v>199</v>
      </c>
      <c r="AC181" s="28" t="s">
        <v>200</v>
      </c>
      <c r="AD181" s="28"/>
      <c r="AE181" s="21"/>
      <c r="AF181" s="28" t="s">
        <v>201</v>
      </c>
      <c r="AG181" s="21"/>
      <c r="AH181" s="21"/>
      <c r="AI181" s="29"/>
    </row>
    <row r="182" spans="1:35">
      <c r="A182" s="138">
        <f>H150-H146-H148-H149</f>
        <v>15958.329999999998</v>
      </c>
      <c r="B182" s="34">
        <f>H146</f>
        <v>3191.6660000000002</v>
      </c>
      <c r="C182" s="38"/>
      <c r="D182" s="21"/>
      <c r="E182" s="137">
        <f>H148+H149</f>
        <v>0</v>
      </c>
      <c r="F182" s="21"/>
      <c r="G182" s="21"/>
      <c r="H182" s="29"/>
      <c r="J182" s="138" t="e">
        <f>Q150-Q146-Q148-Q149</f>
        <v>#VALUE!</v>
      </c>
      <c r="K182" s="34" t="e">
        <f>Q146</f>
        <v>#VALUE!</v>
      </c>
      <c r="L182" s="38"/>
      <c r="M182" s="21"/>
      <c r="N182" s="137">
        <f>Q148+Q149</f>
        <v>55</v>
      </c>
      <c r="O182" s="21"/>
      <c r="P182" s="21"/>
      <c r="Q182" s="29"/>
      <c r="S182" s="138" t="e">
        <f>Z150-Z146-Z148-Z149</f>
        <v>#VALUE!</v>
      </c>
      <c r="T182" s="34" t="e">
        <f>Z146</f>
        <v>#VALUE!</v>
      </c>
      <c r="U182" s="38"/>
      <c r="V182" s="21"/>
      <c r="W182" s="137">
        <f>Z148+Z149</f>
        <v>55</v>
      </c>
      <c r="X182" s="21"/>
      <c r="Y182" s="21"/>
      <c r="Z182" s="29"/>
      <c r="AB182" s="138" t="e">
        <f>AI150-AI146-AI148-AI149</f>
        <v>#VALUE!</v>
      </c>
      <c r="AC182" s="34" t="e">
        <f>AI146</f>
        <v>#VALUE!</v>
      </c>
      <c r="AD182" s="38"/>
      <c r="AE182" s="21"/>
      <c r="AF182" s="137">
        <f>AI148+AI149</f>
        <v>55</v>
      </c>
      <c r="AG182" s="21"/>
      <c r="AH182" s="21"/>
      <c r="AI182" s="29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202</v>
      </c>
      <c r="B184" s="28" t="s">
        <v>148</v>
      </c>
      <c r="C184" s="28"/>
      <c r="D184" s="21"/>
      <c r="E184" s="28" t="s">
        <v>149</v>
      </c>
      <c r="F184" s="21"/>
      <c r="G184" s="21"/>
      <c r="H184" s="29"/>
      <c r="J184" s="27" t="s">
        <v>202</v>
      </c>
      <c r="K184" s="28" t="s">
        <v>148</v>
      </c>
      <c r="L184" s="28"/>
      <c r="M184" s="21"/>
      <c r="N184" s="28" t="s">
        <v>149</v>
      </c>
      <c r="O184" s="21"/>
      <c r="P184" s="21"/>
      <c r="Q184" s="29"/>
      <c r="S184" s="27" t="s">
        <v>202</v>
      </c>
      <c r="T184" s="28" t="s">
        <v>148</v>
      </c>
      <c r="U184" s="28"/>
      <c r="V184" s="21"/>
      <c r="W184" s="28" t="s">
        <v>149</v>
      </c>
      <c r="X184" s="21"/>
      <c r="Y184" s="21"/>
      <c r="Z184" s="29"/>
      <c r="AB184" s="27" t="s">
        <v>202</v>
      </c>
      <c r="AC184" s="28" t="s">
        <v>148</v>
      </c>
      <c r="AD184" s="28"/>
      <c r="AE184" s="21"/>
      <c r="AF184" s="28" t="s">
        <v>149</v>
      </c>
      <c r="AG184" s="21"/>
      <c r="AH184" s="21"/>
      <c r="AI184" s="29"/>
    </row>
    <row r="185" spans="1:35">
      <c r="A185" s="138">
        <f>H150</f>
        <v>19149.995999999999</v>
      </c>
      <c r="B185" s="34">
        <f>B120</f>
        <v>0</v>
      </c>
      <c r="C185" s="34"/>
      <c r="D185" s="21"/>
      <c r="E185" s="34">
        <f>E120</f>
        <v>0</v>
      </c>
      <c r="F185" s="21"/>
      <c r="G185" s="21"/>
      <c r="H185" s="90"/>
      <c r="J185" s="138" t="e">
        <f>Q150</f>
        <v>#VALUE!</v>
      </c>
      <c r="K185" s="34">
        <f>K120</f>
        <v>1000</v>
      </c>
      <c r="L185" s="34"/>
      <c r="M185" s="21"/>
      <c r="N185" s="34">
        <f>N120</f>
        <v>0</v>
      </c>
      <c r="O185" s="21"/>
      <c r="P185" s="21"/>
      <c r="Q185" s="90"/>
      <c r="S185" s="138" t="e">
        <f>Z150</f>
        <v>#VALUE!</v>
      </c>
      <c r="T185" s="34">
        <f>T120</f>
        <v>1000</v>
      </c>
      <c r="U185" s="34"/>
      <c r="V185" s="21"/>
      <c r="W185" s="34">
        <f>W120</f>
        <v>0</v>
      </c>
      <c r="X185" s="21"/>
      <c r="Y185" s="21"/>
      <c r="Z185" s="90"/>
      <c r="AB185" s="138" t="e">
        <f>AI150</f>
        <v>#VALUE!</v>
      </c>
      <c r="AC185" s="34">
        <f>AC120</f>
        <v>1000</v>
      </c>
      <c r="AD185" s="34"/>
      <c r="AE185" s="21"/>
      <c r="AF185" s="34">
        <f>AF120</f>
        <v>0</v>
      </c>
      <c r="AG185" s="21"/>
      <c r="AH185" s="21"/>
      <c r="AI185" s="90"/>
    </row>
    <row r="186" spans="1:35">
      <c r="A186" s="27"/>
      <c r="B186" s="28"/>
      <c r="C186" s="28"/>
      <c r="D186" s="21"/>
      <c r="E186" s="28"/>
      <c r="F186" s="21"/>
      <c r="G186" s="21"/>
      <c r="H186" s="29"/>
      <c r="J186" s="27"/>
      <c r="K186" s="28"/>
      <c r="L186" s="28"/>
      <c r="M186" s="21"/>
      <c r="N186" s="28"/>
      <c r="O186" s="21"/>
      <c r="P186" s="21"/>
      <c r="Q186" s="29"/>
      <c r="S186" s="27"/>
      <c r="T186" s="28"/>
      <c r="U186" s="28"/>
      <c r="V186" s="21"/>
      <c r="W186" s="28"/>
      <c r="X186" s="21"/>
      <c r="Y186" s="21"/>
      <c r="Z186" s="29"/>
      <c r="AB186" s="27"/>
      <c r="AC186" s="28"/>
      <c r="AD186" s="28"/>
      <c r="AE186" s="21"/>
      <c r="AF186" s="28"/>
      <c r="AG186" s="21"/>
      <c r="AH186" s="21"/>
      <c r="AI186" s="29"/>
    </row>
    <row r="187" spans="1:35">
      <c r="A187" s="27" t="s">
        <v>150</v>
      </c>
      <c r="B187" s="28" t="s">
        <v>185</v>
      </c>
      <c r="C187" s="28"/>
      <c r="D187" s="21"/>
      <c r="E187" s="28" t="s">
        <v>191</v>
      </c>
      <c r="F187" s="21"/>
      <c r="G187" s="21"/>
      <c r="H187" s="29"/>
      <c r="J187" s="27" t="s">
        <v>150</v>
      </c>
      <c r="K187" s="28" t="s">
        <v>185</v>
      </c>
      <c r="L187" s="28"/>
      <c r="M187" s="21"/>
      <c r="N187" s="28" t="s">
        <v>191</v>
      </c>
      <c r="O187" s="21"/>
      <c r="P187" s="21"/>
      <c r="Q187" s="29"/>
      <c r="S187" s="27" t="s">
        <v>150</v>
      </c>
      <c r="T187" s="28" t="s">
        <v>185</v>
      </c>
      <c r="U187" s="28"/>
      <c r="V187" s="21"/>
      <c r="W187" s="28" t="s">
        <v>191</v>
      </c>
      <c r="X187" s="21"/>
      <c r="Y187" s="21"/>
      <c r="Z187" s="29"/>
      <c r="AB187" s="27" t="s">
        <v>150</v>
      </c>
      <c r="AC187" s="28" t="s">
        <v>185</v>
      </c>
      <c r="AD187" s="28"/>
      <c r="AE187" s="21"/>
      <c r="AF187" s="28" t="s">
        <v>191</v>
      </c>
      <c r="AG187" s="21"/>
      <c r="AH187" s="21"/>
      <c r="AI187" s="29"/>
    </row>
    <row r="188" spans="1:35">
      <c r="A188" s="94">
        <f>B185+E185</f>
        <v>0</v>
      </c>
      <c r="B188" s="34">
        <f>G163</f>
        <v>0</v>
      </c>
      <c r="C188" s="34"/>
      <c r="D188" s="21"/>
      <c r="E188" s="34">
        <f>G167</f>
        <v>20299.995999999999</v>
      </c>
      <c r="F188" s="21"/>
      <c r="G188" s="21"/>
      <c r="H188" s="90"/>
      <c r="J188" s="94">
        <f>K185+N185</f>
        <v>1000</v>
      </c>
      <c r="K188" s="34">
        <f>P163</f>
        <v>-2000</v>
      </c>
      <c r="L188" s="34"/>
      <c r="M188" s="21"/>
      <c r="N188" s="34" t="e">
        <f>J185-J188-K188</f>
        <v>#VALUE!</v>
      </c>
      <c r="O188" s="21"/>
      <c r="P188" s="21"/>
      <c r="Q188" s="90"/>
      <c r="S188" s="94">
        <f>T185+W185</f>
        <v>1000</v>
      </c>
      <c r="T188" s="34">
        <f>Y163</f>
        <v>-2000</v>
      </c>
      <c r="U188" s="34"/>
      <c r="V188" s="21"/>
      <c r="W188" s="34" t="e">
        <f>S185-S188-T188</f>
        <v>#VALUE!</v>
      </c>
      <c r="X188" s="21"/>
      <c r="Y188" s="21"/>
      <c r="Z188" s="90"/>
      <c r="AB188" s="94">
        <f>AC185+AF185</f>
        <v>1000</v>
      </c>
      <c r="AC188" s="34">
        <f>AH163</f>
        <v>-2000</v>
      </c>
      <c r="AD188" s="34"/>
      <c r="AE188" s="21"/>
      <c r="AF188" s="34" t="e">
        <f>AB185-AB188-AC188</f>
        <v>#VALUE!</v>
      </c>
      <c r="AG188" s="21"/>
      <c r="AH188" s="21"/>
      <c r="AI188" s="90"/>
    </row>
    <row r="189" spans="1:35">
      <c r="A189" s="27"/>
      <c r="B189" s="28"/>
      <c r="C189" s="28"/>
      <c r="D189" s="21"/>
      <c r="E189" s="28"/>
      <c r="F189" s="21"/>
      <c r="G189" s="21"/>
      <c r="H189" s="29"/>
      <c r="J189" s="27"/>
      <c r="K189" s="28"/>
      <c r="L189" s="28"/>
      <c r="M189" s="21"/>
      <c r="N189" s="28"/>
      <c r="O189" s="21"/>
      <c r="P189" s="21"/>
      <c r="Q189" s="29"/>
      <c r="S189" s="27"/>
      <c r="T189" s="28"/>
      <c r="U189" s="28"/>
      <c r="V189" s="21"/>
      <c r="W189" s="28"/>
      <c r="X189" s="21"/>
      <c r="Y189" s="21"/>
      <c r="Z189" s="29"/>
      <c r="AB189" s="27"/>
      <c r="AC189" s="28"/>
      <c r="AD189" s="28"/>
      <c r="AE189" s="21"/>
      <c r="AF189" s="28"/>
      <c r="AG189" s="21"/>
      <c r="AH189" s="21"/>
      <c r="AI189" s="29"/>
    </row>
    <row r="190" spans="1:35">
      <c r="A190" s="27" t="s">
        <v>203</v>
      </c>
      <c r="B190" s="28" t="s">
        <v>66</v>
      </c>
      <c r="C190" s="28"/>
      <c r="D190" s="21"/>
      <c r="E190" s="28" t="s">
        <v>204</v>
      </c>
      <c r="F190" s="21"/>
      <c r="G190" s="21"/>
      <c r="H190" s="29"/>
      <c r="J190" s="27" t="s">
        <v>203</v>
      </c>
      <c r="K190" s="28" t="s">
        <v>66</v>
      </c>
      <c r="L190" s="28"/>
      <c r="M190" s="21"/>
      <c r="N190" s="28" t="s">
        <v>204</v>
      </c>
      <c r="O190" s="21"/>
      <c r="P190" s="21"/>
      <c r="Q190" s="29"/>
      <c r="S190" s="27" t="s">
        <v>203</v>
      </c>
      <c r="T190" s="28" t="s">
        <v>66</v>
      </c>
      <c r="U190" s="28"/>
      <c r="V190" s="21"/>
      <c r="W190" s="28" t="s">
        <v>204</v>
      </c>
      <c r="X190" s="21"/>
      <c r="Y190" s="21"/>
      <c r="Z190" s="29"/>
      <c r="AB190" s="27" t="s">
        <v>203</v>
      </c>
      <c r="AC190" s="28" t="s">
        <v>66</v>
      </c>
      <c r="AD190" s="28"/>
      <c r="AE190" s="21"/>
      <c r="AF190" s="28" t="s">
        <v>204</v>
      </c>
      <c r="AG190" s="21"/>
      <c r="AH190" s="21"/>
      <c r="AI190" s="29"/>
    </row>
    <row r="191" spans="1:35">
      <c r="A191" s="94">
        <f>(A176*B68)+E194-E188-A194</f>
        <v>-3211.5612870874611</v>
      </c>
      <c r="B191" s="34">
        <f>B123</f>
        <v>1000</v>
      </c>
      <c r="C191" s="34"/>
      <c r="D191" s="21"/>
      <c r="E191" s="34">
        <f>E188+A191+B191+A194</f>
        <v>18098.434712912538</v>
      </c>
      <c r="F191" s="21"/>
      <c r="G191" s="21"/>
      <c r="H191" s="90"/>
      <c r="J191" s="94" t="e">
        <f>(J176*K68)+N194-N188-J194</f>
        <v>#VALUE!</v>
      </c>
      <c r="K191" s="34">
        <f>K123</f>
        <v>239.99</v>
      </c>
      <c r="L191" s="34"/>
      <c r="M191" s="21"/>
      <c r="N191" s="34" t="e">
        <f>N188+J191+K191+J194</f>
        <v>#VALUE!</v>
      </c>
      <c r="O191" s="21"/>
      <c r="P191" s="21"/>
      <c r="Q191" s="90"/>
      <c r="S191" s="94" t="e">
        <f>(S176*T68)+W194-W188-S194</f>
        <v>#VALUE!</v>
      </c>
      <c r="T191" s="34">
        <f>T123</f>
        <v>199.99</v>
      </c>
      <c r="U191" s="34"/>
      <c r="V191" s="21"/>
      <c r="W191" s="34" t="e">
        <f>W188+S191+T191+S194</f>
        <v>#VALUE!</v>
      </c>
      <c r="X191" s="21"/>
      <c r="Y191" s="21"/>
      <c r="Z191" s="90"/>
      <c r="AB191" s="94" t="e">
        <f>(AB176*AC68)+AF194-AF188-AB194</f>
        <v>#VALUE!</v>
      </c>
      <c r="AC191" s="34">
        <f>AC123</f>
        <v>239.99</v>
      </c>
      <c r="AD191" s="34"/>
      <c r="AE191" s="21"/>
      <c r="AF191" s="34" t="e">
        <f>AF188+AB191+AC191+AB194</f>
        <v>#VALUE!</v>
      </c>
      <c r="AG191" s="21"/>
      <c r="AH191" s="21"/>
      <c r="AI191" s="90"/>
    </row>
    <row r="192" spans="1:35">
      <c r="A192" s="27"/>
      <c r="B192" s="28"/>
      <c r="C192" s="28"/>
      <c r="D192" s="21"/>
      <c r="E192" s="28"/>
      <c r="F192" s="21"/>
      <c r="G192" s="21"/>
      <c r="H192" s="29"/>
      <c r="J192" s="27"/>
      <c r="K192" s="28"/>
      <c r="L192" s="28"/>
      <c r="M192" s="21"/>
      <c r="N192" s="28"/>
      <c r="O192" s="21"/>
      <c r="P192" s="21"/>
      <c r="Q192" s="29"/>
      <c r="S192" s="27"/>
      <c r="T192" s="28"/>
      <c r="U192" s="28"/>
      <c r="V192" s="21"/>
      <c r="W192" s="28"/>
      <c r="X192" s="21"/>
      <c r="Y192" s="21"/>
      <c r="Z192" s="29"/>
      <c r="AB192" s="27"/>
      <c r="AC192" s="28"/>
      <c r="AD192" s="28"/>
      <c r="AE192" s="21"/>
      <c r="AF192" s="28"/>
      <c r="AG192" s="21"/>
      <c r="AH192" s="21"/>
      <c r="AI192" s="29"/>
    </row>
    <row r="193" spans="1:35">
      <c r="A193" s="27" t="s">
        <v>205</v>
      </c>
      <c r="B193" s="28" t="s">
        <v>206</v>
      </c>
      <c r="C193" s="28"/>
      <c r="D193" s="21"/>
      <c r="E193" s="28" t="s">
        <v>207</v>
      </c>
      <c r="F193" s="21"/>
      <c r="G193" s="21"/>
      <c r="H193" s="29"/>
      <c r="J193" s="27" t="s">
        <v>205</v>
      </c>
      <c r="K193" s="28" t="s">
        <v>206</v>
      </c>
      <c r="L193" s="28"/>
      <c r="M193" s="21"/>
      <c r="N193" s="28" t="s">
        <v>207</v>
      </c>
      <c r="O193" s="21"/>
      <c r="P193" s="21"/>
      <c r="Q193" s="29"/>
      <c r="S193" s="27" t="s">
        <v>205</v>
      </c>
      <c r="T193" s="28" t="s">
        <v>206</v>
      </c>
      <c r="U193" s="28"/>
      <c r="V193" s="21"/>
      <c r="W193" s="28" t="s">
        <v>207</v>
      </c>
      <c r="X193" s="21"/>
      <c r="Y193" s="21"/>
      <c r="Z193" s="29"/>
      <c r="AB193" s="27" t="s">
        <v>205</v>
      </c>
      <c r="AC193" s="28" t="s">
        <v>206</v>
      </c>
      <c r="AD193" s="28"/>
      <c r="AE193" s="21"/>
      <c r="AF193" s="28" t="s">
        <v>207</v>
      </c>
      <c r="AG193" s="21"/>
      <c r="AH193" s="21"/>
      <c r="AI193" s="29"/>
    </row>
    <row r="194" spans="1:35">
      <c r="A194" s="94">
        <f>B69</f>
        <v>10</v>
      </c>
      <c r="B194" s="34">
        <f>A188+B191</f>
        <v>1000</v>
      </c>
      <c r="C194" s="34"/>
      <c r="D194" s="21"/>
      <c r="E194" s="34">
        <f>IF( E179=0, A194+E176, E179+A194)</f>
        <v>7210</v>
      </c>
      <c r="F194" s="21"/>
      <c r="G194" s="21"/>
      <c r="H194" s="90"/>
      <c r="J194" s="94">
        <f>K69</f>
        <v>20</v>
      </c>
      <c r="K194" s="34">
        <f>J188+K191</f>
        <v>1239.99</v>
      </c>
      <c r="L194" s="34"/>
      <c r="M194" s="21"/>
      <c r="N194" s="34">
        <f>N179+J194</f>
        <v>32</v>
      </c>
      <c r="O194" s="21"/>
      <c r="P194" s="21"/>
      <c r="Q194" s="90"/>
      <c r="S194" s="94">
        <f>T69</f>
        <v>10</v>
      </c>
      <c r="T194" s="34">
        <f>S188+T191</f>
        <v>1199.99</v>
      </c>
      <c r="U194" s="34"/>
      <c r="V194" s="21"/>
      <c r="W194" s="34">
        <f>W179+S194</f>
        <v>22</v>
      </c>
      <c r="X194" s="21"/>
      <c r="Y194" s="21"/>
      <c r="Z194" s="90"/>
      <c r="AB194" s="94">
        <f>AC69</f>
        <v>10</v>
      </c>
      <c r="AC194" s="34">
        <f>AB188+AC191</f>
        <v>1239.99</v>
      </c>
      <c r="AD194" s="34"/>
      <c r="AE194" s="21"/>
      <c r="AF194" s="34">
        <f>AF179+AB194</f>
        <v>22</v>
      </c>
      <c r="AG194" s="21"/>
      <c r="AH194" s="21"/>
      <c r="AI194" s="90"/>
    </row>
    <row r="195" spans="1:35">
      <c r="A195" s="27"/>
      <c r="B195" s="28"/>
      <c r="C195" s="28"/>
      <c r="D195" s="28"/>
      <c r="E195" s="21"/>
      <c r="F195" s="21"/>
      <c r="G195" s="21"/>
      <c r="H195" s="29"/>
      <c r="J195" s="27"/>
      <c r="K195" s="28"/>
      <c r="L195" s="28"/>
      <c r="M195" s="28"/>
      <c r="N195" s="21"/>
      <c r="O195" s="21"/>
      <c r="P195" s="21"/>
      <c r="Q195" s="29"/>
      <c r="S195" s="27"/>
      <c r="T195" s="28"/>
      <c r="U195" s="28"/>
      <c r="V195" s="28"/>
      <c r="W195" s="21"/>
      <c r="X195" s="28"/>
      <c r="Y195" s="28"/>
      <c r="Z195" s="29"/>
      <c r="AB195" s="27"/>
      <c r="AC195" s="28"/>
      <c r="AD195" s="28"/>
      <c r="AE195" s="28"/>
      <c r="AF195" s="21"/>
      <c r="AG195" s="21"/>
      <c r="AH195" s="21"/>
      <c r="AI195" s="29"/>
    </row>
    <row r="196" spans="1:35">
      <c r="A196" s="27" t="s">
        <v>208</v>
      </c>
      <c r="B196" s="28" t="s">
        <v>209</v>
      </c>
      <c r="C196" s="28"/>
      <c r="D196" s="28"/>
      <c r="E196" s="35" t="s">
        <v>210</v>
      </c>
      <c r="F196" s="21"/>
      <c r="G196" s="21"/>
      <c r="H196" s="29"/>
      <c r="J196" s="27" t="s">
        <v>208</v>
      </c>
      <c r="K196" s="28" t="s">
        <v>209</v>
      </c>
      <c r="L196" s="28"/>
      <c r="M196" s="28"/>
      <c r="N196" s="35" t="s">
        <v>210</v>
      </c>
      <c r="O196" s="21"/>
      <c r="P196" s="21"/>
      <c r="Q196" s="29"/>
      <c r="S196" s="27" t="s">
        <v>208</v>
      </c>
      <c r="T196" s="28" t="s">
        <v>209</v>
      </c>
      <c r="U196" s="28"/>
      <c r="V196" s="28"/>
      <c r="W196" s="35" t="s">
        <v>210</v>
      </c>
      <c r="X196" s="28"/>
      <c r="Y196" s="28"/>
      <c r="Z196" s="29"/>
      <c r="AB196" s="27" t="s">
        <v>208</v>
      </c>
      <c r="AC196" s="28" t="s">
        <v>209</v>
      </c>
      <c r="AD196" s="28"/>
      <c r="AE196" s="28"/>
      <c r="AF196" s="35" t="s">
        <v>210</v>
      </c>
      <c r="AG196" s="28"/>
      <c r="AH196" s="28"/>
      <c r="AI196" s="29"/>
    </row>
    <row r="197" spans="1:35">
      <c r="A197" s="94">
        <f>J18*0.000002*100*1.2</f>
        <v>9.7262399999999989</v>
      </c>
      <c r="B197" s="34">
        <f>(G167*B76)</f>
        <v>405.99991999999997</v>
      </c>
      <c r="C197" s="28"/>
      <c r="D197" s="28"/>
      <c r="E197" s="34">
        <f>IF(E114="YES",(K55*A117*0.1),0)</f>
        <v>0</v>
      </c>
      <c r="F197" s="21"/>
      <c r="G197" s="21"/>
      <c r="H197" s="29"/>
      <c r="J197" s="94">
        <f>IF(N114="YES",H15*0.000002,0)</f>
        <v>0</v>
      </c>
      <c r="K197" s="34" t="e">
        <f>(P167*K76)/1.2</f>
        <v>#VALUE!</v>
      </c>
      <c r="L197" s="28"/>
      <c r="M197" s="28"/>
      <c r="N197" s="34">
        <f>(E40*J117)*0.1</f>
        <v>0</v>
      </c>
      <c r="O197" s="21"/>
      <c r="P197" s="21"/>
      <c r="Q197" s="29"/>
      <c r="S197" s="94">
        <f>IF(W114="YES",Z15*0.000002,0)</f>
        <v>0</v>
      </c>
      <c r="T197" s="34" t="e">
        <f>(Y167*T76)/1.2</f>
        <v>#VALUE!</v>
      </c>
      <c r="U197" s="28"/>
      <c r="V197" s="28"/>
      <c r="W197" s="34">
        <f>(E40*S117)*0.1</f>
        <v>0</v>
      </c>
      <c r="X197" s="28"/>
      <c r="Y197" s="28"/>
      <c r="Z197" s="29"/>
      <c r="AB197" s="94">
        <f>IF(AF114="YES",AI15*0.000002,0)</f>
        <v>0</v>
      </c>
      <c r="AC197" s="34" t="e">
        <f>(AH167*AC76)/1.2</f>
        <v>#VALUE!</v>
      </c>
      <c r="AD197" s="28"/>
      <c r="AE197" s="28"/>
      <c r="AF197" s="34">
        <f>(E40*AB117)*0.1</f>
        <v>0</v>
      </c>
      <c r="AG197" s="28"/>
      <c r="AH197" s="28"/>
      <c r="AI197" s="29"/>
    </row>
    <row r="198" spans="1:35">
      <c r="A198" s="94"/>
      <c r="B198" s="34"/>
      <c r="C198" s="28"/>
      <c r="D198" s="28"/>
      <c r="E198" s="21"/>
      <c r="F198" s="21"/>
      <c r="G198" s="21"/>
      <c r="H198" s="29"/>
      <c r="J198" s="94"/>
      <c r="K198" s="34"/>
      <c r="L198" s="28"/>
      <c r="M198" s="28"/>
      <c r="N198" s="21"/>
      <c r="O198" s="21"/>
      <c r="P198" s="21"/>
      <c r="Q198" s="29"/>
      <c r="S198" s="94"/>
      <c r="T198" s="34"/>
      <c r="U198" s="28"/>
      <c r="V198" s="28"/>
      <c r="W198" s="21"/>
      <c r="X198" s="28"/>
      <c r="Y198" s="28"/>
      <c r="Z198" s="29"/>
      <c r="AB198" s="94"/>
      <c r="AC198" s="34"/>
      <c r="AD198" s="28"/>
      <c r="AE198" s="28"/>
      <c r="AF198" s="21"/>
      <c r="AG198" s="28"/>
      <c r="AH198" s="28"/>
      <c r="AI198" s="29"/>
    </row>
    <row r="199" spans="1:35">
      <c r="A199" s="53" t="s">
        <v>211</v>
      </c>
      <c r="B199" s="35" t="s">
        <v>212</v>
      </c>
      <c r="C199" s="28"/>
      <c r="D199" s="28"/>
      <c r="E199" s="35" t="s">
        <v>213</v>
      </c>
      <c r="F199" s="21"/>
      <c r="G199" s="21"/>
      <c r="H199" s="29"/>
      <c r="J199" s="53" t="s">
        <v>211</v>
      </c>
      <c r="K199" s="35" t="s">
        <v>212</v>
      </c>
      <c r="L199" s="28"/>
      <c r="M199" s="28"/>
      <c r="N199" s="35" t="s">
        <v>213</v>
      </c>
      <c r="O199" s="21"/>
      <c r="P199" s="21"/>
      <c r="Q199" s="29"/>
      <c r="S199" s="53" t="s">
        <v>211</v>
      </c>
      <c r="T199" s="35" t="s">
        <v>212</v>
      </c>
      <c r="U199" s="28"/>
      <c r="V199" s="28"/>
      <c r="W199" s="35" t="s">
        <v>213</v>
      </c>
      <c r="X199" s="28"/>
      <c r="Y199" s="28"/>
      <c r="Z199" s="29"/>
      <c r="AB199" s="53" t="s">
        <v>211</v>
      </c>
      <c r="AC199" s="35" t="s">
        <v>212</v>
      </c>
      <c r="AD199" s="28"/>
      <c r="AE199" s="28"/>
      <c r="AF199" s="35" t="s">
        <v>213</v>
      </c>
      <c r="AG199" s="28"/>
      <c r="AH199" s="28"/>
      <c r="AI199" s="29"/>
    </row>
    <row r="200" spans="1:35">
      <c r="A200" s="94">
        <v>10</v>
      </c>
      <c r="B200" s="34">
        <f>B197+E197+A200</f>
        <v>415.99991999999997</v>
      </c>
      <c r="C200" s="28"/>
      <c r="D200" s="28"/>
      <c r="E200" s="34">
        <f>H157</f>
        <v>2083.329999999999</v>
      </c>
      <c r="F200" s="21"/>
      <c r="G200" s="21"/>
      <c r="H200" s="29"/>
      <c r="J200" s="94">
        <f>K194-100</f>
        <v>1139.99</v>
      </c>
      <c r="K200" s="34" t="e">
        <f>K197+N197+J200</f>
        <v>#VALUE!</v>
      </c>
      <c r="L200" s="28"/>
      <c r="M200" s="28"/>
      <c r="N200" s="34" t="e">
        <f>Q157</f>
        <v>#VALUE!</v>
      </c>
      <c r="O200" s="21"/>
      <c r="P200" s="21"/>
      <c r="Q200" s="29"/>
      <c r="S200" s="94">
        <f>T194-100</f>
        <v>1099.99</v>
      </c>
      <c r="T200" s="34" t="e">
        <f>T197+W197+S200</f>
        <v>#VALUE!</v>
      </c>
      <c r="U200" s="28"/>
      <c r="V200" s="28"/>
      <c r="W200" s="34" t="e">
        <f>Z157</f>
        <v>#VALUE!</v>
      </c>
      <c r="X200" s="28"/>
      <c r="Y200" s="28"/>
      <c r="Z200" s="29"/>
      <c r="AB200" s="94">
        <f>AC194-100</f>
        <v>1139.99</v>
      </c>
      <c r="AC200" s="34" t="e">
        <f>AC197+AF197+AB200</f>
        <v>#VALUE!</v>
      </c>
      <c r="AD200" s="28"/>
      <c r="AE200" s="28"/>
      <c r="AF200" s="34" t="e">
        <f>AI157</f>
        <v>#VALUE!</v>
      </c>
      <c r="AG200" s="28"/>
      <c r="AH200" s="28"/>
      <c r="AI200" s="29"/>
    </row>
    <row r="201" spans="1:35">
      <c r="A201" s="27"/>
      <c r="B201" s="28"/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58" t="s">
        <v>214</v>
      </c>
      <c r="B202" s="28"/>
      <c r="C202" s="28"/>
      <c r="D202" s="59"/>
      <c r="E202" s="59"/>
      <c r="F202" s="59"/>
      <c r="G202" s="59"/>
      <c r="H202" s="60"/>
      <c r="J202" s="58" t="s">
        <v>214</v>
      </c>
      <c r="K202" s="28"/>
      <c r="L202" s="28"/>
      <c r="M202" s="59"/>
      <c r="N202" s="59"/>
      <c r="O202" s="59"/>
      <c r="P202" s="59"/>
      <c r="Q202" s="60"/>
      <c r="S202" s="58" t="s">
        <v>214</v>
      </c>
      <c r="T202" s="28"/>
      <c r="U202" s="28"/>
      <c r="V202" s="59"/>
      <c r="W202" s="59"/>
      <c r="X202" s="59"/>
      <c r="Y202" s="59"/>
      <c r="Z202" s="60"/>
      <c r="AB202" s="58" t="s">
        <v>214</v>
      </c>
      <c r="AC202" s="28"/>
      <c r="AD202" s="28"/>
      <c r="AE202" s="59"/>
      <c r="AF202" s="59"/>
      <c r="AG202" s="59"/>
      <c r="AH202" s="59"/>
      <c r="AI202" s="60"/>
    </row>
    <row r="203" spans="1:35">
      <c r="A203" s="27"/>
      <c r="B203" s="61"/>
      <c r="C203" s="61"/>
      <c r="D203" s="28"/>
      <c r="E203" s="21"/>
      <c r="F203" s="21"/>
      <c r="G203" s="21"/>
      <c r="H203" s="29"/>
      <c r="J203" s="27"/>
      <c r="K203" s="61"/>
      <c r="L203" s="61"/>
      <c r="M203" s="28"/>
      <c r="N203" s="21"/>
      <c r="O203" s="21"/>
      <c r="P203" s="21"/>
      <c r="Q203" s="29"/>
      <c r="S203" s="27"/>
      <c r="T203" s="61"/>
      <c r="U203" s="61"/>
      <c r="V203" s="28"/>
      <c r="W203" s="21"/>
      <c r="X203" s="21"/>
      <c r="Y203" s="21"/>
      <c r="Z203" s="29"/>
      <c r="AB203" s="27"/>
      <c r="AC203" s="61"/>
      <c r="AD203" s="61"/>
      <c r="AE203" s="28"/>
      <c r="AF203" s="21"/>
      <c r="AG203" s="21"/>
      <c r="AH203" s="21"/>
      <c r="AI203" s="29"/>
    </row>
    <row r="204" spans="1:35" ht="21">
      <c r="A204" s="369" t="s">
        <v>94</v>
      </c>
      <c r="B204" s="341" t="s">
        <v>95</v>
      </c>
      <c r="C204" s="341"/>
      <c r="D204" s="341"/>
      <c r="E204" s="21"/>
      <c r="F204" s="21"/>
      <c r="G204" s="21"/>
      <c r="H204" s="29"/>
      <c r="J204" s="369" t="s">
        <v>94</v>
      </c>
      <c r="K204" s="370" t="s">
        <v>95</v>
      </c>
      <c r="L204" s="370"/>
      <c r="M204" s="370"/>
      <c r="N204" s="21"/>
      <c r="O204" s="21"/>
      <c r="P204" s="21"/>
      <c r="Q204" s="29"/>
      <c r="S204" s="369" t="s">
        <v>94</v>
      </c>
      <c r="T204" s="341" t="s">
        <v>95</v>
      </c>
      <c r="U204" s="341"/>
      <c r="V204" s="341"/>
      <c r="W204" s="21"/>
      <c r="X204" s="21"/>
      <c r="Y204" s="21"/>
      <c r="Z204" s="29"/>
      <c r="AB204" s="369" t="s">
        <v>94</v>
      </c>
      <c r="AC204" s="341" t="s">
        <v>95</v>
      </c>
      <c r="AD204" s="341"/>
      <c r="AE204" s="341"/>
      <c r="AF204" s="21"/>
      <c r="AG204" s="21"/>
      <c r="AH204" s="21"/>
      <c r="AI204" s="29"/>
    </row>
    <row r="205" spans="1:35" ht="19.5" customHeight="1">
      <c r="A205" s="369"/>
      <c r="B205" s="342" t="str">
        <f>K30</f>
        <v>5000</v>
      </c>
      <c r="C205" s="342"/>
      <c r="D205" s="342"/>
      <c r="E205" s="21"/>
      <c r="F205" s="21"/>
      <c r="G205" s="21"/>
      <c r="H205" s="29"/>
      <c r="J205" s="369"/>
      <c r="K205" s="371" t="str">
        <f>K30</f>
        <v>5000</v>
      </c>
      <c r="L205" s="371"/>
      <c r="M205" s="371"/>
      <c r="N205" s="21"/>
      <c r="O205" s="21"/>
      <c r="P205" s="21"/>
      <c r="Q205" s="29"/>
      <c r="S205" s="369"/>
      <c r="T205" s="342" t="str">
        <f>K30</f>
        <v>5000</v>
      </c>
      <c r="U205" s="342"/>
      <c r="V205" s="342"/>
      <c r="W205" s="21"/>
      <c r="X205" s="21"/>
      <c r="Y205" s="21"/>
      <c r="Z205" s="29"/>
      <c r="AB205" s="369"/>
      <c r="AC205" s="342" t="str">
        <f>K30</f>
        <v>5000</v>
      </c>
      <c r="AD205" s="342"/>
      <c r="AE205" s="342"/>
      <c r="AF205" s="21"/>
      <c r="AG205" s="21"/>
      <c r="AH205" s="21"/>
      <c r="AI205" s="29"/>
    </row>
    <row r="206" spans="1:35">
      <c r="A206" s="62" t="str">
        <f>K29</f>
        <v>12</v>
      </c>
      <c r="B206" s="343">
        <f>B105</f>
        <v>898.94861026477622</v>
      </c>
      <c r="C206" s="343"/>
      <c r="D206" s="343"/>
      <c r="E206" s="21"/>
      <c r="F206" s="21"/>
      <c r="G206" s="21"/>
      <c r="H206" s="29"/>
      <c r="J206" s="62" t="str">
        <f>K29</f>
        <v>12</v>
      </c>
      <c r="K206" s="343" t="e">
        <f>K105</f>
        <v>#VALUE!</v>
      </c>
      <c r="L206" s="343"/>
      <c r="M206" s="343"/>
      <c r="N206" s="21"/>
      <c r="O206" s="21"/>
      <c r="P206" s="21"/>
      <c r="Q206" s="29"/>
      <c r="S206" s="62" t="str">
        <f>K29</f>
        <v>12</v>
      </c>
      <c r="T206" s="343" t="e">
        <f>T105</f>
        <v>#VALUE!</v>
      </c>
      <c r="U206" s="343"/>
      <c r="V206" s="343"/>
      <c r="W206" s="21"/>
      <c r="X206" s="21"/>
      <c r="Y206" s="21"/>
      <c r="Z206" s="29"/>
      <c r="AB206" s="62" t="str">
        <f>K29</f>
        <v>12</v>
      </c>
      <c r="AC206" s="343" t="e">
        <f>AC105</f>
        <v>#VALUE!</v>
      </c>
      <c r="AD206" s="343"/>
      <c r="AE206" s="343"/>
      <c r="AF206" s="21"/>
      <c r="AG206" s="21"/>
      <c r="AH206" s="21"/>
      <c r="AI206" s="29"/>
    </row>
    <row r="207" spans="1:35">
      <c r="A207" s="27"/>
      <c r="B207" s="28"/>
      <c r="C207" s="28"/>
      <c r="D207" s="28"/>
      <c r="E207" s="21"/>
      <c r="F207" s="21"/>
      <c r="G207" s="21"/>
      <c r="H207" s="29"/>
      <c r="J207" s="27"/>
      <c r="K207" s="28"/>
      <c r="L207" s="28"/>
      <c r="M207" s="28"/>
      <c r="N207" s="21"/>
      <c r="O207" s="21"/>
      <c r="P207" s="21"/>
      <c r="Q207" s="29"/>
      <c r="S207" s="27"/>
      <c r="T207" s="28"/>
      <c r="U207" s="28"/>
      <c r="V207" s="28"/>
      <c r="W207" s="21"/>
      <c r="X207" s="21"/>
      <c r="Y207" s="21"/>
      <c r="Z207" s="29"/>
      <c r="AB207" s="27"/>
      <c r="AC207" s="28"/>
      <c r="AD207" s="28"/>
      <c r="AE207" s="28"/>
      <c r="AF207" s="21"/>
      <c r="AG207" s="21"/>
      <c r="AH207" s="21"/>
      <c r="AI207" s="29"/>
    </row>
    <row r="208" spans="1:35">
      <c r="A208" s="27"/>
      <c r="B208" s="28"/>
      <c r="C208" s="28"/>
      <c r="D208" s="28"/>
      <c r="E208" s="21"/>
      <c r="F208" s="21"/>
      <c r="G208" s="21"/>
      <c r="H208" s="29"/>
      <c r="J208" s="27"/>
      <c r="K208" s="28"/>
      <c r="L208" s="28"/>
      <c r="M208" s="28"/>
      <c r="N208" s="21"/>
      <c r="O208" s="21"/>
      <c r="P208" s="21"/>
      <c r="Q208" s="29"/>
      <c r="S208" s="27"/>
      <c r="T208" s="28"/>
      <c r="U208" s="28"/>
      <c r="V208" s="28"/>
      <c r="W208" s="21"/>
      <c r="X208" s="21"/>
      <c r="Y208" s="21"/>
      <c r="Z208" s="29"/>
      <c r="AB208" s="27"/>
      <c r="AC208" s="28"/>
      <c r="AD208" s="28"/>
      <c r="AE208" s="28"/>
      <c r="AF208" s="21"/>
      <c r="AG208" s="21"/>
      <c r="AH208" s="21"/>
      <c r="AI208" s="29"/>
    </row>
    <row r="209" spans="1:35">
      <c r="A209" s="27" t="s">
        <v>215</v>
      </c>
      <c r="B209" s="28" t="s">
        <v>216</v>
      </c>
      <c r="C209" s="28"/>
      <c r="D209" s="28"/>
      <c r="E209" s="21"/>
      <c r="F209" s="21"/>
      <c r="G209" s="21"/>
      <c r="H209" s="29"/>
      <c r="J209" s="27"/>
      <c r="K209" s="28"/>
      <c r="L209" s="28"/>
      <c r="M209" s="28"/>
      <c r="N209" s="21"/>
      <c r="O209" s="21"/>
      <c r="P209" s="21"/>
      <c r="Q209" s="29"/>
      <c r="S209" s="27"/>
      <c r="T209" s="28"/>
      <c r="U209" s="28"/>
      <c r="V209" s="28"/>
      <c r="W209" s="21"/>
      <c r="X209" s="21"/>
      <c r="Y209" s="21"/>
      <c r="Z209" s="29"/>
      <c r="AB209" s="27"/>
      <c r="AC209" s="28"/>
      <c r="AD209" s="28"/>
      <c r="AE209" s="28"/>
      <c r="AF209" s="21"/>
      <c r="AG209" s="21"/>
      <c r="AH209" s="21"/>
      <c r="AI209" s="29"/>
    </row>
    <row r="210" spans="1:35">
      <c r="A210" s="32">
        <f>IF(A49=0,((G176*(B68+1))-E188),((G176*B68)+E194-E188-A194))</f>
        <v>-3906.1959999999999</v>
      </c>
      <c r="B210" s="38">
        <f>E188+A210+B191+A194</f>
        <v>17403.8</v>
      </c>
      <c r="C210" s="28"/>
      <c r="D210" s="28"/>
      <c r="E210" s="21"/>
      <c r="F210" s="21"/>
      <c r="G210" s="21"/>
      <c r="H210" s="29"/>
      <c r="J210" s="27"/>
      <c r="K210" s="28"/>
      <c r="L210" s="28"/>
      <c r="M210" s="28"/>
      <c r="N210" s="21"/>
      <c r="O210" s="21"/>
      <c r="P210" s="21"/>
      <c r="Q210" s="29"/>
      <c r="S210" s="27"/>
      <c r="T210" s="28"/>
      <c r="U210" s="28"/>
      <c r="V210" s="28"/>
      <c r="W210" s="21"/>
      <c r="X210" s="21"/>
      <c r="Y210" s="21"/>
      <c r="Z210" s="29"/>
      <c r="AB210" s="27"/>
      <c r="AC210" s="28"/>
      <c r="AD210" s="28"/>
      <c r="AE210" s="28"/>
      <c r="AF210" s="21"/>
      <c r="AG210" s="21"/>
      <c r="AH210" s="21"/>
      <c r="AI210" s="29"/>
    </row>
    <row r="211" spans="1:35">
      <c r="A211" s="49"/>
      <c r="B211" s="50"/>
      <c r="C211" s="50"/>
      <c r="D211" s="50"/>
      <c r="E211" s="50"/>
      <c r="F211" s="50"/>
      <c r="G211" s="50"/>
      <c r="H211" s="57"/>
      <c r="J211" s="49"/>
      <c r="K211" s="50"/>
      <c r="L211" s="50"/>
      <c r="M211" s="50"/>
      <c r="N211" s="50"/>
      <c r="O211" s="50"/>
      <c r="P211" s="50"/>
      <c r="Q211" s="57"/>
      <c r="S211" s="49"/>
      <c r="T211" s="50"/>
      <c r="U211" s="50"/>
      <c r="V211" s="50"/>
      <c r="W211" s="50"/>
      <c r="X211" s="50"/>
      <c r="Y211" s="50"/>
      <c r="Z211" s="57"/>
      <c r="AB211" s="49"/>
      <c r="AC211" s="50"/>
      <c r="AD211" s="50"/>
      <c r="AE211" s="50"/>
      <c r="AF211" s="50"/>
      <c r="AG211" s="50"/>
      <c r="AH211" s="50"/>
      <c r="AI211" s="57"/>
    </row>
    <row r="215" spans="1:35" ht="23.25">
      <c r="A215" s="372" t="s">
        <v>192</v>
      </c>
      <c r="B215" s="372"/>
      <c r="C215" s="372"/>
      <c r="D215" s="372"/>
      <c r="E215" s="372"/>
      <c r="F215" s="372"/>
      <c r="G215" s="372"/>
      <c r="H215" s="372"/>
    </row>
    <row r="216" spans="1:35">
      <c r="A216" s="27"/>
      <c r="B216" s="28"/>
      <c r="C216" s="28"/>
      <c r="D216" s="28"/>
      <c r="E216" s="21"/>
      <c r="F216" s="21"/>
      <c r="G216" s="21"/>
      <c r="H216" s="29"/>
    </row>
    <row r="217" spans="1:35">
      <c r="A217" s="139" t="s">
        <v>137</v>
      </c>
      <c r="B217" s="140" t="s">
        <v>52</v>
      </c>
      <c r="C217" s="140"/>
      <c r="D217" s="140"/>
      <c r="E217" s="140" t="s">
        <v>53</v>
      </c>
      <c r="F217" s="141"/>
      <c r="G217" s="21"/>
      <c r="H217" s="29"/>
    </row>
    <row r="218" spans="1:35">
      <c r="A218" s="142" t="s">
        <v>217</v>
      </c>
      <c r="B218" s="131" t="str">
        <f>A206</f>
        <v>12</v>
      </c>
      <c r="C218" s="131"/>
      <c r="D218" s="131"/>
      <c r="E218" s="131" t="str">
        <f>B205</f>
        <v>5000</v>
      </c>
      <c r="F218" s="141"/>
      <c r="G218" s="21"/>
      <c r="H218" s="29"/>
    </row>
    <row r="219" spans="1:35">
      <c r="A219" s="27"/>
      <c r="B219" s="28"/>
      <c r="C219" s="28"/>
      <c r="D219" s="28"/>
      <c r="E219" s="21"/>
      <c r="F219" s="21"/>
      <c r="G219" s="21"/>
      <c r="H219" s="29"/>
    </row>
    <row r="220" spans="1:35">
      <c r="A220" s="139" t="s">
        <v>194</v>
      </c>
      <c r="B220" s="140" t="s">
        <v>195</v>
      </c>
      <c r="C220" s="140"/>
      <c r="D220" s="140"/>
      <c r="E220" s="140" t="s">
        <v>196</v>
      </c>
      <c r="F220" s="21"/>
      <c r="G220" s="21"/>
      <c r="H220" s="29"/>
    </row>
    <row r="221" spans="1:35">
      <c r="A221" s="132">
        <f>A176</f>
        <v>898.94861026477622</v>
      </c>
      <c r="B221" s="133">
        <f>B176</f>
        <v>0</v>
      </c>
      <c r="C221" s="131"/>
      <c r="D221" s="131"/>
      <c r="E221" s="133">
        <f>E176</f>
        <v>898.94861026477622</v>
      </c>
      <c r="F221" s="21"/>
      <c r="G221" s="21"/>
      <c r="H221" s="29"/>
    </row>
    <row r="222" spans="1:35">
      <c r="A222" s="27"/>
      <c r="B222" s="28"/>
      <c r="C222" s="28"/>
      <c r="D222" s="28"/>
      <c r="E222" s="21"/>
      <c r="F222" s="21"/>
      <c r="G222" s="21"/>
      <c r="H222" s="29"/>
    </row>
    <row r="223" spans="1:35">
      <c r="A223" s="27" t="s">
        <v>199</v>
      </c>
      <c r="B223" s="28" t="s">
        <v>200</v>
      </c>
      <c r="C223" s="28"/>
      <c r="D223" s="21"/>
      <c r="E223" s="28" t="s">
        <v>201</v>
      </c>
      <c r="F223" s="21"/>
      <c r="G223" s="21"/>
      <c r="H223" s="29"/>
    </row>
    <row r="224" spans="1:35">
      <c r="A224" s="138">
        <f>A182</f>
        <v>15958.329999999998</v>
      </c>
      <c r="B224" s="34">
        <f>B182</f>
        <v>3191.6660000000002</v>
      </c>
      <c r="C224" s="38"/>
      <c r="D224" s="21"/>
      <c r="E224" s="137">
        <f>E182</f>
        <v>0</v>
      </c>
      <c r="F224" s="21"/>
      <c r="G224" s="21"/>
      <c r="H224" s="29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202</v>
      </c>
      <c r="B226" s="28" t="s">
        <v>148</v>
      </c>
      <c r="C226" s="28"/>
      <c r="D226" s="21"/>
      <c r="E226" s="28" t="s">
        <v>149</v>
      </c>
      <c r="F226" s="21"/>
      <c r="G226" s="21"/>
      <c r="H226" s="29"/>
    </row>
    <row r="227" spans="1:8">
      <c r="A227" s="138">
        <f>A185</f>
        <v>19149.995999999999</v>
      </c>
      <c r="B227" s="34">
        <f>B185</f>
        <v>0</v>
      </c>
      <c r="C227" s="34"/>
      <c r="D227" s="21"/>
      <c r="E227" s="34">
        <f>E185</f>
        <v>0</v>
      </c>
      <c r="F227" s="21"/>
      <c r="G227" s="21"/>
      <c r="H227" s="90"/>
    </row>
    <row r="228" spans="1:8">
      <c r="A228" s="27"/>
      <c r="B228" s="28"/>
      <c r="C228" s="28"/>
      <c r="D228" s="21"/>
      <c r="E228" s="28"/>
      <c r="F228" s="21"/>
      <c r="G228" s="21"/>
      <c r="H228" s="29"/>
    </row>
    <row r="229" spans="1:8">
      <c r="A229" s="27" t="s">
        <v>150</v>
      </c>
      <c r="B229" s="28" t="s">
        <v>185</v>
      </c>
      <c r="C229" s="28"/>
      <c r="D229" s="21"/>
      <c r="E229" s="28" t="s">
        <v>191</v>
      </c>
      <c r="F229" s="21"/>
      <c r="G229" s="21"/>
      <c r="H229" s="29"/>
    </row>
    <row r="230" spans="1:8">
      <c r="A230" s="94">
        <f>A188</f>
        <v>0</v>
      </c>
      <c r="B230" s="34">
        <f>B188</f>
        <v>0</v>
      </c>
      <c r="C230" s="34"/>
      <c r="D230" s="21"/>
      <c r="E230" s="34">
        <f>E188</f>
        <v>20299.995999999999</v>
      </c>
      <c r="F230" s="21"/>
      <c r="G230" s="21"/>
      <c r="H230" s="90"/>
    </row>
    <row r="231" spans="1:8">
      <c r="A231" s="27"/>
      <c r="B231" s="28"/>
      <c r="C231" s="28"/>
      <c r="D231" s="21"/>
      <c r="E231" s="28"/>
      <c r="F231" s="21"/>
      <c r="G231" s="21"/>
      <c r="H231" s="29"/>
    </row>
    <row r="232" spans="1:8">
      <c r="A232" s="27" t="s">
        <v>203</v>
      </c>
      <c r="B232" s="28" t="s">
        <v>66</v>
      </c>
      <c r="C232" s="28"/>
      <c r="D232" s="21"/>
      <c r="E232" s="28" t="s">
        <v>204</v>
      </c>
      <c r="F232" s="21"/>
      <c r="G232" s="21"/>
      <c r="H232" s="29"/>
    </row>
    <row r="233" spans="1:8">
      <c r="A233" s="94">
        <f>A191</f>
        <v>-3211.5612870874611</v>
      </c>
      <c r="B233" s="34">
        <f>B191</f>
        <v>1000</v>
      </c>
      <c r="C233" s="34"/>
      <c r="D233" s="21"/>
      <c r="E233" s="34">
        <f>E191</f>
        <v>18098.434712912538</v>
      </c>
      <c r="F233" s="21"/>
      <c r="G233" s="21"/>
      <c r="H233" s="90"/>
    </row>
    <row r="234" spans="1:8">
      <c r="A234" s="27"/>
      <c r="B234" s="28"/>
      <c r="C234" s="28"/>
      <c r="D234" s="21"/>
      <c r="E234" s="28"/>
      <c r="F234" s="21"/>
      <c r="G234" s="21"/>
      <c r="H234" s="29"/>
    </row>
    <row r="235" spans="1:8">
      <c r="A235" s="27" t="s">
        <v>205</v>
      </c>
      <c r="B235" s="28" t="s">
        <v>206</v>
      </c>
      <c r="C235" s="28"/>
      <c r="D235" s="21"/>
      <c r="E235" s="28" t="s">
        <v>218</v>
      </c>
      <c r="F235" s="21"/>
      <c r="G235" s="21"/>
      <c r="H235" s="29"/>
    </row>
    <row r="236" spans="1:8">
      <c r="A236" s="94">
        <f>A194</f>
        <v>10</v>
      </c>
      <c r="B236" s="34">
        <f>B194</f>
        <v>1000</v>
      </c>
      <c r="C236" s="34"/>
      <c r="D236" s="21"/>
      <c r="E236" s="34">
        <f>B68</f>
        <v>11</v>
      </c>
      <c r="F236" s="21"/>
      <c r="G236" s="21"/>
      <c r="H236" s="90"/>
    </row>
    <row r="237" spans="1:8">
      <c r="A237" s="27"/>
      <c r="B237" s="28"/>
      <c r="C237" s="28"/>
      <c r="D237" s="28"/>
      <c r="E237" s="21"/>
      <c r="F237" s="21"/>
      <c r="G237" s="21"/>
      <c r="H237" s="29"/>
    </row>
    <row r="238" spans="1:8">
      <c r="A238" s="27" t="s">
        <v>194</v>
      </c>
      <c r="B238" s="28" t="s">
        <v>195</v>
      </c>
      <c r="C238" s="28"/>
      <c r="D238" s="28"/>
      <c r="E238" s="28" t="s">
        <v>196</v>
      </c>
      <c r="F238" s="21"/>
      <c r="G238" s="21"/>
      <c r="H238" s="29"/>
    </row>
    <row r="239" spans="1:8">
      <c r="A239" s="94">
        <f>A176</f>
        <v>898.94861026477622</v>
      </c>
      <c r="B239" s="34">
        <f>B176</f>
        <v>0</v>
      </c>
      <c r="C239" s="38"/>
      <c r="D239" s="38"/>
      <c r="E239" s="34">
        <f>E176</f>
        <v>898.94861026477622</v>
      </c>
      <c r="F239" s="21"/>
      <c r="G239" s="21"/>
      <c r="H239" s="29"/>
    </row>
    <row r="240" spans="1:8">
      <c r="A240" s="27"/>
      <c r="B240" s="28"/>
      <c r="C240" s="28"/>
      <c r="D240" s="28"/>
      <c r="E240" s="21"/>
      <c r="F240" s="21"/>
      <c r="G240" s="21"/>
      <c r="H240" s="29"/>
    </row>
    <row r="241" spans="1:8">
      <c r="A241" s="27" t="s">
        <v>219</v>
      </c>
      <c r="B241" s="28" t="s">
        <v>220</v>
      </c>
      <c r="C241" s="28"/>
      <c r="D241" s="28"/>
      <c r="E241" s="28" t="s">
        <v>80</v>
      </c>
      <c r="F241" s="21"/>
      <c r="G241" s="21"/>
      <c r="H241" s="29"/>
    </row>
    <row r="242" spans="1:8">
      <c r="A242" s="94">
        <f>E179</f>
        <v>7200</v>
      </c>
      <c r="B242" s="34">
        <f>E194</f>
        <v>7210</v>
      </c>
      <c r="C242" s="28"/>
      <c r="D242" s="28"/>
      <c r="E242" s="34">
        <f>J18*0.000006*100*1.2</f>
        <v>29.178719999999998</v>
      </c>
      <c r="F242" s="21"/>
      <c r="G242" s="21"/>
      <c r="H242" s="29"/>
    </row>
    <row r="243" spans="1:8">
      <c r="A243" s="94"/>
      <c r="B243" s="34"/>
      <c r="C243" s="28"/>
      <c r="D243" s="28"/>
      <c r="E243" s="34"/>
      <c r="F243" s="21"/>
      <c r="G243" s="21"/>
      <c r="H243" s="29"/>
    </row>
    <row r="244" spans="1:8">
      <c r="A244" s="53" t="s">
        <v>221</v>
      </c>
      <c r="B244" s="35" t="s">
        <v>85</v>
      </c>
      <c r="C244" s="28"/>
      <c r="D244" s="28"/>
      <c r="E244" s="35" t="s">
        <v>142</v>
      </c>
      <c r="F244" s="21"/>
      <c r="G244" s="21"/>
      <c r="H244" s="29"/>
    </row>
    <row r="245" spans="1:8">
      <c r="A245" s="94">
        <f>A197</f>
        <v>9.7262399999999989</v>
      </c>
      <c r="B245" s="34">
        <f>E242+A245</f>
        <v>38.904959999999996</v>
      </c>
      <c r="C245" s="28"/>
      <c r="D245" s="28"/>
      <c r="E245" s="34"/>
      <c r="F245" s="21"/>
      <c r="G245" s="21"/>
      <c r="H245" s="29"/>
    </row>
    <row r="246" spans="1:8">
      <c r="A246" s="94"/>
      <c r="B246" s="34"/>
      <c r="C246" s="28"/>
      <c r="D246" s="28"/>
      <c r="E246" s="34"/>
      <c r="F246" s="21"/>
      <c r="G246" s="21"/>
      <c r="H246" s="29"/>
    </row>
    <row r="247" spans="1:8" ht="23.25">
      <c r="A247" s="373" t="s">
        <v>222</v>
      </c>
      <c r="B247" s="373"/>
      <c r="C247" s="373"/>
      <c r="D247" s="373"/>
      <c r="E247" s="373"/>
      <c r="F247" s="373"/>
      <c r="G247" s="373"/>
      <c r="H247" s="373"/>
    </row>
    <row r="248" spans="1:8">
      <c r="A248" s="27" t="s">
        <v>223</v>
      </c>
      <c r="B248" s="28" t="s">
        <v>209</v>
      </c>
      <c r="C248" s="28"/>
      <c r="D248" s="28"/>
      <c r="E248" s="35" t="s">
        <v>210</v>
      </c>
      <c r="F248" s="21"/>
      <c r="G248" s="21"/>
      <c r="H248" s="29"/>
    </row>
    <row r="249" spans="1:8">
      <c r="A249" s="94">
        <f>H157</f>
        <v>2083.329999999999</v>
      </c>
      <c r="B249" s="34">
        <f>B197</f>
        <v>405.99991999999997</v>
      </c>
      <c r="C249" s="28"/>
      <c r="D249" s="28"/>
      <c r="E249" s="34">
        <f>E197</f>
        <v>0</v>
      </c>
      <c r="F249" s="21"/>
      <c r="G249" s="21"/>
      <c r="H249" s="29"/>
    </row>
    <row r="250" spans="1:8">
      <c r="A250" s="94"/>
      <c r="B250" s="34"/>
      <c r="C250" s="28"/>
      <c r="D250" s="28"/>
      <c r="E250" s="21"/>
      <c r="F250" s="21"/>
      <c r="G250" s="21"/>
      <c r="H250" s="29"/>
    </row>
    <row r="251" spans="1:8">
      <c r="A251" s="53" t="s">
        <v>211</v>
      </c>
      <c r="B251" s="35" t="s">
        <v>212</v>
      </c>
      <c r="C251" s="28"/>
      <c r="D251" s="28"/>
      <c r="E251" s="35"/>
      <c r="F251" s="21"/>
      <c r="G251" s="21"/>
      <c r="H251" s="29"/>
    </row>
    <row r="252" spans="1:8">
      <c r="A252" s="94">
        <f>A200</f>
        <v>10</v>
      </c>
      <c r="B252" s="34">
        <f>B249+E249+A252+A249-H165-H165</f>
        <v>199.32991999999922</v>
      </c>
      <c r="C252" s="28"/>
      <c r="D252" s="28"/>
      <c r="E252" s="34"/>
      <c r="F252" s="21"/>
      <c r="G252" s="21"/>
      <c r="H252" s="29"/>
    </row>
    <row r="253" spans="1:8">
      <c r="A253" s="27"/>
      <c r="B253" s="28"/>
      <c r="C253" s="28"/>
      <c r="D253" s="28"/>
      <c r="E253" s="21"/>
      <c r="F253" s="21"/>
      <c r="G253" s="21"/>
      <c r="H253" s="29"/>
    </row>
    <row r="254" spans="1:8">
      <c r="A254" s="49"/>
      <c r="B254" s="50"/>
      <c r="C254" s="50"/>
      <c r="D254" s="50"/>
      <c r="E254" s="50"/>
      <c r="F254" s="50"/>
      <c r="G254" s="50"/>
      <c r="H254" s="57"/>
    </row>
    <row r="260" spans="1:8" ht="23.25">
      <c r="A260" s="372" t="s">
        <v>224</v>
      </c>
      <c r="B260" s="372"/>
      <c r="C260" s="372"/>
      <c r="D260" s="372"/>
      <c r="E260" s="372"/>
      <c r="F260" s="372"/>
      <c r="G260" s="372"/>
      <c r="H260" s="372"/>
    </row>
    <row r="261" spans="1:8">
      <c r="A261" s="27"/>
      <c r="B261" s="28"/>
      <c r="C261" s="28"/>
      <c r="D261" s="28"/>
      <c r="E261" s="21"/>
      <c r="F261" s="21"/>
      <c r="G261" s="21"/>
      <c r="H261" s="29"/>
    </row>
    <row r="262" spans="1:8">
      <c r="A262" s="139" t="s">
        <v>225</v>
      </c>
      <c r="B262" s="143">
        <f>B72</f>
        <v>6.5000000000000002E-2</v>
      </c>
      <c r="C262" s="144"/>
      <c r="D262" s="374" t="s">
        <v>226</v>
      </c>
      <c r="E262" s="374"/>
      <c r="F262" s="143">
        <f>B92</f>
        <v>0.1255</v>
      </c>
      <c r="G262" s="21"/>
      <c r="H262" s="29"/>
    </row>
    <row r="263" spans="1:8">
      <c r="A263" s="139" t="s">
        <v>227</v>
      </c>
      <c r="B263" s="145">
        <f>(E191-B191)-(B210-B191-A194)</f>
        <v>704.63471291253882</v>
      </c>
      <c r="C263" s="144"/>
      <c r="D263" s="374" t="s">
        <v>228</v>
      </c>
      <c r="E263" s="374"/>
      <c r="F263" s="146">
        <f>F270+F276+F278+B279+B280</f>
        <v>405.99991999999997</v>
      </c>
      <c r="G263" s="21"/>
      <c r="H263" s="29"/>
    </row>
    <row r="264" spans="1:8">
      <c r="A264" s="139" t="s">
        <v>229</v>
      </c>
      <c r="B264" s="146">
        <f>F271+B272</f>
        <v>10</v>
      </c>
      <c r="C264" s="144"/>
      <c r="D264" s="374" t="s">
        <v>230</v>
      </c>
      <c r="E264" s="374"/>
      <c r="F264" s="146">
        <f>(B263-F263)+B264</f>
        <v>308.63479291253884</v>
      </c>
      <c r="G264" s="21"/>
      <c r="H264" s="29"/>
    </row>
    <row r="265" spans="1:8">
      <c r="A265" s="147"/>
      <c r="B265" s="144"/>
      <c r="C265" s="148"/>
      <c r="D265" s="148"/>
      <c r="E265" s="148"/>
      <c r="F265" s="148"/>
      <c r="G265" s="149"/>
      <c r="H265" s="150"/>
    </row>
    <row r="266" spans="1:8">
      <c r="A266" s="27" t="s">
        <v>225</v>
      </c>
      <c r="B266" s="151">
        <f>B262</f>
        <v>6.5000000000000002E-2</v>
      </c>
      <c r="C266" s="144"/>
      <c r="D266" s="144"/>
      <c r="E266" s="144"/>
      <c r="F266" s="144"/>
      <c r="G266" s="21"/>
      <c r="H266" s="29"/>
    </row>
    <row r="267" spans="1:8">
      <c r="A267" s="152"/>
      <c r="B267" s="153"/>
      <c r="C267" s="154"/>
      <c r="D267" s="154"/>
      <c r="E267" s="149"/>
      <c r="F267" s="149"/>
      <c r="G267" s="149"/>
      <c r="H267" s="150"/>
    </row>
    <row r="268" spans="1:8">
      <c r="A268" s="27" t="s">
        <v>231</v>
      </c>
      <c r="B268" s="151">
        <f>B73</f>
        <v>0.05</v>
      </c>
      <c r="C268" s="28"/>
      <c r="D268" s="363" t="s">
        <v>232</v>
      </c>
      <c r="E268" s="363"/>
      <c r="F268" s="151">
        <v>0</v>
      </c>
      <c r="G268" s="21"/>
      <c r="H268" s="29"/>
    </row>
    <row r="269" spans="1:8">
      <c r="A269" s="93" t="s">
        <v>226</v>
      </c>
      <c r="B269" s="155">
        <f>B92</f>
        <v>0.1255</v>
      </c>
      <c r="C269" s="38"/>
      <c r="D269" s="363" t="s">
        <v>227</v>
      </c>
      <c r="E269" s="363"/>
      <c r="F269" s="115">
        <f>(B98*B68)-(C98*B68)</f>
        <v>9888.4347129125381</v>
      </c>
      <c r="G269" s="21"/>
      <c r="H269" s="29"/>
    </row>
    <row r="270" spans="1:8">
      <c r="A270" s="27" t="s">
        <v>233</v>
      </c>
      <c r="B270" s="155">
        <f>B76</f>
        <v>0.02</v>
      </c>
      <c r="C270" s="28"/>
      <c r="D270" s="363" t="s">
        <v>233</v>
      </c>
      <c r="E270" s="363"/>
      <c r="F270" s="119">
        <f>B77</f>
        <v>405.99991999999997</v>
      </c>
      <c r="G270" s="21"/>
      <c r="H270" s="29"/>
    </row>
    <row r="271" spans="1:8">
      <c r="A271" s="27" t="s">
        <v>234</v>
      </c>
      <c r="B271" s="151">
        <f>A117</f>
        <v>0.2</v>
      </c>
      <c r="C271" s="28"/>
      <c r="D271" s="363" t="s">
        <v>234</v>
      </c>
      <c r="E271" s="363"/>
      <c r="F271" s="115">
        <f>E249*10</f>
        <v>0</v>
      </c>
      <c r="G271" s="21"/>
      <c r="H271" s="29"/>
    </row>
    <row r="272" spans="1:8">
      <c r="A272" s="27" t="s">
        <v>235</v>
      </c>
      <c r="B272" s="115">
        <f>A252</f>
        <v>10</v>
      </c>
      <c r="C272" s="28"/>
      <c r="D272" s="35" t="s">
        <v>230</v>
      </c>
      <c r="E272" s="35"/>
      <c r="F272" s="115">
        <f>(B263-F263)+B264</f>
        <v>308.63479291253884</v>
      </c>
      <c r="G272" s="21"/>
      <c r="H272" s="29"/>
    </row>
    <row r="273" spans="1:8">
      <c r="A273" s="94"/>
      <c r="B273" s="34"/>
      <c r="C273" s="28"/>
      <c r="D273" s="28"/>
      <c r="E273" s="34"/>
      <c r="F273" s="21"/>
      <c r="G273" s="21"/>
      <c r="H273" s="29"/>
    </row>
    <row r="274" spans="1:8" ht="23.25">
      <c r="A274" s="373" t="s">
        <v>236</v>
      </c>
      <c r="B274" s="373"/>
      <c r="C274" s="373"/>
      <c r="D274" s="373"/>
      <c r="E274" s="373"/>
      <c r="F274" s="373"/>
      <c r="G274" s="373"/>
      <c r="H274" s="373"/>
    </row>
    <row r="275" spans="1:8">
      <c r="A275" s="27" t="s">
        <v>237</v>
      </c>
      <c r="B275" s="119">
        <v>0</v>
      </c>
      <c r="C275" s="28"/>
      <c r="D275" s="375" t="s">
        <v>238</v>
      </c>
      <c r="E275" s="375"/>
      <c r="F275" s="119">
        <v>0</v>
      </c>
      <c r="G275" s="21"/>
      <c r="H275" s="29"/>
    </row>
    <row r="276" spans="1:8">
      <c r="A276" s="94"/>
      <c r="B276" s="115"/>
      <c r="C276" s="28"/>
      <c r="D276" s="363" t="s">
        <v>239</v>
      </c>
      <c r="E276" s="363"/>
      <c r="F276" s="115">
        <f>B275+F275*B218</f>
        <v>0</v>
      </c>
      <c r="G276" s="21"/>
      <c r="H276" s="29"/>
    </row>
    <row r="277" spans="1:8">
      <c r="A277" s="53" t="s">
        <v>240</v>
      </c>
      <c r="B277" s="156" t="s">
        <v>10</v>
      </c>
      <c r="C277" s="28"/>
      <c r="D277" s="363" t="s">
        <v>241</v>
      </c>
      <c r="E277" s="363"/>
      <c r="F277" s="156">
        <f>B79</f>
        <v>0</v>
      </c>
      <c r="G277" s="21"/>
      <c r="H277" s="29"/>
    </row>
    <row r="278" spans="1:8">
      <c r="A278" s="53"/>
      <c r="B278" s="121"/>
      <c r="C278" s="28"/>
      <c r="D278" s="363" t="s">
        <v>242</v>
      </c>
      <c r="E278" s="363"/>
      <c r="F278" s="115">
        <f>B100</f>
        <v>0</v>
      </c>
      <c r="G278" s="21"/>
      <c r="H278" s="29"/>
    </row>
    <row r="279" spans="1:8">
      <c r="A279" s="53" t="s">
        <v>243</v>
      </c>
      <c r="B279" s="119">
        <v>0</v>
      </c>
      <c r="C279" s="28"/>
      <c r="D279" s="28"/>
      <c r="E279" s="34"/>
      <c r="F279" s="21"/>
      <c r="G279" s="21"/>
      <c r="H279" s="29"/>
    </row>
    <row r="280" spans="1:8">
      <c r="A280" s="27" t="s">
        <v>244</v>
      </c>
      <c r="B280" s="119">
        <v>0</v>
      </c>
      <c r="C280" s="28"/>
      <c r="D280" s="28"/>
      <c r="E280" s="21"/>
      <c r="F280" s="21"/>
      <c r="G280" s="21"/>
      <c r="H280" s="29"/>
    </row>
    <row r="281" spans="1:8">
      <c r="A281" s="49"/>
      <c r="B281" s="50"/>
      <c r="C281" s="50"/>
      <c r="D281" s="50"/>
      <c r="E281" s="50"/>
      <c r="F281" s="50"/>
      <c r="G281" s="50"/>
      <c r="H281" s="57"/>
    </row>
  </sheetData>
  <mergeCells count="267">
    <mergeCell ref="D278:E278"/>
    <mergeCell ref="D264:E264"/>
    <mergeCell ref="D268:E268"/>
    <mergeCell ref="D269:E269"/>
    <mergeCell ref="D270:E270"/>
    <mergeCell ref="D271:E271"/>
    <mergeCell ref="A274:H274"/>
    <mergeCell ref="D275:E275"/>
    <mergeCell ref="D276:E276"/>
    <mergeCell ref="D277:E277"/>
    <mergeCell ref="B206:D206"/>
    <mergeCell ref="K206:M206"/>
    <mergeCell ref="T206:V206"/>
    <mergeCell ref="AC206:AE206"/>
    <mergeCell ref="A215:H215"/>
    <mergeCell ref="A247:H247"/>
    <mergeCell ref="A260:H260"/>
    <mergeCell ref="D262:E262"/>
    <mergeCell ref="D263:E263"/>
    <mergeCell ref="A204:A205"/>
    <mergeCell ref="B204:D204"/>
    <mergeCell ref="J204:J205"/>
    <mergeCell ref="K204:M204"/>
    <mergeCell ref="S204:S205"/>
    <mergeCell ref="T204:V204"/>
    <mergeCell ref="AB204:AB205"/>
    <mergeCell ref="AC204:AE204"/>
    <mergeCell ref="B205:D205"/>
    <mergeCell ref="K205:M205"/>
    <mergeCell ref="T205:V205"/>
    <mergeCell ref="AC205:AE205"/>
    <mergeCell ref="G168:H168"/>
    <mergeCell ref="P168:Q168"/>
    <mergeCell ref="Y168:Z168"/>
    <mergeCell ref="AH168:AI168"/>
    <mergeCell ref="A171:H171"/>
    <mergeCell ref="J171:Q171"/>
    <mergeCell ref="S171:Z171"/>
    <mergeCell ref="AB171:AI171"/>
    <mergeCell ref="B173:C173"/>
    <mergeCell ref="K173:L173"/>
    <mergeCell ref="T173:U173"/>
    <mergeCell ref="AC173:AD173"/>
    <mergeCell ref="E164:F164"/>
    <mergeCell ref="N164:O164"/>
    <mergeCell ref="W164:X164"/>
    <mergeCell ref="AF164:AG164"/>
    <mergeCell ref="G166:H166"/>
    <mergeCell ref="P166:Q166"/>
    <mergeCell ref="Y166:Z166"/>
    <mergeCell ref="AH166:AI166"/>
    <mergeCell ref="G167:H167"/>
    <mergeCell ref="P167:Q167"/>
    <mergeCell ref="Y167:Z167"/>
    <mergeCell ref="AH167:AI167"/>
    <mergeCell ref="E162:F162"/>
    <mergeCell ref="G162:H162"/>
    <mergeCell ref="N162:O162"/>
    <mergeCell ref="P162:Q162"/>
    <mergeCell ref="W162:X162"/>
    <mergeCell ref="Y162:Z162"/>
    <mergeCell ref="AF162:AG162"/>
    <mergeCell ref="AH162:AI162"/>
    <mergeCell ref="E163:F163"/>
    <mergeCell ref="G163:H163"/>
    <mergeCell ref="N163:O163"/>
    <mergeCell ref="P163:Q163"/>
    <mergeCell ref="W163:X163"/>
    <mergeCell ref="Y163:Z163"/>
    <mergeCell ref="AF163:AG163"/>
    <mergeCell ref="AH163:AI163"/>
    <mergeCell ref="A159:H159"/>
    <mergeCell ref="J159:Q159"/>
    <mergeCell ref="S159:Z159"/>
    <mergeCell ref="AB159:AI159"/>
    <mergeCell ref="E161:F161"/>
    <mergeCell ref="G161:H161"/>
    <mergeCell ref="N161:O161"/>
    <mergeCell ref="P161:Q161"/>
    <mergeCell ref="W161:X161"/>
    <mergeCell ref="Y161:Z161"/>
    <mergeCell ref="AF161:AG161"/>
    <mergeCell ref="AH161:AI161"/>
    <mergeCell ref="B155:F155"/>
    <mergeCell ref="K155:O155"/>
    <mergeCell ref="T155:X155"/>
    <mergeCell ref="AC155:AG155"/>
    <mergeCell ref="A156:F156"/>
    <mergeCell ref="J156:O156"/>
    <mergeCell ref="S156:X156"/>
    <mergeCell ref="AB156:AG156"/>
    <mergeCell ref="A157:F157"/>
    <mergeCell ref="J157:O157"/>
    <mergeCell ref="S157:X157"/>
    <mergeCell ref="AB157:AG157"/>
    <mergeCell ref="A152:F152"/>
    <mergeCell ref="J152:O152"/>
    <mergeCell ref="S152:X152"/>
    <mergeCell ref="AB152:AG152"/>
    <mergeCell ref="B153:F153"/>
    <mergeCell ref="K153:O153"/>
    <mergeCell ref="T153:X153"/>
    <mergeCell ref="AC153:AG153"/>
    <mergeCell ref="B154:F154"/>
    <mergeCell ref="K154:O154"/>
    <mergeCell ref="T154:X154"/>
    <mergeCell ref="AC154:AG154"/>
    <mergeCell ref="A149:F149"/>
    <mergeCell ref="J149:O149"/>
    <mergeCell ref="S149:X149"/>
    <mergeCell ref="AB149:AG149"/>
    <mergeCell ref="A150:F150"/>
    <mergeCell ref="J150:O150"/>
    <mergeCell ref="S150:X150"/>
    <mergeCell ref="AB150:AG150"/>
    <mergeCell ref="A151:F151"/>
    <mergeCell ref="J151:O151"/>
    <mergeCell ref="S151:X151"/>
    <mergeCell ref="AB151:AG151"/>
    <mergeCell ref="A146:F146"/>
    <mergeCell ref="J146:O146"/>
    <mergeCell ref="S146:X146"/>
    <mergeCell ref="AB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C142:AD142"/>
    <mergeCell ref="AE142:AF142"/>
    <mergeCell ref="AG142:AH142"/>
    <mergeCell ref="A144:F144"/>
    <mergeCell ref="J144:O144"/>
    <mergeCell ref="S144:X144"/>
    <mergeCell ref="AB144:AG144"/>
    <mergeCell ref="A145:F145"/>
    <mergeCell ref="J145:O145"/>
    <mergeCell ref="S145:X145"/>
    <mergeCell ref="AB145:AG145"/>
    <mergeCell ref="B142:C142"/>
    <mergeCell ref="D142:E142"/>
    <mergeCell ref="F142:G142"/>
    <mergeCell ref="K142:L142"/>
    <mergeCell ref="M142:N142"/>
    <mergeCell ref="O142:P142"/>
    <mergeCell ref="T142:U142"/>
    <mergeCell ref="V142:W142"/>
    <mergeCell ref="X142:Y142"/>
    <mergeCell ref="AC140:AD140"/>
    <mergeCell ref="AE140:AF140"/>
    <mergeCell ref="AG140:AH140"/>
    <mergeCell ref="B141:C141"/>
    <mergeCell ref="D141:E141"/>
    <mergeCell ref="F141:G141"/>
    <mergeCell ref="K141:L141"/>
    <mergeCell ref="M141:N141"/>
    <mergeCell ref="O141:P141"/>
    <mergeCell ref="T141:U141"/>
    <mergeCell ref="V141:W141"/>
    <mergeCell ref="X141:Y141"/>
    <mergeCell ref="AC141:AD141"/>
    <mergeCell ref="AE141:AF141"/>
    <mergeCell ref="AG141:AH141"/>
    <mergeCell ref="B140:C140"/>
    <mergeCell ref="D140:E140"/>
    <mergeCell ref="F140:G140"/>
    <mergeCell ref="K140:L140"/>
    <mergeCell ref="M140:N140"/>
    <mergeCell ref="O140:P140"/>
    <mergeCell ref="T140:U140"/>
    <mergeCell ref="V140:W140"/>
    <mergeCell ref="X140:Y140"/>
    <mergeCell ref="AC128:AD128"/>
    <mergeCell ref="AE128:AF128"/>
    <mergeCell ref="AG128:AH128"/>
    <mergeCell ref="B139:C139"/>
    <mergeCell ref="D139:E139"/>
    <mergeCell ref="F139:G139"/>
    <mergeCell ref="K139:L139"/>
    <mergeCell ref="M139:N139"/>
    <mergeCell ref="O139:P139"/>
    <mergeCell ref="T139:U139"/>
    <mergeCell ref="V139:W139"/>
    <mergeCell ref="X139:Y139"/>
    <mergeCell ref="AC139:AD139"/>
    <mergeCell ref="AE139:AF139"/>
    <mergeCell ref="AG139:AH139"/>
    <mergeCell ref="B128:C128"/>
    <mergeCell ref="D128:E128"/>
    <mergeCell ref="F128:G128"/>
    <mergeCell ref="K128:L128"/>
    <mergeCell ref="M128:N128"/>
    <mergeCell ref="O128:P128"/>
    <mergeCell ref="T128:U128"/>
    <mergeCell ref="V128:W128"/>
    <mergeCell ref="X128:Y128"/>
    <mergeCell ref="B123:D123"/>
    <mergeCell ref="E123:G123"/>
    <mergeCell ref="K123:M123"/>
    <mergeCell ref="N123:P123"/>
    <mergeCell ref="T123:V123"/>
    <mergeCell ref="W123:Y123"/>
    <mergeCell ref="AC123:AE123"/>
    <mergeCell ref="AF123:AH123"/>
    <mergeCell ref="A126:H126"/>
    <mergeCell ref="J126:Q126"/>
    <mergeCell ref="S126:Z126"/>
    <mergeCell ref="AB126:AI126"/>
    <mergeCell ref="B117:D117"/>
    <mergeCell ref="E117:G117"/>
    <mergeCell ref="K117:M117"/>
    <mergeCell ref="N117:P117"/>
    <mergeCell ref="T117:V117"/>
    <mergeCell ref="W117:Y117"/>
    <mergeCell ref="AC117:AE117"/>
    <mergeCell ref="AF117:AH117"/>
    <mergeCell ref="B120:D120"/>
    <mergeCell ref="E120:G120"/>
    <mergeCell ref="K120:M120"/>
    <mergeCell ref="N120:P120"/>
    <mergeCell ref="T120:V120"/>
    <mergeCell ref="W120:Y120"/>
    <mergeCell ref="AC120:AE120"/>
    <mergeCell ref="AF120:AH120"/>
    <mergeCell ref="A111:H111"/>
    <mergeCell ref="J111:Q111"/>
    <mergeCell ref="S111:Z111"/>
    <mergeCell ref="AB111:AI111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C53:E53"/>
    <mergeCell ref="A58:A59"/>
    <mergeCell ref="B58:D58"/>
    <mergeCell ref="B59:D59"/>
    <mergeCell ref="B60:D60"/>
    <mergeCell ref="A109:H109"/>
    <mergeCell ref="J109:Q109"/>
    <mergeCell ref="S109:Z109"/>
    <mergeCell ref="AB109:AI109"/>
    <mergeCell ref="C34:D34"/>
    <mergeCell ref="F34:G34"/>
    <mergeCell ref="C37:D37"/>
    <mergeCell ref="J38:K38"/>
    <mergeCell ref="C40:D40"/>
    <mergeCell ref="F40:G40"/>
    <mergeCell ref="C43:D43"/>
    <mergeCell ref="F43:G43"/>
    <mergeCell ref="C46:D46"/>
    <mergeCell ref="F46:G46"/>
    <mergeCell ref="A1:F1"/>
    <mergeCell ref="D7:E18"/>
    <mergeCell ref="A16:C18"/>
    <mergeCell ref="A19:D19"/>
    <mergeCell ref="A21:D21"/>
    <mergeCell ref="A24:H24"/>
    <mergeCell ref="A26:H26"/>
    <mergeCell ref="C31:D31"/>
    <mergeCell ref="F31:G31"/>
  </mergeCells>
  <dataValidations count="5">
    <dataValidation type="list" allowBlank="1" showInputMessage="1" showErrorMessage="1" sqref="B114 K114 T114 AC114" xr:uid="{00000000-0002-0000-0200-000000000000}">
      <formula1>$Y$136:$Y$145</formula1>
      <formula2>0</formula2>
    </dataValidation>
    <dataValidation type="list" allowBlank="1" showInputMessage="1" showErrorMessage="1" sqref="E114 N114 W114 AF114 A120 J120 S120 AB120" xr:uid="{00000000-0002-0000-0200-000001000000}">
      <formula1>$Z$19:$Z$20</formula1>
      <formula2>0</formula2>
    </dataValidation>
    <dataValidation type="list" allowBlank="1" showInputMessage="1" showErrorMessage="1" sqref="B117:D117 K117:M117 T117:V117 AC117:AE117" xr:uid="{00000000-0002-0000-0200-000002000000}">
      <formula1>$AP$117:$AP$118</formula1>
      <formula2>0</formula2>
    </dataValidation>
    <dataValidation type="list" allowBlank="1" showInputMessage="1" showErrorMessage="1" sqref="A153:A155" xr:uid="{00000000-0002-0000-0200-000003000000}">
      <formula1>#REF!</formula1>
      <formula2>0</formula2>
    </dataValidation>
    <dataValidation type="list" allowBlank="1" showInputMessage="1" showErrorMessage="1" sqref="J153:J155 S153:S155 AB153:AB155" xr:uid="{00000000-0002-0000-0200-000004000000}">
      <formula1>$AB$16:$AB$18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281"/>
  <sheetViews>
    <sheetView topLeftCell="A255" zoomScale="110" zoomScaleNormal="110" workbookViewId="0">
      <selection activeCell="F270" sqref="F270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2" customWidth="true" style="4" width="18.875"/>
    <col min="13" max="13" customWidth="true" style="4" width="24.25"/>
    <col min="14" max="14" customWidth="true" style="4" width="16.75"/>
    <col min="15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30" t="s">
        <v>14</v>
      </c>
      <c r="B1" s="330"/>
      <c r="C1" s="330"/>
      <c r="D1" s="330"/>
      <c r="E1" s="330"/>
      <c r="F1" s="330"/>
      <c r="J1" s="5"/>
    </row>
    <row r="2" spans="1:25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J2" s="5"/>
    </row>
    <row r="3" spans="1:25">
      <c r="A3" s="9"/>
      <c r="B3" s="9"/>
      <c r="C3" s="9"/>
      <c r="D3" s="9"/>
      <c r="E3" s="9"/>
      <c r="F3" s="6" t="s">
        <v>10</v>
      </c>
      <c r="J3" s="5"/>
    </row>
    <row r="4" spans="1:25">
      <c r="A4" s="6" t="s">
        <v>18</v>
      </c>
      <c r="B4" s="7">
        <f>B15+C15</f>
        <v>17199.995999999999</v>
      </c>
      <c r="C4" s="9"/>
      <c r="D4" s="9"/>
      <c r="E4" s="9"/>
      <c r="F4" s="6" t="s">
        <v>10</v>
      </c>
      <c r="H4" s="10"/>
      <c r="J4" s="5"/>
    </row>
    <row r="5" spans="1:25">
      <c r="A5" s="11"/>
      <c r="B5" s="11"/>
      <c r="C5" s="11"/>
      <c r="D5" s="11"/>
      <c r="E5" s="11"/>
      <c r="F5" s="11" t="s">
        <v>10</v>
      </c>
      <c r="J5" s="5"/>
    </row>
    <row r="6" spans="1:25">
      <c r="A6" s="11"/>
      <c r="B6" s="11"/>
      <c r="C6" s="11"/>
      <c r="D6" s="11"/>
      <c r="E6" s="11"/>
      <c r="F6" s="11"/>
      <c r="J6" s="5"/>
    </row>
    <row r="7" spans="1:25">
      <c r="A7" s="12" t="s">
        <v>19</v>
      </c>
      <c r="B7" s="12" t="s">
        <v>20</v>
      </c>
      <c r="C7" s="12" t="s">
        <v>16</v>
      </c>
      <c r="D7" s="331"/>
      <c r="E7" s="331"/>
      <c r="F7" s="11"/>
      <c r="J7" s="5"/>
    </row>
    <row r="8" spans="1:25">
      <c r="A8" s="13"/>
      <c r="B8" s="11" t="s">
        <v>10</v>
      </c>
      <c r="C8" s="11"/>
      <c r="D8" s="331"/>
      <c r="E8" s="331"/>
      <c r="F8" s="11"/>
      <c r="J8" s="5"/>
      <c r="L8" s="14" t="s">
        <v>17</v>
      </c>
      <c r="M8" s="11">
        <f>H13+H14</f>
        <v>0</v>
      </c>
    </row>
    <row r="9" spans="1:25">
      <c r="A9" s="12" t="s">
        <v>21</v>
      </c>
      <c r="B9" s="15">
        <v>14333.33</v>
      </c>
      <c r="C9" s="11">
        <f>B9*0.2</f>
        <v>2866.6660000000002</v>
      </c>
      <c r="D9" s="331"/>
      <c r="E9" s="331"/>
      <c r="F9" s="11"/>
      <c r="J9" s="5"/>
      <c r="L9" s="11"/>
      <c r="M9" s="11"/>
    </row>
    <row r="10" spans="1:25">
      <c r="A10" s="12"/>
      <c r="B10" s="11"/>
      <c r="C10" s="11"/>
      <c r="D10" s="331"/>
      <c r="E10" s="331"/>
      <c r="F10" s="11"/>
      <c r="J10" s="5"/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31"/>
      <c r="E11" s="331"/>
      <c r="F11" s="11"/>
      <c r="J11" s="5"/>
      <c r="L11" s="11"/>
      <c r="M11" s="11"/>
    </row>
    <row r="12" spans="1:25">
      <c r="A12" s="12"/>
      <c r="B12" s="11"/>
      <c r="C12" s="11"/>
      <c r="D12" s="331"/>
      <c r="E12" s="331"/>
      <c r="F12" s="11"/>
      <c r="J12" s="5"/>
    </row>
    <row r="13" spans="1:25">
      <c r="A13" s="12" t="s">
        <v>23</v>
      </c>
      <c r="B13" s="15">
        <v>0</v>
      </c>
      <c r="C13" s="11"/>
      <c r="D13" s="331"/>
      <c r="E13" s="331"/>
      <c r="F13" s="11"/>
      <c r="J13" s="5"/>
    </row>
    <row r="14" spans="1:25">
      <c r="A14" s="12"/>
      <c r="B14" s="11"/>
      <c r="C14" s="11"/>
      <c r="D14" s="331"/>
      <c r="E14" s="331"/>
      <c r="F14" s="11"/>
      <c r="J14" s="5" t="s">
        <v>24</v>
      </c>
    </row>
    <row r="15" spans="1:25">
      <c r="A15" s="12" t="s">
        <v>25</v>
      </c>
      <c r="B15" s="11">
        <f>SUM(B9:B13)</f>
        <v>14333.33</v>
      </c>
      <c r="C15" s="11">
        <f>SUM(C9:C13)</f>
        <v>2866.6660000000002</v>
      </c>
      <c r="D15" s="331"/>
      <c r="E15" s="331"/>
      <c r="F15" s="11"/>
      <c r="J15" s="17">
        <f>H15</f>
        <v>0</v>
      </c>
    </row>
    <row r="16" spans="1:25">
      <c r="A16" s="332"/>
      <c r="B16" s="332"/>
      <c r="C16" s="332"/>
      <c r="D16" s="331"/>
      <c r="E16" s="331"/>
      <c r="F16" s="11"/>
      <c r="J16" s="5"/>
      <c r="Y16" s="18" t="s">
        <v>26</v>
      </c>
    </row>
    <row r="17" spans="1:26">
      <c r="A17" s="332"/>
      <c r="B17" s="332"/>
      <c r="C17" s="332"/>
      <c r="D17" s="331"/>
      <c r="E17" s="331"/>
      <c r="F17" s="11"/>
      <c r="J17" s="19" t="s">
        <v>27</v>
      </c>
      <c r="Y17" s="18" t="s">
        <v>28</v>
      </c>
    </row>
    <row r="18" spans="1:26">
      <c r="A18" s="332"/>
      <c r="B18" s="332"/>
      <c r="C18" s="332"/>
      <c r="D18" s="331"/>
      <c r="E18" s="331"/>
      <c r="F18" s="11"/>
      <c r="J18" s="20">
        <v>40526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17199.995999999999</v>
      </c>
      <c r="F19" s="11"/>
      <c r="J19" s="5"/>
      <c r="Z19" s="5" t="s">
        <v>31</v>
      </c>
    </row>
    <row r="20" spans="1:26">
      <c r="A20" s="11"/>
      <c r="B20" s="11"/>
      <c r="C20" s="11"/>
      <c r="D20" s="11"/>
      <c r="E20" s="11"/>
      <c r="F20" s="11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14333.33</v>
      </c>
      <c r="F21" s="11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 ht="23.25">
      <c r="A26" s="335" t="s">
        <v>35</v>
      </c>
      <c r="B26" s="335"/>
      <c r="C26" s="335"/>
      <c r="D26" s="335"/>
      <c r="E26" s="335"/>
      <c r="F26" s="335"/>
      <c r="G26" s="335"/>
      <c r="H26" s="335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>
      <c r="A28" s="32" t="s">
        <v>36</v>
      </c>
      <c r="B28" s="28" t="s">
        <v>39</v>
      </c>
      <c r="C28" s="28"/>
      <c r="D28" s="28"/>
      <c r="E28" s="28"/>
      <c r="F28" s="28"/>
      <c r="G28" s="28"/>
      <c r="H28" s="29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/>
      <c r="I29" s="28"/>
      <c r="J29" s="25" t="s">
        <v>41</v>
      </c>
      <c r="K29" s="33" t="str">
        <f>A34</f>
        <v>12</v>
      </c>
    </row>
    <row r="30" spans="1:26">
      <c r="A30" s="32" t="s">
        <v>42</v>
      </c>
      <c r="B30" s="28"/>
      <c r="C30" s="34" t="s">
        <v>43</v>
      </c>
      <c r="D30" s="35"/>
      <c r="E30" s="28"/>
      <c r="F30" s="34" t="s">
        <v>44</v>
      </c>
      <c r="G30" s="35"/>
      <c r="H30" s="29"/>
      <c r="I30" s="28"/>
      <c r="J30" s="25" t="s">
        <v>45</v>
      </c>
      <c r="K30" s="33" t="str">
        <f>C34</f>
        <v>5000</v>
      </c>
    </row>
    <row r="31" spans="1:26">
      <c r="A31" s="36" t="s">
        <v>46</v>
      </c>
      <c r="B31" s="28"/>
      <c r="C31" s="336" t="s">
        <v>47</v>
      </c>
      <c r="D31" s="336"/>
      <c r="E31" s="28"/>
      <c r="F31" s="336"/>
      <c r="G31" s="336"/>
      <c r="H31" s="29"/>
      <c r="I31" s="28"/>
      <c r="J31" s="25" t="s">
        <v>48</v>
      </c>
      <c r="K31" s="37">
        <f>A43</f>
        <v>6000</v>
      </c>
    </row>
    <row r="32" spans="1:26" ht="36">
      <c r="A32" s="32"/>
      <c r="B32" s="38"/>
      <c r="C32" s="38"/>
      <c r="D32" s="38"/>
      <c r="E32" s="38"/>
      <c r="F32" s="38"/>
      <c r="G32" s="38"/>
      <c r="H32" s="29"/>
      <c r="I32" s="5"/>
      <c r="J32" s="25" t="s">
        <v>49</v>
      </c>
      <c r="K32" s="37">
        <f>A46</f>
        <v>0</v>
      </c>
      <c r="M32" s="39" t="s">
        <v>50</v>
      </c>
      <c r="N32" s="40" t="s">
        <v>51</v>
      </c>
    </row>
    <row r="33" spans="1:14">
      <c r="A33" s="32" t="s">
        <v>52</v>
      </c>
      <c r="B33" s="28"/>
      <c r="C33" s="41" t="s">
        <v>53</v>
      </c>
      <c r="D33" s="35"/>
      <c r="E33" s="28"/>
      <c r="F33" s="34" t="s">
        <v>54</v>
      </c>
      <c r="G33" s="35"/>
      <c r="H33" s="42"/>
      <c r="I33" s="5"/>
      <c r="J33" s="30"/>
      <c r="K33" s="43"/>
      <c r="M33" s="39"/>
      <c r="N33" s="13"/>
    </row>
    <row r="34" spans="1:14">
      <c r="A34" s="36" t="s">
        <v>393</v>
      </c>
      <c r="B34" s="28"/>
      <c r="C34" s="336" t="s">
        <v>397</v>
      </c>
      <c r="D34" s="336"/>
      <c r="E34" s="28"/>
      <c r="F34" s="336">
        <f>(A34/12)*C34</f>
        <v>5000</v>
      </c>
      <c r="G34" s="336"/>
      <c r="H34" s="42"/>
      <c r="I34" s="5"/>
      <c r="J34" s="5"/>
      <c r="K34" s="5"/>
      <c r="M34" s="39" t="s">
        <v>57</v>
      </c>
      <c r="N34" s="44" t="s">
        <v>58</v>
      </c>
    </row>
    <row r="35" spans="1:14">
      <c r="A35" s="27"/>
      <c r="B35" s="28"/>
      <c r="C35" s="28"/>
      <c r="E35" s="28"/>
      <c r="F35" s="38"/>
      <c r="G35" s="38"/>
      <c r="H35" s="42"/>
      <c r="I35" s="5"/>
      <c r="J35" s="45" t="s">
        <v>59</v>
      </c>
      <c r="K35" s="46">
        <v>6.5000000000000002E-2</v>
      </c>
      <c r="M35" s="39"/>
      <c r="N35" s="13">
        <v>6.5000000000000002E-2</v>
      </c>
    </row>
    <row r="36" spans="1:14">
      <c r="A36" s="32" t="s">
        <v>60</v>
      </c>
      <c r="B36" s="28"/>
      <c r="C36" s="34" t="s">
        <v>61</v>
      </c>
      <c r="D36" s="35"/>
      <c r="E36" s="28"/>
      <c r="F36" s="34" t="s">
        <v>62</v>
      </c>
      <c r="G36" s="35"/>
      <c r="H36" s="42"/>
      <c r="I36" s="5"/>
      <c r="J36" s="5" t="s">
        <v>63</v>
      </c>
      <c r="K36" s="5">
        <f>C40</f>
        <v>11</v>
      </c>
      <c r="M36" s="39" t="s">
        <v>64</v>
      </c>
      <c r="N36" s="47">
        <f>N32-N34</f>
        <v>22125</v>
      </c>
    </row>
    <row r="37" spans="1:14">
      <c r="A37" s="32">
        <f>E19</f>
        <v>17199.995999999999</v>
      </c>
      <c r="B37" s="28"/>
      <c r="C37" s="336" t="s">
        <v>398</v>
      </c>
      <c r="D37" s="336"/>
      <c r="E37" s="28"/>
      <c r="F37" s="38">
        <f>A37-C37</f>
        <v>16199.995999999999</v>
      </c>
      <c r="G37" s="38"/>
      <c r="H37" s="42"/>
      <c r="I37" s="5"/>
      <c r="J37" s="5"/>
      <c r="K37" s="5"/>
    </row>
    <row r="38" spans="1:14">
      <c r="A38" s="32"/>
      <c r="B38" s="38"/>
      <c r="C38" s="38"/>
      <c r="D38" s="38"/>
      <c r="E38" s="38"/>
      <c r="F38" s="38"/>
      <c r="G38" s="38"/>
      <c r="H38" s="42"/>
      <c r="J38" s="337" t="s">
        <v>65</v>
      </c>
      <c r="K38" s="337"/>
      <c r="L38" s="5"/>
    </row>
    <row r="39" spans="1:14">
      <c r="A39" s="32" t="s">
        <v>66</v>
      </c>
      <c r="B39" s="28"/>
      <c r="C39" s="35" t="s">
        <v>67</v>
      </c>
      <c r="D39" s="34"/>
      <c r="E39" s="28"/>
      <c r="F39" s="34" t="s">
        <v>68</v>
      </c>
      <c r="G39" s="35"/>
      <c r="H39" s="42"/>
      <c r="J39" s="5" t="s">
        <v>69</v>
      </c>
      <c r="K39" s="5" t="str">
        <f>F40</f>
        <v>500</v>
      </c>
      <c r="L39" s="5"/>
    </row>
    <row r="40" spans="1:14">
      <c r="A40" s="36" t="s">
        <v>393</v>
      </c>
      <c r="B40" s="28"/>
      <c r="C40" s="338">
        <f>A34-1</f>
        <v>11</v>
      </c>
      <c r="D40" s="338"/>
      <c r="E40" s="28"/>
      <c r="F40" s="336" t="s">
        <v>390</v>
      </c>
      <c r="G40" s="336"/>
      <c r="H40" s="42"/>
      <c r="J40" s="5" t="s">
        <v>71</v>
      </c>
      <c r="K40" s="5">
        <f>C15</f>
        <v>2866.6660000000002</v>
      </c>
      <c r="L40" s="5"/>
    </row>
    <row r="41" spans="1:14">
      <c r="A41" s="32"/>
      <c r="B41" s="38"/>
      <c r="C41" s="38"/>
      <c r="D41" s="38"/>
      <c r="E41" s="38"/>
      <c r="F41" s="38"/>
      <c r="G41" s="38"/>
      <c r="H41" s="42"/>
      <c r="J41" s="5" t="s">
        <v>72</v>
      </c>
      <c r="K41" s="5">
        <f>IF(F43="Yes",A46,0)</f>
        <v>0</v>
      </c>
      <c r="L41" s="5"/>
    </row>
    <row r="42" spans="1:14">
      <c r="A42" s="32" t="s">
        <v>73</v>
      </c>
      <c r="B42" s="28"/>
      <c r="C42" s="34" t="s">
        <v>74</v>
      </c>
      <c r="D42" s="35"/>
      <c r="E42" s="28"/>
      <c r="F42" s="34" t="s">
        <v>75</v>
      </c>
      <c r="G42" s="35"/>
      <c r="H42" s="42"/>
      <c r="J42" s="5" t="s">
        <v>76</v>
      </c>
      <c r="K42" s="5">
        <f>A43</f>
        <v>6000</v>
      </c>
      <c r="L42" s="5"/>
    </row>
    <row r="43" spans="1:14">
      <c r="A43" s="36">
        <v>6000</v>
      </c>
      <c r="B43" s="28"/>
      <c r="C43" s="336">
        <v>20</v>
      </c>
      <c r="D43" s="336"/>
      <c r="E43" s="28"/>
      <c r="F43" s="336" t="s">
        <v>31</v>
      </c>
      <c r="G43" s="336"/>
      <c r="H43" s="42"/>
      <c r="J43" s="5" t="s">
        <v>77</v>
      </c>
      <c r="K43" s="5" t="str">
        <f>A34</f>
        <v>12</v>
      </c>
      <c r="L43" s="5"/>
    </row>
    <row r="44" spans="1:14">
      <c r="A44" s="32"/>
      <c r="B44" s="38"/>
      <c r="C44" s="38"/>
      <c r="D44" s="38"/>
      <c r="E44" s="38"/>
      <c r="F44" s="38"/>
      <c r="G44" s="38"/>
      <c r="H44" s="42"/>
      <c r="J44" s="5" t="s">
        <v>78</v>
      </c>
      <c r="K44" s="5">
        <f>((K40-(((K42/(1.2))*0.2)))/(K43))</f>
        <v>155.55550000000002</v>
      </c>
      <c r="L44" s="5"/>
    </row>
    <row r="45" spans="1:14">
      <c r="A45" s="32" t="s">
        <v>79</v>
      </c>
      <c r="B45" s="28"/>
      <c r="C45" s="34" t="s">
        <v>80</v>
      </c>
      <c r="D45" s="35"/>
      <c r="E45" s="28"/>
      <c r="F45" s="34" t="s">
        <v>81</v>
      </c>
      <c r="G45" s="35"/>
      <c r="H45" s="42"/>
      <c r="J45" s="5" t="s">
        <v>82</v>
      </c>
      <c r="K45" s="5">
        <f>(K39-K44)+K41</f>
        <v>344.44449999999995</v>
      </c>
      <c r="L45" s="5"/>
    </row>
    <row r="46" spans="1:14">
      <c r="A46" s="36">
        <v>0</v>
      </c>
      <c r="B46" s="28"/>
      <c r="C46" s="336">
        <v>1</v>
      </c>
      <c r="D46" s="336"/>
      <c r="E46" s="28"/>
      <c r="F46" s="336">
        <v>1</v>
      </c>
      <c r="G46" s="336"/>
      <c r="H46" s="42"/>
      <c r="J46" s="5" t="s">
        <v>83</v>
      </c>
      <c r="K46" s="5">
        <v>0</v>
      </c>
      <c r="L46" s="5"/>
    </row>
    <row r="47" spans="1:14">
      <c r="A47" s="32"/>
      <c r="B47" s="38"/>
      <c r="C47" s="38"/>
      <c r="D47" s="38"/>
      <c r="E47" s="38"/>
      <c r="F47" s="38"/>
      <c r="G47" s="38"/>
      <c r="H47" s="42"/>
      <c r="J47" s="5" t="s">
        <v>84</v>
      </c>
      <c r="K47" s="5">
        <f>A40/K29</f>
        <v>1</v>
      </c>
      <c r="L47" s="5"/>
    </row>
    <row r="48" spans="1:14">
      <c r="A48" s="32" t="s">
        <v>85</v>
      </c>
      <c r="B48" s="38"/>
      <c r="C48" s="38"/>
      <c r="D48" s="38"/>
      <c r="E48" s="38"/>
      <c r="F48" s="38"/>
      <c r="G48" s="38"/>
      <c r="H48" s="42"/>
      <c r="J48" s="48" t="s">
        <v>86</v>
      </c>
      <c r="K48" s="5">
        <f>C43/A34</f>
        <v>1.6666666666666667</v>
      </c>
      <c r="L48" s="5"/>
    </row>
    <row r="49" spans="1:12">
      <c r="A49" s="32">
        <f>C46+F46</f>
        <v>2</v>
      </c>
      <c r="B49" s="38"/>
      <c r="C49" s="38"/>
      <c r="D49" s="38"/>
      <c r="E49" s="28"/>
      <c r="F49" s="38"/>
      <c r="G49" s="38"/>
      <c r="H49" s="42"/>
      <c r="J49" s="48" t="s">
        <v>87</v>
      </c>
      <c r="K49" s="5">
        <f>K45+K48+K47</f>
        <v>347.11116666666663</v>
      </c>
      <c r="L49" s="5"/>
    </row>
    <row r="50" spans="1:12">
      <c r="A50" s="49"/>
      <c r="B50" s="50"/>
      <c r="C50" s="50"/>
      <c r="D50" s="50"/>
      <c r="E50" s="50"/>
      <c r="F50" s="50"/>
      <c r="G50" s="51"/>
      <c r="H50" s="52"/>
      <c r="I50" s="5"/>
      <c r="J50" s="48" t="s">
        <v>88</v>
      </c>
      <c r="K50" s="5">
        <f>K49-A46</f>
        <v>347.11116666666663</v>
      </c>
    </row>
    <row r="51" spans="1:12" ht="19.5" customHeight="1">
      <c r="A51" s="22"/>
      <c r="B51" s="23"/>
      <c r="C51" s="23"/>
      <c r="D51" s="23"/>
      <c r="E51" s="23"/>
      <c r="F51" s="23"/>
      <c r="G51" s="23"/>
      <c r="H51" s="24"/>
      <c r="I51" s="5"/>
      <c r="J51" s="5"/>
      <c r="K51" s="5"/>
    </row>
    <row r="52" spans="1:12">
      <c r="A52" s="53" t="s">
        <v>89</v>
      </c>
      <c r="B52" s="28"/>
      <c r="C52" s="28" t="s">
        <v>90</v>
      </c>
      <c r="D52" s="28"/>
      <c r="E52" s="28"/>
      <c r="F52" s="28"/>
      <c r="G52" s="28"/>
      <c r="H52" s="29"/>
      <c r="I52" s="5"/>
      <c r="J52" s="5"/>
      <c r="K52" s="5"/>
    </row>
    <row r="53" spans="1:12">
      <c r="A53" s="54">
        <v>1</v>
      </c>
      <c r="B53" s="28"/>
      <c r="C53" s="339">
        <v>1</v>
      </c>
      <c r="D53" s="339"/>
      <c r="E53" s="339"/>
      <c r="F53" s="28"/>
      <c r="G53" s="28"/>
      <c r="H53" s="29"/>
      <c r="I53" s="5"/>
      <c r="J53" s="55" t="s">
        <v>91</v>
      </c>
      <c r="K53" s="56" t="s">
        <v>407</v>
      </c>
    </row>
    <row r="54" spans="1:12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12">
      <c r="A55" s="22"/>
      <c r="B55" s="23"/>
      <c r="C55" s="23"/>
      <c r="D55" s="23"/>
      <c r="E55" s="23"/>
      <c r="F55" s="23"/>
      <c r="G55" s="23"/>
      <c r="H55" s="24"/>
      <c r="I55" s="5"/>
      <c r="J55" s="5" t="s">
        <v>92</v>
      </c>
      <c r="K55" s="5">
        <f>A46*A34</f>
        <v>0</v>
      </c>
    </row>
    <row r="56" spans="1:12">
      <c r="A56" s="58" t="s">
        <v>93</v>
      </c>
      <c r="B56" s="28"/>
      <c r="C56" s="28"/>
      <c r="D56" s="59"/>
      <c r="E56" s="59"/>
      <c r="F56" s="59"/>
      <c r="G56" s="59"/>
      <c r="H56" s="60"/>
      <c r="I56" s="5"/>
      <c r="J56" s="5"/>
      <c r="K56" s="5"/>
    </row>
    <row r="57" spans="1:12" ht="19.5" customHeight="1">
      <c r="A57" s="27"/>
      <c r="B57" s="61"/>
      <c r="C57" s="61"/>
      <c r="D57" s="28"/>
      <c r="E57" s="28"/>
      <c r="F57" s="28"/>
      <c r="G57" s="28"/>
      <c r="H57" s="29"/>
      <c r="I57" s="5"/>
      <c r="J57" s="5"/>
      <c r="K57" s="5"/>
    </row>
    <row r="58" spans="1:12" ht="21">
      <c r="A58" s="340" t="s">
        <v>94</v>
      </c>
      <c r="B58" s="341" t="s">
        <v>95</v>
      </c>
      <c r="C58" s="341"/>
      <c r="D58" s="341"/>
      <c r="E58" s="28"/>
      <c r="F58" s="28"/>
      <c r="G58" s="28"/>
      <c r="H58" s="29"/>
      <c r="I58" s="5"/>
      <c r="J58" s="5"/>
      <c r="K58" s="5"/>
    </row>
    <row r="59" spans="1:12">
      <c r="A59" s="340"/>
      <c r="B59" s="342" t="str">
        <f>K30</f>
        <v>5000</v>
      </c>
      <c r="C59" s="342"/>
      <c r="D59" s="342"/>
      <c r="E59" s="28"/>
      <c r="F59" s="28"/>
      <c r="G59" s="28"/>
      <c r="H59" s="29"/>
      <c r="I59" s="5"/>
      <c r="J59" s="5"/>
      <c r="K59" s="5"/>
    </row>
    <row r="60" spans="1:12">
      <c r="A60" s="62" t="str">
        <f>K29</f>
        <v>12</v>
      </c>
      <c r="B60" s="343">
        <f>K49</f>
        <v>347.11116666666663</v>
      </c>
      <c r="C60" s="343"/>
      <c r="D60" s="343"/>
      <c r="E60" s="28"/>
      <c r="F60" s="28"/>
      <c r="G60" s="28"/>
      <c r="H60" s="29"/>
      <c r="I60" s="5"/>
      <c r="J60" s="5"/>
      <c r="K60" s="5"/>
    </row>
    <row r="61" spans="1:12">
      <c r="A61" s="27"/>
      <c r="B61" s="28"/>
      <c r="C61" s="28"/>
      <c r="D61" s="28"/>
      <c r="E61" s="28"/>
      <c r="F61" s="28"/>
      <c r="G61" s="28"/>
      <c r="H61" s="29"/>
      <c r="I61" s="5"/>
      <c r="J61" s="5"/>
      <c r="K61" s="5"/>
    </row>
    <row r="62" spans="1:12">
      <c r="A62" s="49"/>
      <c r="B62" s="50" t="s">
        <v>10</v>
      </c>
      <c r="C62" s="50"/>
      <c r="D62" s="50"/>
      <c r="E62" s="50"/>
      <c r="F62" s="50"/>
      <c r="G62" s="50"/>
      <c r="H62" s="57"/>
      <c r="I62" s="5"/>
      <c r="J62" s="5"/>
      <c r="K62" s="5"/>
    </row>
    <row r="63" spans="1:12">
      <c r="A63" s="28"/>
      <c r="B63" s="28" t="s">
        <v>10</v>
      </c>
      <c r="C63" s="28"/>
      <c r="D63" s="28"/>
      <c r="E63" s="28"/>
      <c r="F63" s="28"/>
      <c r="G63" s="28"/>
      <c r="H63" s="28"/>
      <c r="I63" s="5"/>
      <c r="J63" s="5"/>
      <c r="K63" s="5"/>
    </row>
    <row r="64" spans="1:12">
      <c r="A64" s="28"/>
      <c r="B64" s="28" t="s">
        <v>10</v>
      </c>
      <c r="C64" s="28"/>
      <c r="D64" s="28"/>
      <c r="E64" s="28"/>
      <c r="F64" s="28"/>
      <c r="G64" s="28"/>
      <c r="H64" s="28"/>
      <c r="I64" s="5"/>
      <c r="J64" s="5"/>
      <c r="K64" s="5"/>
    </row>
    <row r="65" spans="1:35">
      <c r="A65" s="21"/>
      <c r="B65" s="21"/>
      <c r="C65" s="21"/>
      <c r="D65" s="21"/>
      <c r="E65" s="21"/>
      <c r="F65" s="21"/>
      <c r="G65" s="21"/>
      <c r="H65" s="21"/>
      <c r="J65" s="5"/>
      <c r="K65" s="5"/>
    </row>
    <row r="66" spans="1:35">
      <c r="A66" s="22"/>
      <c r="B66" s="23" t="s">
        <v>10</v>
      </c>
      <c r="C66" s="23"/>
      <c r="D66" s="23"/>
      <c r="E66" s="63"/>
      <c r="F66" s="63"/>
      <c r="G66" s="63"/>
      <c r="H66" s="24"/>
      <c r="J66" s="22"/>
      <c r="K66" s="23"/>
      <c r="L66" s="23"/>
      <c r="M66" s="23"/>
      <c r="N66" s="63"/>
      <c r="O66" s="63"/>
      <c r="P66" s="63"/>
      <c r="Q66" s="24"/>
      <c r="S66" s="22"/>
      <c r="T66" s="23"/>
      <c r="U66" s="23"/>
      <c r="V66" s="23"/>
      <c r="W66" s="63"/>
      <c r="X66" s="63"/>
      <c r="Y66" s="63"/>
      <c r="Z66" s="24"/>
      <c r="AB66" s="22"/>
      <c r="AC66" s="23"/>
      <c r="AD66" s="23"/>
      <c r="AE66" s="23"/>
      <c r="AF66" s="63"/>
      <c r="AG66" s="63"/>
      <c r="AH66" s="63"/>
      <c r="AI66" s="24"/>
    </row>
    <row r="67" spans="1:35">
      <c r="A67" s="27" t="s">
        <v>96</v>
      </c>
      <c r="B67" s="28">
        <v>1</v>
      </c>
      <c r="C67" s="28"/>
      <c r="D67" s="28"/>
      <c r="E67" s="21"/>
      <c r="F67" s="21"/>
      <c r="G67" s="21"/>
      <c r="H67" s="29"/>
      <c r="J67" s="27" t="s">
        <v>96</v>
      </c>
      <c r="K67" s="28">
        <v>1</v>
      </c>
      <c r="L67" s="28"/>
      <c r="M67" s="28"/>
      <c r="N67" s="21"/>
      <c r="O67" s="21"/>
      <c r="P67" s="21"/>
      <c r="Q67" s="29"/>
      <c r="S67" s="27" t="s">
        <v>96</v>
      </c>
      <c r="T67" s="28">
        <v>1</v>
      </c>
      <c r="U67" s="28"/>
      <c r="V67" s="28"/>
      <c r="W67" s="21"/>
      <c r="X67" s="21"/>
      <c r="Y67" s="21"/>
      <c r="Z67" s="29"/>
      <c r="AB67" s="27" t="s">
        <v>96</v>
      </c>
      <c r="AC67" s="28">
        <v>1</v>
      </c>
      <c r="AD67" s="28"/>
      <c r="AE67" s="28"/>
      <c r="AF67" s="21"/>
      <c r="AG67" s="21"/>
      <c r="AH67" s="21"/>
      <c r="AI67" s="29"/>
    </row>
    <row r="68" spans="1:35">
      <c r="A68" s="27" t="s">
        <v>97</v>
      </c>
      <c r="B68" s="28">
        <f>K29-B67</f>
        <v>11</v>
      </c>
      <c r="C68" s="28"/>
      <c r="D68" s="28"/>
      <c r="E68" s="21"/>
      <c r="F68" s="21"/>
      <c r="G68" s="21"/>
      <c r="H68" s="29"/>
      <c r="J68" s="27" t="s">
        <v>97</v>
      </c>
      <c r="K68" s="28">
        <f>K29-K67</f>
        <v>11</v>
      </c>
      <c r="L68" s="28"/>
      <c r="M68" s="28"/>
      <c r="N68" s="21"/>
      <c r="O68" s="21"/>
      <c r="P68" s="21"/>
      <c r="Q68" s="29"/>
      <c r="S68" s="27" t="s">
        <v>97</v>
      </c>
      <c r="T68" s="28">
        <f>K29-T67</f>
        <v>11</v>
      </c>
      <c r="U68" s="28"/>
      <c r="V68" s="28"/>
      <c r="W68" s="21"/>
      <c r="X68" s="21"/>
      <c r="Y68" s="21"/>
      <c r="Z68" s="29"/>
      <c r="AB68" s="27" t="s">
        <v>97</v>
      </c>
      <c r="AC68" s="28">
        <f>K29-AC67</f>
        <v>11</v>
      </c>
      <c r="AD68" s="28"/>
      <c r="AE68" s="28"/>
      <c r="AF68" s="21"/>
      <c r="AG68" s="21"/>
      <c r="AH68" s="21"/>
      <c r="AI68" s="29"/>
    </row>
    <row r="69" spans="1:35">
      <c r="A69" s="64" t="s">
        <v>98</v>
      </c>
      <c r="B69" s="65">
        <v>10</v>
      </c>
      <c r="C69" s="28"/>
      <c r="D69" s="28"/>
      <c r="E69" s="21"/>
      <c r="F69" s="21"/>
      <c r="G69" s="21"/>
      <c r="H69" s="29"/>
      <c r="J69" s="64" t="s">
        <v>98</v>
      </c>
      <c r="K69" s="65">
        <v>20</v>
      </c>
      <c r="L69" s="28"/>
      <c r="M69" s="28"/>
      <c r="N69" s="21"/>
      <c r="O69" s="21"/>
      <c r="P69" s="21"/>
      <c r="Q69" s="29"/>
      <c r="S69" s="64" t="s">
        <v>98</v>
      </c>
      <c r="T69" s="65">
        <v>10</v>
      </c>
      <c r="U69" s="28"/>
      <c r="V69" s="28"/>
      <c r="W69" s="21"/>
      <c r="X69" s="21"/>
      <c r="Y69" s="21"/>
      <c r="Z69" s="29"/>
      <c r="AB69" s="64" t="s">
        <v>98</v>
      </c>
      <c r="AC69" s="65">
        <v>10</v>
      </c>
      <c r="AD69" s="28"/>
      <c r="AE69" s="28"/>
      <c r="AF69" s="21"/>
      <c r="AG69" s="21"/>
      <c r="AH69" s="21"/>
      <c r="AI69" s="29"/>
    </row>
    <row r="70" spans="1:35">
      <c r="A70" s="27" t="s">
        <v>27</v>
      </c>
      <c r="B70" s="28">
        <f>J18</f>
        <v>40526</v>
      </c>
      <c r="C70" s="28"/>
      <c r="D70" s="28"/>
      <c r="E70" s="21"/>
      <c r="F70" s="21"/>
      <c r="G70" s="21"/>
      <c r="H70" s="29"/>
      <c r="J70" s="27" t="s">
        <v>27</v>
      </c>
      <c r="K70" s="28">
        <f>J18</f>
        <v>40526</v>
      </c>
      <c r="L70" s="28"/>
      <c r="M70" s="28"/>
      <c r="N70" s="21"/>
      <c r="O70" s="21"/>
      <c r="P70" s="21"/>
      <c r="Q70" s="29"/>
      <c r="S70" s="27" t="s">
        <v>27</v>
      </c>
      <c r="T70" s="28">
        <f>J18</f>
        <v>40526</v>
      </c>
      <c r="U70" s="28"/>
      <c r="V70" s="28"/>
      <c r="W70" s="21"/>
      <c r="X70" s="21"/>
      <c r="Y70" s="21"/>
      <c r="Z70" s="29"/>
      <c r="AB70" s="27" t="s">
        <v>27</v>
      </c>
      <c r="AC70" s="28">
        <f>J18</f>
        <v>40526</v>
      </c>
      <c r="AD70" s="28"/>
      <c r="AE70" s="28"/>
      <c r="AF70" s="21"/>
      <c r="AG70" s="21"/>
      <c r="AH70" s="21"/>
      <c r="AI70" s="29"/>
    </row>
    <row r="71" spans="1:35">
      <c r="A71" s="66" t="s">
        <v>99</v>
      </c>
      <c r="B71" s="67">
        <v>1.0500000000000001E-2</v>
      </c>
      <c r="C71" s="28"/>
      <c r="D71" s="28"/>
      <c r="E71" s="21"/>
      <c r="F71" s="21"/>
      <c r="G71" s="21"/>
      <c r="H71" s="29"/>
      <c r="J71" s="66" t="s">
        <v>99</v>
      </c>
      <c r="K71" s="67">
        <v>0.06</v>
      </c>
      <c r="L71" s="28"/>
      <c r="M71" s="28"/>
      <c r="N71" s="21"/>
      <c r="O71" s="21"/>
      <c r="P71" s="21"/>
      <c r="Q71" s="29"/>
      <c r="S71" s="66" t="s">
        <v>99</v>
      </c>
      <c r="T71" s="67">
        <f>IF(AND(K29&gt;=12,K29&lt;=24),0.0105,IF(AND(K29&gt;=48),-0.0075,0))</f>
        <v>-7.4999999999999997E-3</v>
      </c>
      <c r="U71" s="28"/>
      <c r="V71" s="28"/>
      <c r="W71" s="21"/>
      <c r="X71" s="21"/>
      <c r="Y71" s="21"/>
      <c r="Z71" s="29"/>
      <c r="AB71" s="66" t="s">
        <v>99</v>
      </c>
      <c r="AC71" s="67">
        <f>IF(AND(K29&gt;=12,K29&lt;=24),0.0105,IF(AND(K29&gt;=48),-0.0075,0))</f>
        <v>-7.4999999999999997E-3</v>
      </c>
      <c r="AD71" s="28"/>
      <c r="AE71" s="28"/>
      <c r="AF71" s="21"/>
      <c r="AG71" s="21"/>
      <c r="AH71" s="21"/>
      <c r="AI71" s="29"/>
    </row>
    <row r="72" spans="1:35">
      <c r="A72" s="68" t="s">
        <v>100</v>
      </c>
      <c r="B72" s="69">
        <v>6.5000000000000002E-2</v>
      </c>
      <c r="C72" s="28"/>
      <c r="D72" s="28"/>
      <c r="E72" s="21"/>
      <c r="F72" s="21"/>
      <c r="G72" s="21"/>
      <c r="H72" s="29"/>
      <c r="J72" s="68" t="s">
        <v>100</v>
      </c>
      <c r="K72" s="69">
        <v>0.08</v>
      </c>
      <c r="L72" s="28"/>
      <c r="M72" s="28"/>
      <c r="N72" s="21"/>
      <c r="O72" s="21"/>
      <c r="P72" s="21"/>
      <c r="Q72" s="29"/>
      <c r="S72" s="68" t="s">
        <v>100</v>
      </c>
      <c r="T72" s="69">
        <v>5.8999999999999997E-2</v>
      </c>
      <c r="U72" s="28"/>
      <c r="V72" s="28"/>
      <c r="W72" s="21"/>
      <c r="X72" s="21"/>
      <c r="Y72" s="21"/>
      <c r="Z72" s="29"/>
      <c r="AB72" s="68" t="s">
        <v>100</v>
      </c>
      <c r="AC72" s="69">
        <v>5.8999999999999997E-2</v>
      </c>
      <c r="AD72" s="28"/>
      <c r="AE72" s="28"/>
      <c r="AF72" s="21"/>
      <c r="AG72" s="21"/>
      <c r="AH72" s="21"/>
      <c r="AI72" s="29"/>
    </row>
    <row r="73" spans="1:35">
      <c r="A73" s="70" t="s">
        <v>101</v>
      </c>
      <c r="B73" s="71">
        <v>0.05</v>
      </c>
      <c r="C73" s="28"/>
      <c r="D73" s="28"/>
      <c r="E73" s="21"/>
      <c r="F73" s="21"/>
      <c r="G73" s="21"/>
      <c r="H73" s="29"/>
      <c r="J73" s="70" t="s">
        <v>101</v>
      </c>
      <c r="K73" s="71">
        <v>0.1</v>
      </c>
      <c r="L73" s="28"/>
      <c r="M73" s="28"/>
      <c r="N73" s="21"/>
      <c r="O73" s="21"/>
      <c r="P73" s="21"/>
      <c r="Q73" s="29"/>
      <c r="S73" s="70" t="s">
        <v>101</v>
      </c>
      <c r="T73" s="71">
        <f>IF(T117=AP117,2.4%,7.2%)</f>
        <v>7.2000000000000008E-2</v>
      </c>
      <c r="U73" s="28"/>
      <c r="V73" s="28"/>
      <c r="W73" s="21"/>
      <c r="X73" s="21"/>
      <c r="Y73" s="21"/>
      <c r="Z73" s="29"/>
      <c r="AB73" s="70" t="s">
        <v>101</v>
      </c>
      <c r="AC73" s="71">
        <f>IF(AC117=AP117,2.4%,7.2%)</f>
        <v>7.2000000000000008E-2</v>
      </c>
      <c r="AD73" s="28"/>
      <c r="AE73" s="28"/>
      <c r="AF73" s="21"/>
      <c r="AG73" s="21"/>
      <c r="AH73" s="21"/>
      <c r="AI73" s="29"/>
    </row>
    <row r="74" spans="1:35">
      <c r="A74" s="49" t="s">
        <v>102</v>
      </c>
      <c r="B74" s="57">
        <f>(B98*B68)-(K47*K29)</f>
        <v>10461.541273976631</v>
      </c>
      <c r="C74" s="28"/>
      <c r="D74" s="28"/>
      <c r="E74" s="21"/>
      <c r="F74" s="21"/>
      <c r="G74" s="21"/>
      <c r="H74" s="29"/>
      <c r="J74" s="49" t="s">
        <v>102</v>
      </c>
      <c r="K74" s="57" t="e">
        <f>(K98*K68)-(K47*K29)</f>
        <v>#VALUE!</v>
      </c>
      <c r="L74" s="28"/>
      <c r="M74" s="28"/>
      <c r="N74" s="21"/>
      <c r="O74" s="21"/>
      <c r="P74" s="21"/>
      <c r="Q74" s="29"/>
      <c r="S74" s="49" t="s">
        <v>102</v>
      </c>
      <c r="T74" s="57" t="e">
        <f>(T98*T68)-(K47*K29)</f>
        <v>#VALUE!</v>
      </c>
      <c r="U74" s="28"/>
      <c r="V74" s="28"/>
      <c r="W74" s="21"/>
      <c r="X74" s="21"/>
      <c r="Y74" s="21"/>
      <c r="Z74" s="29"/>
      <c r="AB74" s="49" t="s">
        <v>102</v>
      </c>
      <c r="AC74" s="57" t="e">
        <f>(AC98*AC68)-(K47*K29)</f>
        <v>#VALUE!</v>
      </c>
      <c r="AD74" s="28"/>
      <c r="AE74" s="28"/>
      <c r="AF74" s="21"/>
      <c r="AG74" s="21"/>
      <c r="AH74" s="21"/>
      <c r="AI74" s="29"/>
    </row>
    <row r="75" spans="1:35">
      <c r="A75" s="66" t="s">
        <v>103</v>
      </c>
      <c r="B75" s="67">
        <v>0.02</v>
      </c>
      <c r="C75" s="28"/>
      <c r="D75" s="28"/>
      <c r="E75" s="21"/>
      <c r="F75" s="21"/>
      <c r="G75" s="21"/>
      <c r="H75" s="29"/>
      <c r="J75" s="66" t="s">
        <v>103</v>
      </c>
      <c r="K75" s="67">
        <v>0.05</v>
      </c>
      <c r="L75" s="28"/>
      <c r="M75" s="28"/>
      <c r="N75" s="21"/>
      <c r="O75" s="21"/>
      <c r="P75" s="21"/>
      <c r="Q75" s="29"/>
      <c r="S75" s="66" t="s">
        <v>103</v>
      </c>
      <c r="T75" s="67">
        <v>5.0000000000000001E-3</v>
      </c>
      <c r="U75" s="28"/>
      <c r="V75" s="28"/>
      <c r="W75" s="21"/>
      <c r="X75" s="21"/>
      <c r="Y75" s="21"/>
      <c r="Z75" s="29"/>
      <c r="AB75" s="66" t="s">
        <v>103</v>
      </c>
      <c r="AC75" s="67">
        <v>5.0000000000000001E-3</v>
      </c>
      <c r="AD75" s="28"/>
      <c r="AE75" s="28"/>
      <c r="AF75" s="21"/>
      <c r="AG75" s="21"/>
      <c r="AH75" s="21"/>
      <c r="AI75" s="29"/>
    </row>
    <row r="76" spans="1:35">
      <c r="A76" s="27"/>
      <c r="B76" s="72">
        <f>B75</f>
        <v>0.02</v>
      </c>
      <c r="C76" s="28"/>
      <c r="D76" s="28"/>
      <c r="E76" s="21"/>
      <c r="F76" s="21"/>
      <c r="G76" s="21"/>
      <c r="H76" s="29"/>
      <c r="J76" s="27" t="s">
        <v>104</v>
      </c>
      <c r="K76" s="72">
        <f>K75+(K75*0.25*(K29/12-1))</f>
        <v>0.05</v>
      </c>
      <c r="L76" s="28"/>
      <c r="M76" s="28"/>
      <c r="N76" s="21"/>
      <c r="O76" s="21"/>
      <c r="P76" s="21"/>
      <c r="Q76" s="29"/>
      <c r="S76" s="27" t="s">
        <v>104</v>
      </c>
      <c r="T76" s="72">
        <f>T75+(T75*0.5*(K29/12-1))</f>
        <v>5.0000000000000001E-3</v>
      </c>
      <c r="U76" s="28"/>
      <c r="V76" s="28"/>
      <c r="W76" s="21"/>
      <c r="X76" s="21"/>
      <c r="Y76" s="21"/>
      <c r="Z76" s="29"/>
      <c r="AB76" s="27" t="s">
        <v>104</v>
      </c>
      <c r="AC76" s="72">
        <f>AC75+(AC75*0.5*(K29/12-1))</f>
        <v>5.0000000000000001E-3</v>
      </c>
      <c r="AD76" s="28"/>
      <c r="AE76" s="28"/>
      <c r="AF76" s="21"/>
      <c r="AG76" s="21"/>
      <c r="AH76" s="21"/>
      <c r="AI76" s="29"/>
    </row>
    <row r="77" spans="1:35">
      <c r="A77" s="49" t="s">
        <v>105</v>
      </c>
      <c r="B77" s="57">
        <f>(G167*B76)</f>
        <v>416.90000000000003</v>
      </c>
      <c r="C77" s="28"/>
      <c r="D77" s="28"/>
      <c r="E77" s="21"/>
      <c r="F77" s="21"/>
      <c r="G77" s="21"/>
      <c r="H77" s="29"/>
      <c r="J77" s="49" t="s">
        <v>105</v>
      </c>
      <c r="K77" s="57">
        <f>K70*K76</f>
        <v>2026.3000000000002</v>
      </c>
      <c r="L77" s="28"/>
      <c r="M77" s="28"/>
      <c r="N77" s="21"/>
      <c r="O77" s="21"/>
      <c r="P77" s="21"/>
      <c r="Q77" s="29"/>
      <c r="S77" s="49" t="s">
        <v>105</v>
      </c>
      <c r="T77" s="57">
        <f>T70*T76</f>
        <v>202.63</v>
      </c>
      <c r="U77" s="28"/>
      <c r="V77" s="28"/>
      <c r="W77" s="21"/>
      <c r="X77" s="21"/>
      <c r="Y77" s="21"/>
      <c r="Z77" s="29"/>
      <c r="AB77" s="49" t="s">
        <v>105</v>
      </c>
      <c r="AC77" s="57" t="e">
        <f>AH167*AC76</f>
        <v>#VALUE!</v>
      </c>
      <c r="AD77" s="28"/>
      <c r="AE77" s="28"/>
      <c r="AF77" s="21"/>
      <c r="AG77" s="21"/>
      <c r="AH77" s="21"/>
      <c r="AI77" s="29"/>
    </row>
    <row r="78" spans="1:35">
      <c r="A78" s="66" t="s">
        <v>106</v>
      </c>
      <c r="B78" s="67">
        <v>0</v>
      </c>
      <c r="C78" s="28"/>
      <c r="D78" s="28"/>
      <c r="E78" s="21"/>
      <c r="F78" s="21"/>
      <c r="G78" s="21"/>
      <c r="H78" s="29"/>
      <c r="J78" s="66" t="s">
        <v>106</v>
      </c>
      <c r="K78" s="67">
        <v>0</v>
      </c>
      <c r="L78" s="28"/>
      <c r="M78" s="28"/>
      <c r="N78" s="21"/>
      <c r="O78" s="21"/>
      <c r="P78" s="21"/>
      <c r="Q78" s="29"/>
      <c r="S78" s="66" t="s">
        <v>106</v>
      </c>
      <c r="T78" s="67">
        <v>0</v>
      </c>
      <c r="U78" s="28"/>
      <c r="V78" s="28"/>
      <c r="W78" s="21"/>
      <c r="X78" s="21"/>
      <c r="Y78" s="21"/>
      <c r="Z78" s="29"/>
      <c r="AB78" s="66" t="s">
        <v>106</v>
      </c>
      <c r="AC78" s="67">
        <v>0</v>
      </c>
      <c r="AD78" s="28"/>
      <c r="AE78" s="28"/>
      <c r="AF78" s="21"/>
      <c r="AG78" s="21"/>
      <c r="AH78" s="21"/>
      <c r="AI78" s="29"/>
    </row>
    <row r="79" spans="1:35">
      <c r="A79" s="68" t="s">
        <v>107</v>
      </c>
      <c r="B79" s="69">
        <v>0</v>
      </c>
      <c r="C79" s="28"/>
      <c r="D79" s="28"/>
      <c r="E79" s="21"/>
      <c r="F79" s="21"/>
      <c r="G79" s="21"/>
      <c r="H79" s="29"/>
      <c r="J79" s="68" t="s">
        <v>107</v>
      </c>
      <c r="K79" s="69">
        <v>0</v>
      </c>
      <c r="L79" s="28"/>
      <c r="M79" s="28"/>
      <c r="N79" s="21"/>
      <c r="O79" s="21"/>
      <c r="P79" s="21"/>
      <c r="Q79" s="29"/>
      <c r="S79" s="68" t="s">
        <v>107</v>
      </c>
      <c r="T79" s="69">
        <v>0</v>
      </c>
      <c r="U79" s="28"/>
      <c r="V79" s="28"/>
      <c r="W79" s="21"/>
      <c r="X79" s="21"/>
      <c r="Y79" s="21"/>
      <c r="Z79" s="29"/>
      <c r="AB79" s="68" t="s">
        <v>107</v>
      </c>
      <c r="AC79" s="69">
        <v>0</v>
      </c>
      <c r="AD79" s="28"/>
      <c r="AE79" s="28"/>
      <c r="AF79" s="21"/>
      <c r="AG79" s="21"/>
      <c r="AH79" s="21"/>
      <c r="AI79" s="29"/>
    </row>
    <row r="80" spans="1:35">
      <c r="A80" s="49" t="s">
        <v>108</v>
      </c>
      <c r="B80" s="73">
        <f>B78*(1+B79)</f>
        <v>0</v>
      </c>
      <c r="C80" s="28"/>
      <c r="D80" s="28"/>
      <c r="E80" s="21"/>
      <c r="F80" s="21"/>
      <c r="G80" s="21"/>
      <c r="H80" s="29"/>
      <c r="J80" s="49" t="s">
        <v>108</v>
      </c>
      <c r="K80" s="73">
        <f>K78*(1+K79)</f>
        <v>0</v>
      </c>
      <c r="L80" s="28"/>
      <c r="M80" s="28"/>
      <c r="N80" s="21"/>
      <c r="O80" s="21"/>
      <c r="P80" s="21"/>
      <c r="Q80" s="29"/>
      <c r="S80" s="49" t="s">
        <v>108</v>
      </c>
      <c r="T80" s="73">
        <f>T78*(1+T79)</f>
        <v>0</v>
      </c>
      <c r="U80" s="28"/>
      <c r="V80" s="28"/>
      <c r="W80" s="21"/>
      <c r="X80" s="21"/>
      <c r="Y80" s="21"/>
      <c r="Z80" s="29"/>
      <c r="AB80" s="49" t="s">
        <v>108</v>
      </c>
      <c r="AC80" s="73">
        <f>AC78*(1+AC79)</f>
        <v>0</v>
      </c>
      <c r="AD80" s="28"/>
      <c r="AE80" s="28"/>
      <c r="AF80" s="21"/>
      <c r="AG80" s="21"/>
      <c r="AH80" s="21"/>
      <c r="AI80" s="29"/>
    </row>
    <row r="81" spans="1:35">
      <c r="A81" s="66" t="s">
        <v>109</v>
      </c>
      <c r="B81" s="74">
        <v>0</v>
      </c>
      <c r="C81" s="28"/>
      <c r="D81" s="28"/>
      <c r="E81" s="21"/>
      <c r="F81" s="21"/>
      <c r="G81" s="21"/>
      <c r="H81" s="29"/>
      <c r="J81" s="66" t="s">
        <v>109</v>
      </c>
      <c r="K81" s="74">
        <v>0</v>
      </c>
      <c r="L81" s="28"/>
      <c r="M81" s="28"/>
      <c r="N81" s="21"/>
      <c r="O81" s="21"/>
      <c r="P81" s="21"/>
      <c r="Q81" s="29"/>
      <c r="S81" s="66" t="s">
        <v>109</v>
      </c>
      <c r="T81" s="74">
        <v>0</v>
      </c>
      <c r="U81" s="28"/>
      <c r="V81" s="28"/>
      <c r="W81" s="21"/>
      <c r="X81" s="21"/>
      <c r="Y81" s="21"/>
      <c r="Z81" s="29"/>
      <c r="AB81" s="66" t="s">
        <v>109</v>
      </c>
      <c r="AC81" s="74">
        <v>0</v>
      </c>
      <c r="AD81" s="28"/>
      <c r="AE81" s="28"/>
      <c r="AF81" s="21"/>
      <c r="AG81" s="21"/>
      <c r="AH81" s="21"/>
      <c r="AI81" s="29"/>
    </row>
    <row r="82" spans="1:35">
      <c r="A82" s="68" t="s">
        <v>110</v>
      </c>
      <c r="B82" s="65">
        <v>0</v>
      </c>
      <c r="C82" s="28"/>
      <c r="D82" s="28"/>
      <c r="E82" s="21"/>
      <c r="F82" s="21"/>
      <c r="G82" s="21"/>
      <c r="H82" s="29"/>
      <c r="J82" s="68" t="s">
        <v>110</v>
      </c>
      <c r="K82" s="65">
        <v>0</v>
      </c>
      <c r="L82" s="28"/>
      <c r="M82" s="28"/>
      <c r="N82" s="21"/>
      <c r="O82" s="21"/>
      <c r="P82" s="21"/>
      <c r="Q82" s="29"/>
      <c r="S82" s="68" t="s">
        <v>110</v>
      </c>
      <c r="T82" s="65">
        <v>0</v>
      </c>
      <c r="U82" s="28"/>
      <c r="V82" s="28"/>
      <c r="W82" s="21"/>
      <c r="X82" s="21"/>
      <c r="Y82" s="21"/>
      <c r="Z82" s="29"/>
      <c r="AB82" s="68" t="s">
        <v>110</v>
      </c>
      <c r="AC82" s="65">
        <v>0</v>
      </c>
      <c r="AD82" s="28"/>
      <c r="AE82" s="28"/>
      <c r="AF82" s="21"/>
      <c r="AG82" s="21"/>
      <c r="AH82" s="21"/>
      <c r="AI82" s="29"/>
    </row>
    <row r="83" spans="1:35">
      <c r="A83" s="49" t="s">
        <v>111</v>
      </c>
      <c r="B83" s="57">
        <f>B82*K29</f>
        <v>0</v>
      </c>
      <c r="C83" s="28"/>
      <c r="D83" s="28">
        <f>B83+B81</f>
        <v>0</v>
      </c>
      <c r="E83" s="21"/>
      <c r="F83" s="21"/>
      <c r="G83" s="21"/>
      <c r="H83" s="29"/>
      <c r="J83" s="49" t="s">
        <v>111</v>
      </c>
      <c r="K83" s="57">
        <f>K82*K29</f>
        <v>0</v>
      </c>
      <c r="L83" s="28"/>
      <c r="M83" s="28">
        <f>K83+K81</f>
        <v>0</v>
      </c>
      <c r="N83" s="21"/>
      <c r="O83" s="21"/>
      <c r="P83" s="21"/>
      <c r="Q83" s="29"/>
      <c r="S83" s="49" t="s">
        <v>111</v>
      </c>
      <c r="T83" s="57">
        <f>T82*K29</f>
        <v>0</v>
      </c>
      <c r="U83" s="28"/>
      <c r="V83" s="28">
        <f>T83+T81</f>
        <v>0</v>
      </c>
      <c r="W83" s="21"/>
      <c r="X83" s="21"/>
      <c r="Y83" s="21"/>
      <c r="Z83" s="29"/>
      <c r="AB83" s="49" t="s">
        <v>111</v>
      </c>
      <c r="AC83" s="57">
        <f>AC82*K29</f>
        <v>0</v>
      </c>
      <c r="AD83" s="28"/>
      <c r="AE83" s="28">
        <f>AC83+AC81</f>
        <v>0</v>
      </c>
      <c r="AF83" s="21"/>
      <c r="AG83" s="21"/>
      <c r="AH83" s="21"/>
      <c r="AI83" s="29"/>
    </row>
    <row r="84" spans="1:35">
      <c r="A84" s="68" t="s">
        <v>112</v>
      </c>
      <c r="B84" s="65">
        <v>0</v>
      </c>
      <c r="C84" s="28"/>
      <c r="D84" s="28">
        <f>B84</f>
        <v>0</v>
      </c>
      <c r="E84" s="21"/>
      <c r="F84" s="21"/>
      <c r="G84" s="21"/>
      <c r="H84" s="29"/>
      <c r="J84" s="68" t="s">
        <v>112</v>
      </c>
      <c r="K84" s="65">
        <v>0</v>
      </c>
      <c r="L84" s="28"/>
      <c r="M84" s="28">
        <f>K84</f>
        <v>0</v>
      </c>
      <c r="N84" s="21"/>
      <c r="O84" s="21"/>
      <c r="P84" s="21"/>
      <c r="Q84" s="29"/>
      <c r="S84" s="68" t="s">
        <v>112</v>
      </c>
      <c r="T84" s="65">
        <v>0</v>
      </c>
      <c r="U84" s="28"/>
      <c r="V84" s="28">
        <f>T84</f>
        <v>0</v>
      </c>
      <c r="W84" s="21"/>
      <c r="X84" s="21"/>
      <c r="Y84" s="21"/>
      <c r="Z84" s="29"/>
      <c r="AB84" s="68" t="s">
        <v>112</v>
      </c>
      <c r="AC84" s="65">
        <v>0</v>
      </c>
      <c r="AD84" s="28"/>
      <c r="AE84" s="28">
        <f>AC84</f>
        <v>0</v>
      </c>
      <c r="AF84" s="21"/>
      <c r="AG84" s="21"/>
      <c r="AH84" s="21"/>
      <c r="AI84" s="29"/>
    </row>
    <row r="85" spans="1:35">
      <c r="A85" s="70" t="s">
        <v>113</v>
      </c>
      <c r="B85" s="75">
        <v>0</v>
      </c>
      <c r="C85" s="28"/>
      <c r="D85" s="28">
        <f>B85</f>
        <v>0</v>
      </c>
      <c r="E85" s="21"/>
      <c r="F85" s="28"/>
      <c r="G85" s="21"/>
      <c r="H85" s="29"/>
      <c r="J85" s="70" t="s">
        <v>113</v>
      </c>
      <c r="K85" s="75">
        <v>0</v>
      </c>
      <c r="L85" s="28"/>
      <c r="M85" s="28">
        <f>K85</f>
        <v>0</v>
      </c>
      <c r="N85" s="21"/>
      <c r="O85" s="21"/>
      <c r="P85" s="21"/>
      <c r="Q85" s="29"/>
      <c r="S85" s="70" t="s">
        <v>113</v>
      </c>
      <c r="T85" s="75">
        <v>0</v>
      </c>
      <c r="U85" s="28"/>
      <c r="V85" s="28">
        <f>T85</f>
        <v>0</v>
      </c>
      <c r="W85" s="21"/>
      <c r="X85" s="21"/>
      <c r="Y85" s="21"/>
      <c r="Z85" s="29"/>
      <c r="AB85" s="70" t="s">
        <v>113</v>
      </c>
      <c r="AC85" s="75">
        <v>0</v>
      </c>
      <c r="AD85" s="28"/>
      <c r="AE85" s="28">
        <f>AC85</f>
        <v>0</v>
      </c>
      <c r="AF85" s="21"/>
      <c r="AG85" s="21"/>
      <c r="AH85" s="21"/>
      <c r="AI85" s="29"/>
    </row>
    <row r="86" spans="1:35">
      <c r="A86" s="76" t="s">
        <v>114</v>
      </c>
      <c r="B86" s="77">
        <f>SUM(D74:D85)</f>
        <v>0</v>
      </c>
      <c r="C86" s="28"/>
      <c r="D86" s="28"/>
      <c r="E86" s="21"/>
      <c r="F86" s="28"/>
      <c r="G86" s="28"/>
      <c r="H86" s="29"/>
      <c r="J86" s="76" t="s">
        <v>114</v>
      </c>
      <c r="K86" s="77">
        <f>SUM(M74:M85)</f>
        <v>0</v>
      </c>
      <c r="L86" s="28"/>
      <c r="M86" s="28"/>
      <c r="N86" s="21"/>
      <c r="O86" s="21"/>
      <c r="P86" s="21"/>
      <c r="Q86" s="29"/>
      <c r="S86" s="76" t="s">
        <v>114</v>
      </c>
      <c r="T86" s="77">
        <f>SUM(V74:V85)</f>
        <v>0</v>
      </c>
      <c r="U86" s="28"/>
      <c r="V86" s="28"/>
      <c r="W86" s="21"/>
      <c r="X86" s="21"/>
      <c r="Y86" s="21"/>
      <c r="Z86" s="29"/>
      <c r="AB86" s="76" t="s">
        <v>114</v>
      </c>
      <c r="AC86" s="77">
        <f>SUM(AE74:AE85)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115</v>
      </c>
      <c r="B87" s="29">
        <f>B86/K29</f>
        <v>0</v>
      </c>
      <c r="C87" s="28"/>
      <c r="D87" s="28"/>
      <c r="E87" s="21"/>
      <c r="F87" s="21"/>
      <c r="G87" s="21"/>
      <c r="H87" s="29"/>
      <c r="J87" s="27" t="s">
        <v>115</v>
      </c>
      <c r="K87" s="29">
        <f>K86/K29</f>
        <v>0</v>
      </c>
      <c r="L87" s="28"/>
      <c r="M87" s="28"/>
      <c r="N87" s="21"/>
      <c r="O87" s="21"/>
      <c r="P87" s="21"/>
      <c r="Q87" s="29"/>
      <c r="S87" s="27" t="s">
        <v>115</v>
      </c>
      <c r="T87" s="29">
        <f>T86/K29</f>
        <v>0</v>
      </c>
      <c r="U87" s="28"/>
      <c r="V87" s="28"/>
      <c r="W87" s="21"/>
      <c r="X87" s="21"/>
      <c r="Y87" s="21"/>
      <c r="Z87" s="29"/>
      <c r="AB87" s="27" t="s">
        <v>115</v>
      </c>
      <c r="AC87" s="29">
        <f>AC86/K29</f>
        <v>0</v>
      </c>
      <c r="AD87" s="28"/>
      <c r="AE87" s="28"/>
      <c r="AF87" s="21"/>
      <c r="AG87" s="21"/>
      <c r="AH87" s="21"/>
      <c r="AI87" s="29"/>
    </row>
    <row r="88" spans="1:35">
      <c r="A88" s="78" t="s">
        <v>116</v>
      </c>
      <c r="B88" s="52">
        <f>K49</f>
        <v>347.11116666666663</v>
      </c>
      <c r="C88" s="28"/>
      <c r="D88" s="28"/>
      <c r="E88" s="21"/>
      <c r="F88" s="21"/>
      <c r="G88" s="21"/>
      <c r="H88" s="29"/>
      <c r="J88" s="78" t="s">
        <v>116</v>
      </c>
      <c r="K88" s="52">
        <f>K47</f>
        <v>1</v>
      </c>
      <c r="L88" s="28"/>
      <c r="M88" s="28"/>
      <c r="N88" s="21"/>
      <c r="O88" s="21"/>
      <c r="P88" s="21"/>
      <c r="Q88" s="29"/>
      <c r="S88" s="78" t="s">
        <v>116</v>
      </c>
      <c r="T88" s="52">
        <f>B60</f>
        <v>347.11116666666663</v>
      </c>
      <c r="U88" s="28"/>
      <c r="V88" s="28"/>
      <c r="W88" s="21"/>
      <c r="X88" s="21"/>
      <c r="Y88" s="21"/>
      <c r="Z88" s="29"/>
      <c r="AB88" s="78" t="s">
        <v>116</v>
      </c>
      <c r="AC88" s="52">
        <f>B60</f>
        <v>347.11116666666663</v>
      </c>
      <c r="AD88" s="28"/>
      <c r="AE88" s="28"/>
      <c r="AF88" s="21"/>
      <c r="AG88" s="21"/>
      <c r="AH88" s="21"/>
      <c r="AI88" s="29"/>
    </row>
    <row r="89" spans="1:35">
      <c r="A89" s="27"/>
      <c r="B89" s="28"/>
      <c r="C89" s="28"/>
      <c r="D89" s="28"/>
      <c r="E89" s="21"/>
      <c r="F89" s="21"/>
      <c r="G89" s="21"/>
      <c r="H89" s="29"/>
      <c r="J89" s="27"/>
      <c r="K89" s="28"/>
      <c r="L89" s="28"/>
      <c r="M89" s="28"/>
      <c r="N89" s="21"/>
      <c r="O89" s="21"/>
      <c r="P89" s="21"/>
      <c r="Q89" s="29"/>
      <c r="S89" s="27"/>
      <c r="T89" s="28"/>
      <c r="U89" s="28"/>
      <c r="V89" s="28"/>
      <c r="W89" s="21"/>
      <c r="X89" s="21"/>
      <c r="Y89" s="21"/>
      <c r="Z89" s="29"/>
      <c r="AB89" s="27"/>
      <c r="AC89" s="28"/>
      <c r="AD89" s="28"/>
      <c r="AE89" s="28"/>
      <c r="AF89" s="21"/>
      <c r="AG89" s="21"/>
      <c r="AH89" s="21"/>
      <c r="AI89" s="29"/>
    </row>
    <row r="90" spans="1:35">
      <c r="A90" s="22" t="s">
        <v>117</v>
      </c>
      <c r="B90" s="24">
        <f>F37</f>
        <v>16199.995999999999</v>
      </c>
      <c r="C90" s="28"/>
      <c r="D90" s="28"/>
      <c r="E90" s="21"/>
      <c r="F90" s="22" t="s">
        <v>117</v>
      </c>
      <c r="G90" s="24">
        <f>F37</f>
        <v>16199.995999999999</v>
      </c>
      <c r="H90" s="29"/>
      <c r="J90" s="22" t="s">
        <v>117</v>
      </c>
      <c r="K90" s="24" t="e">
        <f>P167</f>
        <v>#VALUE!</v>
      </c>
      <c r="L90" s="28"/>
      <c r="M90" s="28"/>
      <c r="N90" s="21"/>
      <c r="O90" s="21"/>
      <c r="P90" s="21"/>
      <c r="Q90" s="29"/>
      <c r="S90" s="22" t="s">
        <v>117</v>
      </c>
      <c r="T90" s="24" t="e">
        <f>Y167</f>
        <v>#VALUE!</v>
      </c>
      <c r="U90" s="28"/>
      <c r="V90" s="28"/>
      <c r="W90" s="21"/>
      <c r="X90" s="21"/>
      <c r="Y90" s="21"/>
      <c r="Z90" s="29"/>
      <c r="AB90" s="22" t="s">
        <v>117</v>
      </c>
      <c r="AC90" s="24" t="e">
        <f>AH167</f>
        <v>#VALUE!</v>
      </c>
      <c r="AD90" s="28"/>
      <c r="AE90" s="28"/>
      <c r="AF90" s="21"/>
      <c r="AG90" s="21"/>
      <c r="AH90" s="21"/>
      <c r="AI90" s="29"/>
    </row>
    <row r="91" spans="1:35">
      <c r="A91" s="27" t="s">
        <v>118</v>
      </c>
      <c r="B91" s="29">
        <f>IF(A111="YES",A43,0)*1.2</f>
        <v>7200</v>
      </c>
      <c r="C91" s="28"/>
      <c r="D91" s="28"/>
      <c r="E91" s="21"/>
      <c r="F91" s="27" t="s">
        <v>118</v>
      </c>
      <c r="G91" s="29">
        <f>IF(A111="YES",A43,0)*1.2</f>
        <v>7200</v>
      </c>
      <c r="H91" s="29"/>
      <c r="J91" s="27" t="s">
        <v>118</v>
      </c>
      <c r="K91" s="29">
        <f>IF(J120="YES",A40,0)</f>
        <v>0</v>
      </c>
      <c r="L91" s="28"/>
      <c r="M91" s="28"/>
      <c r="N91" s="21"/>
      <c r="O91" s="21"/>
      <c r="P91" s="21"/>
      <c r="Q91" s="29"/>
      <c r="S91" s="27" t="s">
        <v>118</v>
      </c>
      <c r="T91" s="29" t="str">
        <f>A40</f>
        <v>12</v>
      </c>
      <c r="U91" s="28"/>
      <c r="V91" s="28"/>
      <c r="W91" s="21"/>
      <c r="X91" s="21"/>
      <c r="Y91" s="21"/>
      <c r="Z91" s="29"/>
      <c r="AB91" s="27" t="s">
        <v>118</v>
      </c>
      <c r="AC91" s="29" t="str">
        <f>A40</f>
        <v>12</v>
      </c>
      <c r="AD91" s="28"/>
      <c r="AE91" s="28"/>
      <c r="AF91" s="21"/>
      <c r="AG91" s="21"/>
      <c r="AH91" s="21"/>
      <c r="AI91" s="29"/>
    </row>
    <row r="92" spans="1:35">
      <c r="A92" s="27" t="s">
        <v>119</v>
      </c>
      <c r="B92" s="72">
        <f>B71+B72+B73</f>
        <v>0.1255</v>
      </c>
      <c r="C92" s="28"/>
      <c r="D92" s="28"/>
      <c r="E92" s="21"/>
      <c r="F92" s="27" t="s">
        <v>119</v>
      </c>
      <c r="G92" s="79">
        <f>B72</f>
        <v>6.5000000000000002E-2</v>
      </c>
      <c r="H92" s="29"/>
      <c r="J92" s="27" t="s">
        <v>119</v>
      </c>
      <c r="K92" s="72">
        <f>K71+K72+K73</f>
        <v>0.24000000000000002</v>
      </c>
      <c r="L92" s="28"/>
      <c r="M92" s="28"/>
      <c r="N92" s="21"/>
      <c r="O92" s="21"/>
      <c r="P92" s="21"/>
      <c r="Q92" s="29"/>
      <c r="S92" s="27" t="s">
        <v>119</v>
      </c>
      <c r="T92" s="72">
        <f>T71+T72+T73</f>
        <v>0.1235</v>
      </c>
      <c r="U92" s="28"/>
      <c r="V92" s="28"/>
      <c r="W92" s="21"/>
      <c r="X92" s="21"/>
      <c r="Y92" s="21"/>
      <c r="Z92" s="29"/>
      <c r="AB92" s="27" t="s">
        <v>119</v>
      </c>
      <c r="AC92" s="72">
        <f>AC71+AC72+AC73</f>
        <v>0.1235</v>
      </c>
      <c r="AD92" s="28"/>
      <c r="AE92" s="28"/>
      <c r="AF92" s="21"/>
      <c r="AG92" s="21"/>
      <c r="AH92" s="21"/>
      <c r="AI92" s="29"/>
    </row>
    <row r="93" spans="1:35">
      <c r="A93" s="27" t="s">
        <v>120</v>
      </c>
      <c r="B93" s="72">
        <f>B92/12</f>
        <v>1.0458333333333333E-2</v>
      </c>
      <c r="C93" s="28"/>
      <c r="D93" s="28"/>
      <c r="E93" s="21"/>
      <c r="F93" s="27" t="s">
        <v>120</v>
      </c>
      <c r="G93" s="72">
        <f>G92/12</f>
        <v>5.4166666666666669E-3</v>
      </c>
      <c r="H93" s="29"/>
      <c r="J93" s="27" t="s">
        <v>120</v>
      </c>
      <c r="K93" s="72">
        <f>K92/12</f>
        <v>0.02</v>
      </c>
      <c r="L93" s="28"/>
      <c r="M93" s="28"/>
      <c r="N93" s="21"/>
      <c r="O93" s="21"/>
      <c r="P93" s="21"/>
      <c r="Q93" s="29"/>
      <c r="S93" s="27" t="s">
        <v>120</v>
      </c>
      <c r="T93" s="72">
        <f>T92/12</f>
        <v>1.0291666666666666E-2</v>
      </c>
      <c r="U93" s="28"/>
      <c r="V93" s="28"/>
      <c r="W93" s="21"/>
      <c r="X93" s="21"/>
      <c r="Y93" s="21"/>
      <c r="Z93" s="29"/>
      <c r="AB93" s="27" t="s">
        <v>120</v>
      </c>
      <c r="AC93" s="72">
        <f>AC92/12</f>
        <v>1.0291666666666666E-2</v>
      </c>
      <c r="AD93" s="28"/>
      <c r="AE93" s="28"/>
      <c r="AF93" s="21"/>
      <c r="AG93" s="21"/>
      <c r="AH93" s="21"/>
      <c r="AI93" s="29"/>
    </row>
    <row r="94" spans="1:35">
      <c r="A94" s="27" t="s">
        <v>121</v>
      </c>
      <c r="B94" s="29">
        <f>IF(B91=0,(B68+B67),(B68))</f>
        <v>11</v>
      </c>
      <c r="C94" s="28"/>
      <c r="D94" s="28"/>
      <c r="E94" s="21"/>
      <c r="F94" s="27" t="s">
        <v>121</v>
      </c>
      <c r="G94" s="29">
        <f>IF(G91=0,(B68+B67),(B68))</f>
        <v>11</v>
      </c>
      <c r="H94" s="29"/>
      <c r="J94" s="27" t="s">
        <v>121</v>
      </c>
      <c r="K94" s="29">
        <f>IF(K91=0,(K68+K67),(K68))</f>
        <v>12</v>
      </c>
      <c r="L94" s="28"/>
      <c r="M94" s="28"/>
      <c r="N94" s="21"/>
      <c r="O94" s="21"/>
      <c r="P94" s="21"/>
      <c r="Q94" s="29"/>
      <c r="S94" s="27" t="s">
        <v>121</v>
      </c>
      <c r="T94" s="29">
        <f>T68</f>
        <v>11</v>
      </c>
      <c r="U94" s="28"/>
      <c r="V94" s="28"/>
      <c r="W94" s="21"/>
      <c r="X94" s="21"/>
      <c r="Y94" s="21"/>
      <c r="Z94" s="29"/>
      <c r="AB94" s="27" t="s">
        <v>121</v>
      </c>
      <c r="AC94" s="29">
        <f>AC68</f>
        <v>11</v>
      </c>
      <c r="AD94" s="28"/>
      <c r="AE94" s="28"/>
      <c r="AF94" s="21"/>
      <c r="AG94" s="21"/>
      <c r="AH94" s="21"/>
      <c r="AI94" s="29"/>
    </row>
    <row r="95" spans="1:35">
      <c r="A95" s="27" t="s">
        <v>122</v>
      </c>
      <c r="B95" s="29">
        <f>(B91/((1+B93)^(B94+1)))</f>
        <v>6354.9417998796171</v>
      </c>
      <c r="C95" s="28"/>
      <c r="D95" s="28"/>
      <c r="E95" s="21"/>
      <c r="F95" s="27" t="s">
        <v>122</v>
      </c>
      <c r="G95" s="29">
        <f>(G91/((1+G93)^(G94+1)))</f>
        <v>6748.0693014409899</v>
      </c>
      <c r="H95" s="29"/>
      <c r="J95" s="27" t="s">
        <v>122</v>
      </c>
      <c r="K95" s="29">
        <f>(K91/((1+K93)^(K94+1)))</f>
        <v>0</v>
      </c>
      <c r="L95" s="28"/>
      <c r="M95" s="28"/>
      <c r="N95" s="21"/>
      <c r="O95" s="21"/>
      <c r="P95" s="21"/>
      <c r="Q95" s="29"/>
      <c r="S95" s="27" t="s">
        <v>122</v>
      </c>
      <c r="T95" s="29">
        <f>(T91/((1+T93)^(T94+1)))</f>
        <v>10.612556051563121</v>
      </c>
      <c r="U95" s="28"/>
      <c r="V95" s="28"/>
      <c r="W95" s="21"/>
      <c r="X95" s="21"/>
      <c r="Y95" s="21"/>
      <c r="Z95" s="29"/>
      <c r="AB95" s="27" t="s">
        <v>122</v>
      </c>
      <c r="AC95" s="29">
        <f>(AC91/((1+AC93)^(AC94+1)))</f>
        <v>10.612556051563121</v>
      </c>
      <c r="AD95" s="28"/>
      <c r="AE95" s="28"/>
      <c r="AF95" s="21"/>
      <c r="AG95" s="21"/>
      <c r="AH95" s="21"/>
      <c r="AI95" s="29"/>
    </row>
    <row r="96" spans="1:35">
      <c r="A96" s="27" t="s">
        <v>123</v>
      </c>
      <c r="B96" s="29">
        <f>((1-(1/((1+B93)^B94)))/B93)</f>
        <v>10.339921652899179</v>
      </c>
      <c r="C96" s="28"/>
      <c r="D96" s="28"/>
      <c r="E96" s="21"/>
      <c r="F96" s="27" t="s">
        <v>123</v>
      </c>
      <c r="G96" s="29">
        <f>((1-(1/((1+G93)^G94)))/G93)</f>
        <v>10.65073478229589</v>
      </c>
      <c r="H96" s="29"/>
      <c r="J96" s="27" t="s">
        <v>123</v>
      </c>
      <c r="K96" s="29">
        <f>((1-(1/((1+K93)^K94)))/K93)</f>
        <v>10.575341220917178</v>
      </c>
      <c r="L96" s="28"/>
      <c r="M96" s="28"/>
      <c r="N96" s="21"/>
      <c r="O96" s="21"/>
      <c r="P96" s="21"/>
      <c r="Q96" s="29"/>
      <c r="S96" s="27" t="s">
        <v>123</v>
      </c>
      <c r="T96" s="29">
        <f>((1-(1/((1+T93)^T94)))/T93)</f>
        <v>10.349984283990906</v>
      </c>
      <c r="U96" s="28"/>
      <c r="V96" s="28"/>
      <c r="W96" s="21"/>
      <c r="X96" s="21"/>
      <c r="Y96" s="21"/>
      <c r="Z96" s="29"/>
      <c r="AB96" s="27" t="s">
        <v>123</v>
      </c>
      <c r="AC96" s="29">
        <f>((1-(1/((1+AC93)^AC94)))/AC93)</f>
        <v>10.349984283990906</v>
      </c>
      <c r="AD96" s="28"/>
      <c r="AE96" s="28"/>
      <c r="AF96" s="21"/>
      <c r="AG96" s="21"/>
      <c r="AH96" s="21"/>
      <c r="AI96" s="29"/>
    </row>
    <row r="97" spans="1:35">
      <c r="A97" s="27" t="s">
        <v>124</v>
      </c>
      <c r="B97" s="29">
        <f>B90-B95</f>
        <v>9845.054200120383</v>
      </c>
      <c r="C97" s="28"/>
      <c r="D97" s="28"/>
      <c r="E97" s="21"/>
      <c r="F97" s="27" t="s">
        <v>124</v>
      </c>
      <c r="G97" s="29">
        <f>G90-G95</f>
        <v>9451.9266985590093</v>
      </c>
      <c r="H97" s="29"/>
      <c r="J97" s="27" t="s">
        <v>124</v>
      </c>
      <c r="K97" s="29" t="e">
        <f>K90-K95</f>
        <v>#VALUE!</v>
      </c>
      <c r="L97" s="28"/>
      <c r="M97" s="28"/>
      <c r="N97" s="21"/>
      <c r="O97" s="21"/>
      <c r="P97" s="21"/>
      <c r="Q97" s="29"/>
      <c r="S97" s="27" t="s">
        <v>124</v>
      </c>
      <c r="T97" s="29" t="e">
        <f>T90-T95</f>
        <v>#VALUE!</v>
      </c>
      <c r="U97" s="28"/>
      <c r="V97" s="28"/>
      <c r="W97" s="21"/>
      <c r="X97" s="21"/>
      <c r="Y97" s="21"/>
      <c r="Z97" s="29"/>
      <c r="AB97" s="27" t="s">
        <v>124</v>
      </c>
      <c r="AC97" s="29" t="e">
        <f>AC90-AC95</f>
        <v>#VALUE!</v>
      </c>
      <c r="AD97" s="28"/>
      <c r="AE97" s="28"/>
      <c r="AF97" s="21"/>
      <c r="AG97" s="21"/>
      <c r="AH97" s="21"/>
      <c r="AI97" s="29"/>
    </row>
    <row r="98" spans="1:35">
      <c r="A98" s="27" t="s">
        <v>125</v>
      </c>
      <c r="B98" s="29">
        <f>(B97/B96)</f>
        <v>952.14011581605735</v>
      </c>
      <c r="C98" s="28"/>
      <c r="D98" s="28"/>
      <c r="E98" s="21"/>
      <c r="F98" s="27" t="s">
        <v>125</v>
      </c>
      <c r="G98" s="29">
        <f>(G97/G96)</f>
        <v>887.44362635622178</v>
      </c>
      <c r="H98" s="29"/>
      <c r="J98" s="27" t="s">
        <v>125</v>
      </c>
      <c r="K98" s="29" t="e">
        <f>(K97/K96)</f>
        <v>#VALUE!</v>
      </c>
      <c r="L98" s="28"/>
      <c r="M98" s="28"/>
      <c r="N98" s="21"/>
      <c r="O98" s="21"/>
      <c r="P98" s="21"/>
      <c r="Q98" s="29"/>
      <c r="S98" s="27" t="s">
        <v>125</v>
      </c>
      <c r="T98" s="29" t="e">
        <f>(T97/T96)</f>
        <v>#VALUE!</v>
      </c>
      <c r="U98" s="28"/>
      <c r="V98" s="28"/>
      <c r="W98" s="21"/>
      <c r="X98" s="21"/>
      <c r="Y98" s="21"/>
      <c r="Z98" s="29"/>
      <c r="AB98" s="27" t="s">
        <v>125</v>
      </c>
      <c r="AC98" s="29" t="e">
        <f>(AC97/AC96)</f>
        <v>#VALUE!</v>
      </c>
      <c r="AD98" s="28"/>
      <c r="AE98" s="28"/>
      <c r="AF98" s="21"/>
      <c r="AG98" s="21"/>
      <c r="AH98" s="21"/>
      <c r="AI98" s="29"/>
    </row>
    <row r="99" spans="1:35">
      <c r="A99" s="27" t="s">
        <v>126</v>
      </c>
      <c r="B99" s="29">
        <f>((B98*(B94))+B86)</f>
        <v>10473.541273976631</v>
      </c>
      <c r="C99" s="28"/>
      <c r="D99" s="28"/>
      <c r="E99" s="21"/>
      <c r="F99" s="27" t="s">
        <v>126</v>
      </c>
      <c r="G99" s="29">
        <f>((G98*(G94))+G86)</f>
        <v>9761.8798899184403</v>
      </c>
      <c r="H99" s="29"/>
      <c r="J99" s="27" t="s">
        <v>126</v>
      </c>
      <c r="K99" s="29" t="e">
        <f>((K98*(K94))+K86)</f>
        <v>#VALUE!</v>
      </c>
      <c r="L99" s="28"/>
      <c r="M99" s="28"/>
      <c r="N99" s="21"/>
      <c r="O99" s="21"/>
      <c r="P99" s="21"/>
      <c r="Q99" s="29"/>
      <c r="S99" s="27" t="s">
        <v>126</v>
      </c>
      <c r="T99" s="29" t="e">
        <f>(T98*(T94))+T86</f>
        <v>#VALUE!</v>
      </c>
      <c r="U99" s="28"/>
      <c r="V99" s="28"/>
      <c r="W99" s="21"/>
      <c r="X99" s="21"/>
      <c r="Y99" s="21"/>
      <c r="Z99" s="29"/>
      <c r="AB99" s="27" t="s">
        <v>126</v>
      </c>
      <c r="AC99" s="29" t="e">
        <f>(AC98*(AC68))+AC86</f>
        <v>#VALUE!</v>
      </c>
      <c r="AD99" s="28"/>
      <c r="AE99" s="28"/>
      <c r="AF99" s="21"/>
      <c r="AG99" s="21"/>
      <c r="AH99" s="21"/>
      <c r="AI99" s="29"/>
    </row>
    <row r="100" spans="1:35">
      <c r="A100" s="27" t="s">
        <v>127</v>
      </c>
      <c r="B100" s="29">
        <f>(((B98*(B94))+B86)/(1-B80))*B80</f>
        <v>0</v>
      </c>
      <c r="C100" s="28"/>
      <c r="D100" s="28"/>
      <c r="E100" s="21"/>
      <c r="F100" s="27" t="s">
        <v>127</v>
      </c>
      <c r="G100" s="29">
        <f>(((G98*(G94))+G86)/(1-G80))*G80</f>
        <v>0</v>
      </c>
      <c r="H100" s="29"/>
      <c r="J100" s="27" t="s">
        <v>127</v>
      </c>
      <c r="K100" s="29" t="e">
        <f>(K99/(1-K80))*K80</f>
        <v>#VALUE!</v>
      </c>
      <c r="L100" s="28"/>
      <c r="M100" s="28"/>
      <c r="N100" s="21"/>
      <c r="O100" s="21"/>
      <c r="P100" s="21"/>
      <c r="Q100" s="29"/>
      <c r="S100" s="27" t="s">
        <v>127</v>
      </c>
      <c r="T100" s="29" t="e">
        <f>(T99/(1-T80))*T80</f>
        <v>#VALUE!</v>
      </c>
      <c r="U100" s="28"/>
      <c r="V100" s="28"/>
      <c r="W100" s="21"/>
      <c r="X100" s="21"/>
      <c r="Y100" s="21"/>
      <c r="Z100" s="29"/>
      <c r="AB100" s="27" t="s">
        <v>127</v>
      </c>
      <c r="AC100" s="29" t="e">
        <f>(AC99/(1-AC80))*AC80</f>
        <v>#VALUE!</v>
      </c>
      <c r="AD100" s="28"/>
      <c r="AE100" s="28"/>
      <c r="AF100" s="21"/>
      <c r="AG100" s="21"/>
      <c r="AH100" s="21"/>
      <c r="AI100" s="29"/>
    </row>
    <row r="101" spans="1:35">
      <c r="A101" s="49" t="s">
        <v>128</v>
      </c>
      <c r="B101" s="57">
        <f>(B99+B100)</f>
        <v>10473.541273976631</v>
      </c>
      <c r="C101" s="28"/>
      <c r="D101" s="28"/>
      <c r="E101" s="21"/>
      <c r="F101" s="49" t="s">
        <v>128</v>
      </c>
      <c r="G101" s="57">
        <f>(G99+G100)</f>
        <v>9761.8798899184403</v>
      </c>
      <c r="H101" s="29"/>
      <c r="J101" s="49" t="s">
        <v>128</v>
      </c>
      <c r="K101" s="57" t="e">
        <f>(K99+K100)</f>
        <v>#VALUE!</v>
      </c>
      <c r="L101" s="28"/>
      <c r="M101" s="28"/>
      <c r="N101" s="21"/>
      <c r="O101" s="21"/>
      <c r="P101" s="21"/>
      <c r="Q101" s="29"/>
      <c r="S101" s="49" t="s">
        <v>128</v>
      </c>
      <c r="T101" s="57" t="e">
        <f>(T99+T100)</f>
        <v>#VALUE!</v>
      </c>
      <c r="U101" s="28"/>
      <c r="V101" s="28"/>
      <c r="W101" s="21"/>
      <c r="X101" s="21"/>
      <c r="Y101" s="21"/>
      <c r="Z101" s="29"/>
      <c r="AB101" s="49" t="s">
        <v>128</v>
      </c>
      <c r="AC101" s="57" t="e">
        <f>(AC99+AC100)</f>
        <v>#VALUE!</v>
      </c>
      <c r="AD101" s="28"/>
      <c r="AE101" s="28"/>
      <c r="AF101" s="21"/>
      <c r="AG101" s="21"/>
      <c r="AH101" s="21"/>
      <c r="AI101" s="29"/>
    </row>
    <row r="102" spans="1:35">
      <c r="A102" s="27"/>
      <c r="B102" s="28"/>
      <c r="C102" s="28"/>
      <c r="D102" s="28"/>
      <c r="E102" s="21"/>
      <c r="F102" s="27"/>
      <c r="G102" s="28"/>
      <c r="H102" s="29"/>
      <c r="J102" s="27"/>
      <c r="K102" s="28"/>
      <c r="L102" s="28"/>
      <c r="M102" s="28"/>
      <c r="N102" s="21"/>
      <c r="O102" s="21"/>
      <c r="P102" s="21"/>
      <c r="Q102" s="29"/>
      <c r="S102" s="27"/>
      <c r="T102" s="28"/>
      <c r="U102" s="28"/>
      <c r="V102" s="28"/>
      <c r="W102" s="21"/>
      <c r="X102" s="21"/>
      <c r="Y102" s="21"/>
      <c r="Z102" s="29"/>
      <c r="AB102" s="27"/>
      <c r="AC102" s="28"/>
      <c r="AD102" s="28"/>
      <c r="AE102" s="28"/>
      <c r="AF102" s="21"/>
      <c r="AG102" s="21"/>
      <c r="AH102" s="21"/>
      <c r="AI102" s="29"/>
    </row>
    <row r="103" spans="1:35">
      <c r="A103" s="76" t="s">
        <v>129</v>
      </c>
      <c r="B103" s="77">
        <f>((A46*A34)+((A46*A34)*A117))/(B68)</f>
        <v>0</v>
      </c>
      <c r="C103" s="28"/>
      <c r="D103" s="28"/>
      <c r="E103" s="21"/>
      <c r="F103" s="76" t="s">
        <v>129</v>
      </c>
      <c r="G103" s="80" t="str">
        <f>IF(B35="YES",((E49/B94)*(1+A117)*(C54/100)),"0")</f>
        <v>0</v>
      </c>
      <c r="H103" s="29"/>
      <c r="J103" s="76" t="s">
        <v>129</v>
      </c>
      <c r="K103" s="77">
        <f>((E40/K94)*(1+J117))*1.2</f>
        <v>0</v>
      </c>
      <c r="L103" s="28"/>
      <c r="M103" s="28"/>
      <c r="N103" s="21"/>
      <c r="O103" s="21"/>
      <c r="P103" s="21"/>
      <c r="Q103" s="29"/>
      <c r="S103" s="76" t="s">
        <v>129</v>
      </c>
      <c r="T103" s="77">
        <f>((E40/T94)*(1+S117))</f>
        <v>0</v>
      </c>
      <c r="U103" s="28"/>
      <c r="V103" s="28"/>
      <c r="W103" s="21"/>
      <c r="X103" s="21"/>
      <c r="Y103" s="21"/>
      <c r="Z103" s="29"/>
      <c r="AB103" s="76" t="s">
        <v>129</v>
      </c>
      <c r="AC103" s="77">
        <f>((E40/AC94)*(1+AB117))*1.2</f>
        <v>0</v>
      </c>
      <c r="AD103" s="28"/>
      <c r="AE103" s="28"/>
      <c r="AF103" s="21"/>
      <c r="AG103" s="21"/>
      <c r="AH103" s="21"/>
      <c r="AI103" s="29"/>
    </row>
    <row r="104" spans="1:35">
      <c r="A104" s="81" t="s">
        <v>130</v>
      </c>
      <c r="B104" s="82">
        <f>B101/(B94)</f>
        <v>952.14011581605735</v>
      </c>
      <c r="C104" s="28"/>
      <c r="D104" s="28"/>
      <c r="E104" s="21"/>
      <c r="F104" s="81" t="s">
        <v>130</v>
      </c>
      <c r="G104" s="82">
        <f>G101/(G94)</f>
        <v>887.4436263562219</v>
      </c>
      <c r="H104" s="29"/>
      <c r="J104" s="81" t="s">
        <v>130</v>
      </c>
      <c r="K104" s="82" t="e">
        <f>K101/(K94)</f>
        <v>#VALUE!</v>
      </c>
      <c r="L104" s="28"/>
      <c r="M104" s="28"/>
      <c r="N104" s="21"/>
      <c r="O104" s="21"/>
      <c r="P104" s="21"/>
      <c r="Q104" s="29"/>
      <c r="S104" s="81" t="s">
        <v>130</v>
      </c>
      <c r="T104" s="82" t="e">
        <f>T101/(T94)</f>
        <v>#VALUE!</v>
      </c>
      <c r="U104" s="28"/>
      <c r="V104" s="28"/>
      <c r="W104" s="21"/>
      <c r="X104" s="21"/>
      <c r="Y104" s="21"/>
      <c r="Z104" s="29"/>
      <c r="AB104" s="81" t="s">
        <v>130</v>
      </c>
      <c r="AC104" s="82" t="e">
        <f>AC101/(AC68)</f>
        <v>#VALUE!</v>
      </c>
      <c r="AD104" s="28"/>
      <c r="AE104" s="28"/>
      <c r="AF104" s="21"/>
      <c r="AG104" s="21"/>
      <c r="AH104" s="21"/>
      <c r="AI104" s="29"/>
    </row>
    <row r="105" spans="1:35">
      <c r="A105" s="83" t="s">
        <v>131</v>
      </c>
      <c r="B105" s="84">
        <f>B103+B104</f>
        <v>952.14011581605735</v>
      </c>
      <c r="C105" s="28"/>
      <c r="D105" s="28"/>
      <c r="E105" s="21" t="s">
        <v>31</v>
      </c>
      <c r="F105" s="83" t="s">
        <v>131</v>
      </c>
      <c r="G105" s="84">
        <f>G103+G104</f>
        <v>887.4436263562219</v>
      </c>
      <c r="H105" s="29"/>
      <c r="J105" s="83" t="s">
        <v>131</v>
      </c>
      <c r="K105" s="84" t="e">
        <f>(K103+K104)</f>
        <v>#VALUE!</v>
      </c>
      <c r="L105" s="28"/>
      <c r="M105" s="28"/>
      <c r="N105" s="21"/>
      <c r="O105" s="21"/>
      <c r="P105" s="21"/>
      <c r="Q105" s="29"/>
      <c r="S105" s="83" t="s">
        <v>131</v>
      </c>
      <c r="T105" s="84" t="e">
        <f>T103+T104</f>
        <v>#VALUE!</v>
      </c>
      <c r="U105" s="28"/>
      <c r="V105" s="28"/>
      <c r="W105" s="21"/>
      <c r="X105" s="21"/>
      <c r="Y105" s="21"/>
      <c r="Z105" s="29"/>
      <c r="AB105" s="83" t="s">
        <v>131</v>
      </c>
      <c r="AC105" s="84" t="e">
        <f>AC103+AC104</f>
        <v>#VALUE!</v>
      </c>
      <c r="AD105" s="28"/>
      <c r="AE105" s="28"/>
      <c r="AF105" s="21"/>
      <c r="AG105" s="21"/>
      <c r="AH105" s="21"/>
      <c r="AI105" s="29"/>
    </row>
    <row r="106" spans="1:35">
      <c r="A106" s="49"/>
      <c r="B106" s="50"/>
      <c r="C106" s="50"/>
      <c r="D106" s="50"/>
      <c r="E106" s="85"/>
      <c r="F106" s="85"/>
      <c r="G106" s="85"/>
      <c r="H106" s="57"/>
      <c r="J106" s="49"/>
      <c r="K106" s="50"/>
      <c r="L106" s="50"/>
      <c r="M106" s="50"/>
      <c r="N106" s="85"/>
      <c r="O106" s="85"/>
      <c r="P106" s="85"/>
      <c r="Q106" s="57"/>
      <c r="S106" s="49"/>
      <c r="T106" s="50"/>
      <c r="U106" s="50"/>
      <c r="V106" s="50"/>
      <c r="W106" s="85"/>
      <c r="X106" s="85"/>
      <c r="Y106" s="85"/>
      <c r="Z106" s="57"/>
      <c r="AB106" s="49"/>
      <c r="AC106" s="50"/>
      <c r="AD106" s="50"/>
      <c r="AE106" s="50"/>
      <c r="AF106" s="85"/>
      <c r="AG106" s="85"/>
      <c r="AH106" s="85"/>
      <c r="AI106" s="57"/>
    </row>
    <row r="107" spans="1:35" ht="14.25">
      <c r="A107" s="21"/>
      <c r="B107" s="21"/>
      <c r="C107" s="21"/>
      <c r="D107" s="21"/>
      <c r="E107" s="21"/>
      <c r="F107" s="21"/>
      <c r="G107" s="21"/>
      <c r="H107" s="21"/>
      <c r="J107" s="21"/>
      <c r="K107" s="21"/>
      <c r="L107" s="21"/>
      <c r="M107" s="21"/>
      <c r="N107" s="21"/>
      <c r="O107" s="21"/>
      <c r="P107" s="21"/>
      <c r="Q107" s="21"/>
      <c r="S107" s="21"/>
      <c r="T107" s="21"/>
      <c r="U107" s="21"/>
      <c r="V107" s="21"/>
      <c r="W107" s="21"/>
      <c r="X107" s="21"/>
      <c r="Y107" s="21"/>
      <c r="Z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4.25">
      <c r="A108" s="21">
        <v>0.2</v>
      </c>
      <c r="B108" s="21">
        <v>0</v>
      </c>
      <c r="C108" s="21"/>
      <c r="D108" s="21">
        <v>0</v>
      </c>
      <c r="E108" s="21"/>
      <c r="F108" s="21"/>
      <c r="G108" s="21"/>
      <c r="H108" s="21"/>
      <c r="J108" s="21"/>
      <c r="K108" s="21"/>
      <c r="L108" s="21"/>
      <c r="M108" s="21"/>
      <c r="N108" s="21"/>
      <c r="O108" s="21"/>
      <c r="P108" s="21"/>
      <c r="Q108" s="21"/>
      <c r="S108" s="21"/>
      <c r="T108" s="21"/>
      <c r="U108" s="21"/>
      <c r="V108" s="21"/>
      <c r="W108" s="21"/>
      <c r="X108" s="21"/>
      <c r="Y108" s="21"/>
      <c r="Z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47.25" customHeight="1">
      <c r="A109" s="344" t="s">
        <v>132</v>
      </c>
      <c r="B109" s="344"/>
      <c r="C109" s="344"/>
      <c r="D109" s="344"/>
      <c r="E109" s="344"/>
      <c r="F109" s="344"/>
      <c r="G109" s="344"/>
      <c r="H109" s="344"/>
      <c r="J109" s="334" t="s">
        <v>133</v>
      </c>
      <c r="K109" s="334"/>
      <c r="L109" s="334"/>
      <c r="M109" s="334"/>
      <c r="N109" s="334"/>
      <c r="O109" s="334"/>
      <c r="P109" s="334"/>
      <c r="Q109" s="334"/>
      <c r="S109" s="344" t="s">
        <v>134</v>
      </c>
      <c r="T109" s="344"/>
      <c r="U109" s="344"/>
      <c r="V109" s="344"/>
      <c r="W109" s="344"/>
      <c r="X109" s="344"/>
      <c r="Y109" s="344"/>
      <c r="Z109" s="344"/>
      <c r="AB109" s="344" t="s">
        <v>135</v>
      </c>
      <c r="AC109" s="344"/>
      <c r="AD109" s="344"/>
      <c r="AE109" s="344"/>
      <c r="AF109" s="344"/>
      <c r="AG109" s="344"/>
      <c r="AH109" s="344"/>
      <c r="AI109" s="344"/>
    </row>
    <row r="110" spans="1:35">
      <c r="A110" s="22"/>
      <c r="B110" s="23"/>
      <c r="C110" s="23"/>
      <c r="D110" s="23"/>
      <c r="E110" s="63"/>
      <c r="F110" s="63"/>
      <c r="G110" s="63"/>
      <c r="H110" s="87"/>
      <c r="J110" s="22"/>
      <c r="K110" s="23"/>
      <c r="L110" s="23"/>
      <c r="M110" s="23"/>
      <c r="N110" s="63"/>
      <c r="O110" s="63"/>
      <c r="P110" s="63"/>
      <c r="Q110" s="87"/>
      <c r="S110" s="22"/>
      <c r="T110" s="23"/>
      <c r="U110" s="23"/>
      <c r="V110" s="23"/>
      <c r="W110" s="63"/>
      <c r="X110" s="63"/>
      <c r="Y110" s="63"/>
      <c r="Z110" s="87"/>
      <c r="AB110" s="22"/>
      <c r="AC110" s="23"/>
      <c r="AD110" s="23"/>
      <c r="AE110" s="23"/>
      <c r="AF110" s="63"/>
      <c r="AG110" s="63"/>
      <c r="AH110" s="63"/>
      <c r="AI110" s="87"/>
    </row>
    <row r="111" spans="1:35" ht="23.25">
      <c r="A111" s="335" t="s">
        <v>31</v>
      </c>
      <c r="B111" s="335">
        <v>0</v>
      </c>
      <c r="C111" s="335"/>
      <c r="D111" s="335"/>
      <c r="E111" s="335">
        <v>0</v>
      </c>
      <c r="F111" s="335"/>
      <c r="G111" s="335"/>
      <c r="H111" s="335"/>
      <c r="J111" s="335" t="s">
        <v>136</v>
      </c>
      <c r="K111" s="335"/>
      <c r="L111" s="335"/>
      <c r="M111" s="335"/>
      <c r="N111" s="335"/>
      <c r="O111" s="335"/>
      <c r="P111" s="335"/>
      <c r="Q111" s="335"/>
      <c r="S111" s="335" t="s">
        <v>136</v>
      </c>
      <c r="T111" s="335"/>
      <c r="U111" s="335"/>
      <c r="V111" s="335"/>
      <c r="W111" s="335"/>
      <c r="X111" s="335"/>
      <c r="Y111" s="335"/>
      <c r="Z111" s="335"/>
      <c r="AB111" s="335" t="s">
        <v>136</v>
      </c>
      <c r="AC111" s="335"/>
      <c r="AD111" s="335"/>
      <c r="AE111" s="335"/>
      <c r="AF111" s="335"/>
      <c r="AG111" s="335"/>
      <c r="AH111" s="335"/>
      <c r="AI111" s="335"/>
    </row>
    <row r="112" spans="1:35">
      <c r="A112" s="27"/>
      <c r="B112" s="28"/>
      <c r="C112" s="28"/>
      <c r="D112" s="28"/>
      <c r="E112" s="21"/>
      <c r="F112" s="21"/>
      <c r="G112" s="21"/>
      <c r="H112" s="88"/>
      <c r="J112" s="27"/>
      <c r="K112" s="28"/>
      <c r="L112" s="28"/>
      <c r="M112" s="28"/>
      <c r="N112" s="21"/>
      <c r="O112" s="21"/>
      <c r="P112" s="21"/>
      <c r="Q112" s="88"/>
      <c r="S112" s="27"/>
      <c r="T112" s="28"/>
      <c r="U112" s="28"/>
      <c r="V112" s="28"/>
      <c r="W112" s="21"/>
      <c r="X112" s="21"/>
      <c r="Y112" s="21"/>
      <c r="Z112" s="88"/>
      <c r="AB112" s="27"/>
      <c r="AC112" s="28"/>
      <c r="AD112" s="28"/>
      <c r="AE112" s="28"/>
      <c r="AF112" s="21"/>
      <c r="AG112" s="21"/>
      <c r="AH112" s="21"/>
      <c r="AI112" s="88"/>
    </row>
    <row r="113" spans="1:42">
      <c r="A113" s="27" t="s">
        <v>137</v>
      </c>
      <c r="B113" s="28" t="s">
        <v>36</v>
      </c>
      <c r="C113" s="28"/>
      <c r="D113" s="28"/>
      <c r="E113" s="28" t="s">
        <v>138</v>
      </c>
      <c r="F113" s="28"/>
      <c r="G113" s="28"/>
      <c r="H113" s="29"/>
      <c r="J113" s="27" t="s">
        <v>137</v>
      </c>
      <c r="K113" s="28" t="s">
        <v>36</v>
      </c>
      <c r="L113" s="28"/>
      <c r="M113" s="28"/>
      <c r="N113" s="28" t="s">
        <v>138</v>
      </c>
      <c r="O113" s="28"/>
      <c r="P113" s="28"/>
      <c r="Q113" s="29"/>
      <c r="S113" s="27" t="s">
        <v>137</v>
      </c>
      <c r="T113" s="28" t="s">
        <v>36</v>
      </c>
      <c r="U113" s="28"/>
      <c r="V113" s="28"/>
      <c r="W113" s="28" t="s">
        <v>138</v>
      </c>
      <c r="X113" s="28"/>
      <c r="Y113" s="28"/>
      <c r="Z113" s="29"/>
      <c r="AB113" s="27" t="s">
        <v>137</v>
      </c>
      <c r="AC113" s="28" t="s">
        <v>36</v>
      </c>
      <c r="AD113" s="28"/>
      <c r="AE113" s="28"/>
      <c r="AF113" s="28" t="s">
        <v>138</v>
      </c>
      <c r="AG113" s="28"/>
      <c r="AH113" s="28"/>
      <c r="AI113" s="29"/>
    </row>
    <row r="114" spans="1:42">
      <c r="A114" s="32" t="s">
        <v>139</v>
      </c>
      <c r="B114" s="345" t="s">
        <v>245</v>
      </c>
      <c r="C114" s="345"/>
      <c r="D114" s="345"/>
      <c r="E114" s="346" t="s">
        <v>386</v>
      </c>
      <c r="F114" s="346"/>
      <c r="G114" s="346"/>
      <c r="H114" s="88"/>
      <c r="J114" s="32" t="s">
        <v>139</v>
      </c>
      <c r="K114" s="347" t="s">
        <v>140</v>
      </c>
      <c r="L114" s="347"/>
      <c r="M114" s="347"/>
      <c r="N114" s="346" t="s">
        <v>31</v>
      </c>
      <c r="O114" s="346"/>
      <c r="P114" s="346"/>
      <c r="Q114" s="88"/>
      <c r="S114" s="32" t="s">
        <v>139</v>
      </c>
      <c r="T114" s="345" t="s">
        <v>140</v>
      </c>
      <c r="U114" s="345"/>
      <c r="V114" s="345"/>
      <c r="W114" s="346" t="s">
        <v>31</v>
      </c>
      <c r="X114" s="346"/>
      <c r="Y114" s="346"/>
      <c r="Z114" s="88"/>
      <c r="AB114" s="32" t="s">
        <v>139</v>
      </c>
      <c r="AC114" s="345" t="s">
        <v>140</v>
      </c>
      <c r="AD114" s="345"/>
      <c r="AE114" s="345"/>
      <c r="AF114" s="346" t="s">
        <v>31</v>
      </c>
      <c r="AG114" s="346"/>
      <c r="AH114" s="346"/>
      <c r="AI114" s="88"/>
    </row>
    <row r="115" spans="1:42">
      <c r="A115" s="27"/>
      <c r="B115" s="28"/>
      <c r="C115" s="28"/>
      <c r="D115" s="21"/>
      <c r="E115" s="28"/>
      <c r="F115" s="28"/>
      <c r="G115" s="21"/>
      <c r="H115" s="29"/>
      <c r="J115" s="27"/>
      <c r="K115" s="28"/>
      <c r="L115" s="28"/>
      <c r="M115" s="21"/>
      <c r="N115" s="28"/>
      <c r="O115" s="28"/>
      <c r="P115" s="21"/>
      <c r="Q115" s="29"/>
      <c r="S115" s="27"/>
      <c r="T115" s="28"/>
      <c r="U115" s="28"/>
      <c r="V115" s="21"/>
      <c r="W115" s="28"/>
      <c r="X115" s="28"/>
      <c r="Y115" s="21"/>
      <c r="Z115" s="29"/>
      <c r="AB115" s="27"/>
      <c r="AC115" s="28"/>
      <c r="AD115" s="28"/>
      <c r="AE115" s="21"/>
      <c r="AF115" s="28"/>
      <c r="AG115" s="28"/>
      <c r="AH115" s="21"/>
      <c r="AI115" s="29"/>
    </row>
    <row r="116" spans="1:42">
      <c r="A116" s="27" t="s">
        <v>141</v>
      </c>
      <c r="B116" s="28" t="s">
        <v>142</v>
      </c>
      <c r="C116" s="28"/>
      <c r="D116" s="21"/>
      <c r="E116" s="28" t="s">
        <v>143</v>
      </c>
      <c r="F116" s="28"/>
      <c r="G116" s="21"/>
      <c r="H116" s="88"/>
      <c r="J116" s="27" t="s">
        <v>141</v>
      </c>
      <c r="K116" s="28" t="s">
        <v>142</v>
      </c>
      <c r="L116" s="28"/>
      <c r="M116" s="21"/>
      <c r="N116" s="28" t="s">
        <v>143</v>
      </c>
      <c r="O116" s="28"/>
      <c r="P116" s="21"/>
      <c r="Q116" s="88"/>
      <c r="S116" s="27" t="s">
        <v>141</v>
      </c>
      <c r="T116" s="28" t="s">
        <v>142</v>
      </c>
      <c r="U116" s="28"/>
      <c r="V116" s="21"/>
      <c r="W116" s="28" t="s">
        <v>143</v>
      </c>
      <c r="X116" s="28"/>
      <c r="Y116" s="21"/>
      <c r="Z116" s="88"/>
      <c r="AB116" s="27" t="s">
        <v>141</v>
      </c>
      <c r="AC116" s="28" t="s">
        <v>142</v>
      </c>
      <c r="AD116" s="28"/>
      <c r="AE116" s="21"/>
      <c r="AF116" s="28" t="s">
        <v>143</v>
      </c>
      <c r="AG116" s="28"/>
      <c r="AH116" s="21"/>
      <c r="AI116" s="88"/>
    </row>
    <row r="117" spans="1:42">
      <c r="A117" s="91">
        <v>0.2</v>
      </c>
      <c r="B117" s="348" t="s">
        <v>144</v>
      </c>
      <c r="C117" s="348"/>
      <c r="D117" s="348"/>
      <c r="E117" s="349">
        <f>B92</f>
        <v>0.1255</v>
      </c>
      <c r="F117" s="349"/>
      <c r="G117" s="349"/>
      <c r="H117" s="42"/>
      <c r="J117" s="91">
        <v>0.3</v>
      </c>
      <c r="K117" s="348" t="s">
        <v>144</v>
      </c>
      <c r="L117" s="348"/>
      <c r="M117" s="348"/>
      <c r="N117" s="349">
        <f>K92</f>
        <v>0.24000000000000002</v>
      </c>
      <c r="O117" s="349"/>
      <c r="P117" s="349"/>
      <c r="Q117" s="42"/>
      <c r="S117" s="91">
        <v>0.2</v>
      </c>
      <c r="T117" s="348" t="s">
        <v>145</v>
      </c>
      <c r="U117" s="348"/>
      <c r="V117" s="348"/>
      <c r="W117" s="349">
        <f>T92</f>
        <v>0.1235</v>
      </c>
      <c r="X117" s="349"/>
      <c r="Y117" s="349"/>
      <c r="Z117" s="42"/>
      <c r="AB117" s="91">
        <v>0.2</v>
      </c>
      <c r="AC117" s="348" t="s">
        <v>145</v>
      </c>
      <c r="AD117" s="348"/>
      <c r="AE117" s="348"/>
      <c r="AF117" s="350">
        <f>AC92</f>
        <v>0.1235</v>
      </c>
      <c r="AG117" s="350"/>
      <c r="AH117" s="350"/>
      <c r="AI117" s="42"/>
      <c r="AP117" s="4" t="s">
        <v>146</v>
      </c>
    </row>
    <row r="118" spans="1:42">
      <c r="A118" s="27"/>
      <c r="B118" s="28"/>
      <c r="C118" s="28"/>
      <c r="D118" s="28"/>
      <c r="E118" s="28"/>
      <c r="F118" s="28"/>
      <c r="G118" s="28"/>
      <c r="H118" s="29"/>
      <c r="J118" s="27"/>
      <c r="K118" s="28"/>
      <c r="L118" s="28"/>
      <c r="M118" s="28"/>
      <c r="N118" s="28"/>
      <c r="O118" s="28"/>
      <c r="P118" s="28"/>
      <c r="Q118" s="29"/>
      <c r="S118" s="27"/>
      <c r="T118" s="28"/>
      <c r="U118" s="28"/>
      <c r="V118" s="28"/>
      <c r="W118" s="28"/>
      <c r="X118" s="28"/>
      <c r="Y118" s="28"/>
      <c r="Z118" s="29"/>
      <c r="AB118" s="27"/>
      <c r="AC118" s="28"/>
      <c r="AD118" s="28"/>
      <c r="AE118" s="28"/>
      <c r="AF118" s="28"/>
      <c r="AG118" s="28"/>
      <c r="AH118" s="28"/>
      <c r="AI118" s="29"/>
      <c r="AP118" s="4" t="s">
        <v>144</v>
      </c>
    </row>
    <row r="119" spans="1:42">
      <c r="A119" s="27" t="s">
        <v>147</v>
      </c>
      <c r="B119" s="28" t="s">
        <v>148</v>
      </c>
      <c r="C119" s="28"/>
      <c r="D119" s="28"/>
      <c r="E119" s="28" t="s">
        <v>149</v>
      </c>
      <c r="F119" s="28"/>
      <c r="G119" s="28"/>
      <c r="H119" s="29"/>
      <c r="J119" s="27" t="s">
        <v>147</v>
      </c>
      <c r="K119" s="28" t="s">
        <v>148</v>
      </c>
      <c r="L119" s="28"/>
      <c r="M119" s="28"/>
      <c r="N119" s="28" t="s">
        <v>149</v>
      </c>
      <c r="O119" s="28"/>
      <c r="P119" s="28"/>
      <c r="Q119" s="29"/>
      <c r="S119" s="27" t="s">
        <v>147</v>
      </c>
      <c r="T119" s="28" t="s">
        <v>148</v>
      </c>
      <c r="U119" s="28"/>
      <c r="V119" s="28"/>
      <c r="W119" s="28" t="s">
        <v>149</v>
      </c>
      <c r="X119" s="28"/>
      <c r="Y119" s="28"/>
      <c r="Z119" s="29"/>
      <c r="AB119" s="27" t="s">
        <v>147</v>
      </c>
      <c r="AC119" s="28" t="s">
        <v>148</v>
      </c>
      <c r="AD119" s="28"/>
      <c r="AE119" s="28"/>
      <c r="AF119" s="28" t="s">
        <v>149</v>
      </c>
      <c r="AG119" s="28"/>
      <c r="AH119" s="28"/>
      <c r="AI119" s="29"/>
    </row>
    <row r="120" spans="1:42">
      <c r="A120" s="36" t="s">
        <v>385</v>
      </c>
      <c r="B120" s="348">
        <v>0</v>
      </c>
      <c r="C120" s="348"/>
      <c r="D120" s="348"/>
      <c r="E120" s="348">
        <v>0</v>
      </c>
      <c r="F120" s="348"/>
      <c r="G120" s="348"/>
      <c r="H120" s="88"/>
      <c r="J120" s="36" t="s">
        <v>32</v>
      </c>
      <c r="K120" s="348">
        <v>1000</v>
      </c>
      <c r="L120" s="348"/>
      <c r="M120" s="348"/>
      <c r="N120" s="348">
        <v>0</v>
      </c>
      <c r="O120" s="348"/>
      <c r="P120" s="348"/>
      <c r="Q120" s="88"/>
      <c r="S120" s="36" t="s">
        <v>31</v>
      </c>
      <c r="T120" s="348">
        <v>1000</v>
      </c>
      <c r="U120" s="348"/>
      <c r="V120" s="348"/>
      <c r="W120" s="348">
        <v>0</v>
      </c>
      <c r="X120" s="348"/>
      <c r="Y120" s="348"/>
      <c r="Z120" s="88"/>
      <c r="AB120" s="36" t="s">
        <v>31</v>
      </c>
      <c r="AC120" s="348">
        <v>1000</v>
      </c>
      <c r="AD120" s="348"/>
      <c r="AE120" s="348"/>
      <c r="AF120" s="348">
        <v>0</v>
      </c>
      <c r="AG120" s="348"/>
      <c r="AH120" s="348"/>
      <c r="AI120" s="88"/>
    </row>
    <row r="121" spans="1:42">
      <c r="A121" s="27"/>
      <c r="B121" s="28"/>
      <c r="C121" s="28" t="s">
        <v>10</v>
      </c>
      <c r="D121" s="28"/>
      <c r="E121" s="28"/>
      <c r="F121" s="28"/>
      <c r="G121" s="21"/>
      <c r="H121" s="88"/>
      <c r="J121" s="27"/>
      <c r="K121" s="28"/>
      <c r="L121" s="28"/>
      <c r="M121" s="28"/>
      <c r="N121" s="28"/>
      <c r="O121" s="28"/>
      <c r="P121" s="21"/>
      <c r="Q121" s="88"/>
      <c r="S121" s="27"/>
      <c r="T121" s="28"/>
      <c r="U121" s="28"/>
      <c r="V121" s="28"/>
      <c r="W121" s="28"/>
      <c r="X121" s="28"/>
      <c r="Y121" s="21"/>
      <c r="Z121" s="88"/>
      <c r="AB121" s="27"/>
      <c r="AC121" s="28"/>
      <c r="AD121" s="28"/>
      <c r="AE121" s="28"/>
      <c r="AF121" s="28"/>
      <c r="AG121" s="28"/>
      <c r="AH121" s="21"/>
      <c r="AI121" s="88"/>
    </row>
    <row r="122" spans="1:42">
      <c r="A122" s="93" t="s">
        <v>150</v>
      </c>
      <c r="B122" s="28" t="s">
        <v>151</v>
      </c>
      <c r="C122" s="28"/>
      <c r="D122" s="28"/>
      <c r="E122" s="28" t="s">
        <v>152</v>
      </c>
      <c r="F122" s="28"/>
      <c r="G122" s="21"/>
      <c r="H122" s="88"/>
      <c r="J122" s="93" t="s">
        <v>150</v>
      </c>
      <c r="K122" s="28" t="s">
        <v>151</v>
      </c>
      <c r="L122" s="28"/>
      <c r="M122" s="28"/>
      <c r="N122" s="28" t="s">
        <v>152</v>
      </c>
      <c r="O122" s="28"/>
      <c r="P122" s="21"/>
      <c r="Q122" s="88"/>
      <c r="S122" s="93" t="s">
        <v>150</v>
      </c>
      <c r="T122" s="28" t="s">
        <v>151</v>
      </c>
      <c r="U122" s="28"/>
      <c r="V122" s="28"/>
      <c r="W122" s="28" t="s">
        <v>152</v>
      </c>
      <c r="X122" s="28"/>
      <c r="Y122" s="21"/>
      <c r="Z122" s="88"/>
      <c r="AB122" s="93" t="s">
        <v>150</v>
      </c>
      <c r="AC122" s="28" t="s">
        <v>151</v>
      </c>
      <c r="AD122" s="28"/>
      <c r="AE122" s="28"/>
      <c r="AF122" s="28" t="s">
        <v>152</v>
      </c>
      <c r="AG122" s="28"/>
      <c r="AH122" s="21"/>
      <c r="AI122" s="88"/>
    </row>
    <row r="123" spans="1:42">
      <c r="A123" s="94">
        <f>B120+E120</f>
        <v>0</v>
      </c>
      <c r="B123" s="348">
        <v>833.33333333333337</v>
      </c>
      <c r="C123" s="348"/>
      <c r="D123" s="348"/>
      <c r="E123" s="348">
        <v>0</v>
      </c>
      <c r="F123" s="348"/>
      <c r="G123" s="348"/>
      <c r="H123" s="88"/>
      <c r="J123" s="94">
        <f>K120+N120</f>
        <v>1000</v>
      </c>
      <c r="K123" s="348">
        <v>239.99</v>
      </c>
      <c r="L123" s="348"/>
      <c r="M123" s="348"/>
      <c r="N123" s="348">
        <v>0</v>
      </c>
      <c r="O123" s="348"/>
      <c r="P123" s="348"/>
      <c r="Q123" s="88"/>
      <c r="S123" s="94">
        <f>T120+W120</f>
        <v>1000</v>
      </c>
      <c r="T123" s="348">
        <v>199.99</v>
      </c>
      <c r="U123" s="348"/>
      <c r="V123" s="348"/>
      <c r="W123" s="348">
        <v>0</v>
      </c>
      <c r="X123" s="348"/>
      <c r="Y123" s="348"/>
      <c r="Z123" s="88"/>
      <c r="AB123" s="94">
        <f>AC120+AF120</f>
        <v>1000</v>
      </c>
      <c r="AC123" s="348">
        <v>239.99</v>
      </c>
      <c r="AD123" s="348"/>
      <c r="AE123" s="348"/>
      <c r="AF123" s="348">
        <v>0</v>
      </c>
      <c r="AG123" s="348"/>
      <c r="AH123" s="348"/>
      <c r="AI123" s="88"/>
    </row>
    <row r="124" spans="1:42" ht="14.25">
      <c r="A124" s="95"/>
      <c r="B124" s="21"/>
      <c r="C124" s="21"/>
      <c r="D124" s="21"/>
      <c r="E124" s="21"/>
      <c r="F124" s="21"/>
      <c r="G124" s="21"/>
      <c r="H124" s="88"/>
      <c r="J124" s="95"/>
      <c r="K124" s="21"/>
      <c r="L124" s="21"/>
      <c r="M124" s="21"/>
      <c r="N124" s="21"/>
      <c r="O124" s="21"/>
      <c r="P124" s="21"/>
      <c r="Q124" s="88"/>
      <c r="S124" s="95"/>
      <c r="T124" s="21"/>
      <c r="U124" s="21"/>
      <c r="V124" s="21"/>
      <c r="W124" s="21"/>
      <c r="X124" s="21"/>
      <c r="Y124" s="21"/>
      <c r="Z124" s="88"/>
      <c r="AB124" s="95"/>
      <c r="AC124" s="21"/>
      <c r="AD124" s="21"/>
      <c r="AE124" s="21"/>
      <c r="AF124" s="21"/>
      <c r="AG124" s="21"/>
      <c r="AH124" s="21"/>
      <c r="AI124" s="88"/>
    </row>
    <row r="125" spans="1:42" ht="14.25">
      <c r="A125" s="95"/>
      <c r="B125" s="21"/>
      <c r="C125" s="21"/>
      <c r="D125" s="21"/>
      <c r="E125" s="21"/>
      <c r="F125" s="21"/>
      <c r="G125" s="21"/>
      <c r="H125" s="88"/>
      <c r="J125" s="95"/>
      <c r="K125" s="21"/>
      <c r="L125" s="21"/>
      <c r="M125" s="21"/>
      <c r="N125" s="21"/>
      <c r="O125" s="21"/>
      <c r="P125" s="21"/>
      <c r="Q125" s="88"/>
      <c r="S125" s="95"/>
      <c r="T125" s="21"/>
      <c r="U125" s="21"/>
      <c r="V125" s="21"/>
      <c r="W125" s="21"/>
      <c r="X125" s="21"/>
      <c r="Y125" s="21"/>
      <c r="Z125" s="88"/>
      <c r="AB125" s="95"/>
      <c r="AC125" s="21"/>
      <c r="AD125" s="21"/>
      <c r="AE125" s="21"/>
      <c r="AF125" s="21"/>
      <c r="AG125" s="21"/>
      <c r="AH125" s="21"/>
      <c r="AI125" s="88"/>
    </row>
    <row r="126" spans="1:42" ht="23.25">
      <c r="A126" s="335" t="s">
        <v>153</v>
      </c>
      <c r="B126" s="335"/>
      <c r="C126" s="335"/>
      <c r="D126" s="335"/>
      <c r="E126" s="335"/>
      <c r="F126" s="335"/>
      <c r="G126" s="335"/>
      <c r="H126" s="335"/>
      <c r="J126" s="335" t="s">
        <v>153</v>
      </c>
      <c r="K126" s="335"/>
      <c r="L126" s="335"/>
      <c r="M126" s="335"/>
      <c r="N126" s="335"/>
      <c r="O126" s="335"/>
      <c r="P126" s="335"/>
      <c r="Q126" s="335"/>
      <c r="S126" s="335" t="s">
        <v>153</v>
      </c>
      <c r="T126" s="335"/>
      <c r="U126" s="335"/>
      <c r="V126" s="335"/>
      <c r="W126" s="335"/>
      <c r="X126" s="335"/>
      <c r="Y126" s="335"/>
      <c r="Z126" s="335"/>
      <c r="AB126" s="335" t="s">
        <v>153</v>
      </c>
      <c r="AC126" s="335"/>
      <c r="AD126" s="335"/>
      <c r="AE126" s="335"/>
      <c r="AF126" s="335"/>
      <c r="AG126" s="335"/>
      <c r="AH126" s="335"/>
      <c r="AI126" s="335"/>
    </row>
    <row r="127" spans="1:42" ht="14.25">
      <c r="A127" s="95"/>
      <c r="B127" s="21"/>
      <c r="C127" s="21"/>
      <c r="D127" s="21"/>
      <c r="E127" s="21"/>
      <c r="F127" s="21"/>
      <c r="G127" s="21"/>
      <c r="H127" s="88"/>
      <c r="J127" s="95"/>
      <c r="K127" s="21"/>
      <c r="L127" s="21"/>
      <c r="M127" s="21"/>
      <c r="N127" s="21"/>
      <c r="O127" s="21"/>
      <c r="P127" s="21"/>
      <c r="Q127" s="88"/>
      <c r="S127" s="95"/>
      <c r="T127" s="21"/>
      <c r="U127" s="21"/>
      <c r="V127" s="21"/>
      <c r="W127" s="21"/>
      <c r="X127" s="21"/>
      <c r="Y127" s="21"/>
      <c r="Z127" s="88"/>
      <c r="AB127" s="95"/>
      <c r="AC127" s="21"/>
      <c r="AD127" s="21"/>
      <c r="AE127" s="21"/>
      <c r="AF127" s="21"/>
      <c r="AG127" s="21"/>
      <c r="AH127" s="21"/>
      <c r="AI127" s="88"/>
    </row>
    <row r="128" spans="1:42" ht="21">
      <c r="A128" s="66"/>
      <c r="B128" s="351" t="s">
        <v>154</v>
      </c>
      <c r="C128" s="351"/>
      <c r="D128" s="351" t="s">
        <v>155</v>
      </c>
      <c r="E128" s="351"/>
      <c r="F128" s="351" t="s">
        <v>156</v>
      </c>
      <c r="G128" s="351"/>
      <c r="H128" s="96" t="s">
        <v>157</v>
      </c>
      <c r="J128" s="66"/>
      <c r="K128" s="351" t="s">
        <v>154</v>
      </c>
      <c r="L128" s="351"/>
      <c r="M128" s="351" t="s">
        <v>155</v>
      </c>
      <c r="N128" s="351"/>
      <c r="O128" s="351" t="s">
        <v>156</v>
      </c>
      <c r="P128" s="351"/>
      <c r="Q128" s="96" t="s">
        <v>157</v>
      </c>
      <c r="S128" s="66"/>
      <c r="T128" s="351" t="s">
        <v>154</v>
      </c>
      <c r="U128" s="351"/>
      <c r="V128" s="351" t="s">
        <v>155</v>
      </c>
      <c r="W128" s="351"/>
      <c r="X128" s="351" t="s">
        <v>156</v>
      </c>
      <c r="Y128" s="351"/>
      <c r="Z128" s="96" t="s">
        <v>157</v>
      </c>
      <c r="AB128" s="66"/>
      <c r="AC128" s="351" t="s">
        <v>154</v>
      </c>
      <c r="AD128" s="351"/>
      <c r="AE128" s="351" t="s">
        <v>155</v>
      </c>
      <c r="AF128" s="351"/>
      <c r="AG128" s="351" t="s">
        <v>156</v>
      </c>
      <c r="AH128" s="351"/>
      <c r="AI128" s="96" t="s">
        <v>157</v>
      </c>
    </row>
    <row r="129" spans="1:35" ht="21">
      <c r="A129" s="68"/>
      <c r="B129" s="97" t="s">
        <v>158</v>
      </c>
      <c r="C129" s="98" t="s">
        <v>159</v>
      </c>
      <c r="D129" s="97" t="s">
        <v>158</v>
      </c>
      <c r="E129" s="99" t="s">
        <v>159</v>
      </c>
      <c r="F129" s="97" t="s">
        <v>158</v>
      </c>
      <c r="G129" s="99" t="s">
        <v>159</v>
      </c>
      <c r="H129" s="100"/>
      <c r="J129" s="68"/>
      <c r="K129" s="97" t="s">
        <v>158</v>
      </c>
      <c r="L129" s="98" t="s">
        <v>159</v>
      </c>
      <c r="M129" s="97" t="s">
        <v>158</v>
      </c>
      <c r="N129" s="99" t="s">
        <v>159</v>
      </c>
      <c r="O129" s="97" t="s">
        <v>158</v>
      </c>
      <c r="P129" s="99" t="s">
        <v>159</v>
      </c>
      <c r="Q129" s="100"/>
      <c r="S129" s="68"/>
      <c r="T129" s="97" t="s">
        <v>158</v>
      </c>
      <c r="U129" s="98" t="s">
        <v>159</v>
      </c>
      <c r="V129" s="97" t="s">
        <v>158</v>
      </c>
      <c r="W129" s="99" t="s">
        <v>159</v>
      </c>
      <c r="X129" s="97" t="s">
        <v>158</v>
      </c>
      <c r="Y129" s="99" t="s">
        <v>159</v>
      </c>
      <c r="Z129" s="100"/>
      <c r="AB129" s="68"/>
      <c r="AC129" s="97" t="s">
        <v>158</v>
      </c>
      <c r="AD129" s="98" t="s">
        <v>159</v>
      </c>
      <c r="AE129" s="97" t="s">
        <v>158</v>
      </c>
      <c r="AF129" s="99" t="s">
        <v>159</v>
      </c>
      <c r="AG129" s="97" t="s">
        <v>158</v>
      </c>
      <c r="AH129" s="99" t="s">
        <v>159</v>
      </c>
      <c r="AI129" s="100"/>
    </row>
    <row r="130" spans="1:35">
      <c r="A130" s="22" t="s">
        <v>160</v>
      </c>
      <c r="B130" s="22">
        <f>E19</f>
        <v>17199.995999999999</v>
      </c>
      <c r="C130" s="36">
        <v>16412.5</v>
      </c>
      <c r="D130" s="22">
        <f>D12</f>
        <v>0</v>
      </c>
      <c r="E130" s="36">
        <f>D130</f>
        <v>0</v>
      </c>
      <c r="F130" s="22">
        <v>0</v>
      </c>
      <c r="G130" s="36">
        <f>F130</f>
        <v>0</v>
      </c>
      <c r="H130" s="101">
        <f>H12</f>
        <v>0</v>
      </c>
      <c r="J130" s="22" t="s">
        <v>160</v>
      </c>
      <c r="K130" s="22">
        <f>B3</f>
        <v>0</v>
      </c>
      <c r="L130" s="36">
        <v>28629.17</v>
      </c>
      <c r="M130" s="22">
        <f>D3</f>
        <v>0</v>
      </c>
      <c r="N130" s="36">
        <f>M130</f>
        <v>0</v>
      </c>
      <c r="O130" s="22" t="str">
        <f>F3</f>
        <v xml:space="preserve"> </v>
      </c>
      <c r="P130" s="36" t="str">
        <f>O130</f>
        <v xml:space="preserve"> </v>
      </c>
      <c r="Q130" s="101">
        <f>H3</f>
        <v>0</v>
      </c>
      <c r="S130" s="22" t="s">
        <v>160</v>
      </c>
      <c r="T130" s="22">
        <f>B3</f>
        <v>0</v>
      </c>
      <c r="U130" s="36">
        <f>T130</f>
        <v>0</v>
      </c>
      <c r="V130" s="22">
        <f>D3</f>
        <v>0</v>
      </c>
      <c r="W130" s="36">
        <f>V130</f>
        <v>0</v>
      </c>
      <c r="X130" s="22" t="str">
        <f>F3</f>
        <v xml:space="preserve"> </v>
      </c>
      <c r="Y130" s="36" t="str">
        <f>X130</f>
        <v xml:space="preserve"> </v>
      </c>
      <c r="Z130" s="101">
        <f>H3</f>
        <v>0</v>
      </c>
      <c r="AB130" s="22" t="s">
        <v>160</v>
      </c>
      <c r="AC130" s="22">
        <f>B3</f>
        <v>0</v>
      </c>
      <c r="AD130" s="36">
        <f>AC130</f>
        <v>0</v>
      </c>
      <c r="AE130" s="22">
        <f>D3</f>
        <v>0</v>
      </c>
      <c r="AF130" s="36">
        <f>AE130</f>
        <v>0</v>
      </c>
      <c r="AG130" s="22" t="str">
        <f>F3</f>
        <v xml:space="preserve"> </v>
      </c>
      <c r="AH130" s="36" t="str">
        <f>AG130</f>
        <v xml:space="preserve"> </v>
      </c>
      <c r="AI130" s="101">
        <f>H3</f>
        <v>0</v>
      </c>
    </row>
    <row r="131" spans="1:35">
      <c r="A131" s="27" t="s">
        <v>161</v>
      </c>
      <c r="B131" s="102">
        <v>0</v>
      </c>
      <c r="C131" s="103">
        <f>B131</f>
        <v>0</v>
      </c>
      <c r="D131" s="102">
        <v>0</v>
      </c>
      <c r="E131" s="103">
        <f>D131</f>
        <v>0</v>
      </c>
      <c r="F131" s="102">
        <v>0</v>
      </c>
      <c r="G131" s="104">
        <f>F131</f>
        <v>0</v>
      </c>
      <c r="H131" s="105"/>
      <c r="J131" s="27" t="s">
        <v>161</v>
      </c>
      <c r="K131" s="102">
        <f>B4</f>
        <v>17199.995999999999</v>
      </c>
      <c r="L131" s="106">
        <v>0</v>
      </c>
      <c r="M131" s="102">
        <f>D4</f>
        <v>0</v>
      </c>
      <c r="N131" s="106">
        <f>M131</f>
        <v>0</v>
      </c>
      <c r="O131" s="102" t="str">
        <f>F4</f>
        <v xml:space="preserve"> </v>
      </c>
      <c r="P131" s="106" t="str">
        <f>O131</f>
        <v xml:space="preserve"> </v>
      </c>
      <c r="Q131" s="105"/>
      <c r="S131" s="27" t="s">
        <v>161</v>
      </c>
      <c r="T131" s="102">
        <f>B4</f>
        <v>17199.995999999999</v>
      </c>
      <c r="U131" s="106">
        <v>0.25</v>
      </c>
      <c r="V131" s="102">
        <f>D4</f>
        <v>0</v>
      </c>
      <c r="W131" s="106">
        <f>V131</f>
        <v>0</v>
      </c>
      <c r="X131" s="102" t="str">
        <f>F4</f>
        <v xml:space="preserve"> </v>
      </c>
      <c r="Y131" s="106" t="str">
        <f>X131</f>
        <v xml:space="preserve"> </v>
      </c>
      <c r="Z131" s="105"/>
      <c r="AB131" s="27" t="s">
        <v>161</v>
      </c>
      <c r="AC131" s="102">
        <f>B4</f>
        <v>17199.995999999999</v>
      </c>
      <c r="AD131" s="106">
        <v>0.25</v>
      </c>
      <c r="AE131" s="102">
        <f>D4</f>
        <v>0</v>
      </c>
      <c r="AF131" s="106">
        <f>AE131</f>
        <v>0</v>
      </c>
      <c r="AG131" s="102" t="str">
        <f>F4</f>
        <v xml:space="preserve"> </v>
      </c>
      <c r="AH131" s="106" t="str">
        <f>AG131</f>
        <v xml:space="preserve"> </v>
      </c>
      <c r="AI131" s="105"/>
    </row>
    <row r="132" spans="1:35">
      <c r="A132" s="27" t="s">
        <v>162</v>
      </c>
      <c r="B132" s="27">
        <v>0</v>
      </c>
      <c r="C132" s="36">
        <f>B132</f>
        <v>0</v>
      </c>
      <c r="D132" s="27">
        <v>0</v>
      </c>
      <c r="E132" s="36">
        <f>D132</f>
        <v>0</v>
      </c>
      <c r="F132" s="27">
        <v>0</v>
      </c>
      <c r="G132" s="36">
        <f>F132</f>
        <v>0</v>
      </c>
      <c r="H132" s="29"/>
      <c r="J132" s="27" t="s">
        <v>162</v>
      </c>
      <c r="K132" s="27">
        <f>B5</f>
        <v>0</v>
      </c>
      <c r="L132" s="36">
        <v>0</v>
      </c>
      <c r="M132" s="27">
        <f>D5</f>
        <v>0</v>
      </c>
      <c r="N132" s="36">
        <f>M132</f>
        <v>0</v>
      </c>
      <c r="O132" s="27" t="str">
        <f>F5</f>
        <v xml:space="preserve"> </v>
      </c>
      <c r="P132" s="36" t="str">
        <f>O132</f>
        <v xml:space="preserve"> </v>
      </c>
      <c r="Q132" s="29"/>
      <c r="S132" s="27" t="s">
        <v>162</v>
      </c>
      <c r="T132" s="27">
        <f>B5</f>
        <v>0</v>
      </c>
      <c r="U132" s="36">
        <v>0</v>
      </c>
      <c r="V132" s="27">
        <f>D5</f>
        <v>0</v>
      </c>
      <c r="W132" s="36">
        <f>V132</f>
        <v>0</v>
      </c>
      <c r="X132" s="27" t="str">
        <f>F5</f>
        <v xml:space="preserve"> </v>
      </c>
      <c r="Y132" s="36" t="str">
        <f>X132</f>
        <v xml:space="preserve"> </v>
      </c>
      <c r="Z132" s="29"/>
      <c r="AB132" s="27" t="s">
        <v>162</v>
      </c>
      <c r="AC132" s="27">
        <f>B5</f>
        <v>0</v>
      </c>
      <c r="AD132" s="36">
        <v>0</v>
      </c>
      <c r="AE132" s="27">
        <f>D5</f>
        <v>0</v>
      </c>
      <c r="AF132" s="36">
        <f>AE132</f>
        <v>0</v>
      </c>
      <c r="AG132" s="27" t="str">
        <f>F5</f>
        <v xml:space="preserve"> </v>
      </c>
      <c r="AH132" s="36" t="str">
        <f>AG132</f>
        <v xml:space="preserve"> </v>
      </c>
      <c r="AI132" s="29"/>
    </row>
    <row r="133" spans="1:35">
      <c r="A133" s="27" t="s">
        <v>163</v>
      </c>
      <c r="B133" s="27">
        <f>(B130*B131)+B132</f>
        <v>0</v>
      </c>
      <c r="C133" s="24">
        <f>(C130*C131/100)+C132</f>
        <v>0</v>
      </c>
      <c r="D133" s="27">
        <f>(D130*D131)+D132</f>
        <v>0</v>
      </c>
      <c r="E133" s="24">
        <f>(E130*E131/100)+E132</f>
        <v>0</v>
      </c>
      <c r="F133" s="27">
        <f>(F130*F131)+F132</f>
        <v>0</v>
      </c>
      <c r="G133" s="24">
        <f>(G130*G131/100)+G132</f>
        <v>0</v>
      </c>
      <c r="H133" s="29"/>
      <c r="J133" s="27" t="s">
        <v>163</v>
      </c>
      <c r="K133" s="27">
        <f t="shared" ref="K133:P133" si="0">(K130*K131)+K132</f>
        <v>0</v>
      </c>
      <c r="L133" s="24">
        <f t="shared" si="0"/>
        <v>0</v>
      </c>
      <c r="M133" s="27">
        <f t="shared" si="0"/>
        <v>0</v>
      </c>
      <c r="N133" s="24">
        <f t="shared" si="0"/>
        <v>0</v>
      </c>
      <c r="O133" s="27" t="e">
        <f t="shared" si="0"/>
        <v>#VALUE!</v>
      </c>
      <c r="P133" s="24" t="e">
        <f t="shared" si="0"/>
        <v>#VALUE!</v>
      </c>
      <c r="Q133" s="29"/>
      <c r="S133" s="27" t="s">
        <v>163</v>
      </c>
      <c r="T133" s="27">
        <f t="shared" ref="T133:Y133" si="1">(T130*T131)+T132</f>
        <v>0</v>
      </c>
      <c r="U133" s="24">
        <f t="shared" si="1"/>
        <v>0</v>
      </c>
      <c r="V133" s="27">
        <f t="shared" si="1"/>
        <v>0</v>
      </c>
      <c r="W133" s="24">
        <f t="shared" si="1"/>
        <v>0</v>
      </c>
      <c r="X133" s="27" t="e">
        <f t="shared" si="1"/>
        <v>#VALUE!</v>
      </c>
      <c r="Y133" s="24" t="e">
        <f t="shared" si="1"/>
        <v>#VALUE!</v>
      </c>
      <c r="Z133" s="29"/>
      <c r="AB133" s="27" t="s">
        <v>163</v>
      </c>
      <c r="AC133" s="27">
        <f t="shared" ref="AC133:AH133" si="2">(AC130*AC131)+AC132</f>
        <v>0</v>
      </c>
      <c r="AD133" s="24">
        <f t="shared" si="2"/>
        <v>0</v>
      </c>
      <c r="AE133" s="27">
        <f t="shared" si="2"/>
        <v>0</v>
      </c>
      <c r="AF133" s="24">
        <f t="shared" si="2"/>
        <v>0</v>
      </c>
      <c r="AG133" s="27" t="e">
        <f t="shared" si="2"/>
        <v>#VALUE!</v>
      </c>
      <c r="AH133" s="24" t="e">
        <f t="shared" si="2"/>
        <v>#VALUE!</v>
      </c>
      <c r="AI133" s="29"/>
    </row>
    <row r="134" spans="1:35">
      <c r="A134" s="49" t="s">
        <v>164</v>
      </c>
      <c r="B134" s="49">
        <f t="shared" ref="B134:G134" si="3">B130-B133</f>
        <v>17199.995999999999</v>
      </c>
      <c r="C134" s="57">
        <f t="shared" si="3"/>
        <v>16412.5</v>
      </c>
      <c r="D134" s="49">
        <f t="shared" si="3"/>
        <v>0</v>
      </c>
      <c r="E134" s="57">
        <f t="shared" si="3"/>
        <v>0</v>
      </c>
      <c r="F134" s="49">
        <f t="shared" si="3"/>
        <v>0</v>
      </c>
      <c r="G134" s="57">
        <f t="shared" si="3"/>
        <v>0</v>
      </c>
      <c r="H134" s="57"/>
      <c r="J134" s="49" t="s">
        <v>164</v>
      </c>
      <c r="K134" s="49">
        <f t="shared" ref="K134:P134" si="4">K130-K133</f>
        <v>0</v>
      </c>
      <c r="L134" s="57">
        <f t="shared" si="4"/>
        <v>28629.17</v>
      </c>
      <c r="M134" s="49">
        <f t="shared" si="4"/>
        <v>0</v>
      </c>
      <c r="N134" s="57">
        <f t="shared" si="4"/>
        <v>0</v>
      </c>
      <c r="O134" s="49" t="e">
        <f t="shared" si="4"/>
        <v>#VALUE!</v>
      </c>
      <c r="P134" s="57" t="e">
        <f t="shared" si="4"/>
        <v>#VALUE!</v>
      </c>
      <c r="Q134" s="57"/>
      <c r="S134" s="49" t="s">
        <v>164</v>
      </c>
      <c r="T134" s="49">
        <f t="shared" ref="T134:Y134" si="5">T130-T133</f>
        <v>0</v>
      </c>
      <c r="U134" s="57">
        <f t="shared" si="5"/>
        <v>0</v>
      </c>
      <c r="V134" s="49">
        <f t="shared" si="5"/>
        <v>0</v>
      </c>
      <c r="W134" s="57">
        <f t="shared" si="5"/>
        <v>0</v>
      </c>
      <c r="X134" s="49" t="e">
        <f t="shared" si="5"/>
        <v>#VALUE!</v>
      </c>
      <c r="Y134" s="57" t="e">
        <f t="shared" si="5"/>
        <v>#VALUE!</v>
      </c>
      <c r="Z134" s="57"/>
      <c r="AB134" s="49" t="s">
        <v>164</v>
      </c>
      <c r="AC134" s="49">
        <f t="shared" ref="AC134:AH134" si="6">AC130-AC133</f>
        <v>0</v>
      </c>
      <c r="AD134" s="57">
        <f t="shared" si="6"/>
        <v>0</v>
      </c>
      <c r="AE134" s="49">
        <f t="shared" si="6"/>
        <v>0</v>
      </c>
      <c r="AF134" s="57">
        <f t="shared" si="6"/>
        <v>0</v>
      </c>
      <c r="AG134" s="49" t="e">
        <f t="shared" si="6"/>
        <v>#VALUE!</v>
      </c>
      <c r="AH134" s="57" t="e">
        <f t="shared" si="6"/>
        <v>#VALUE!</v>
      </c>
      <c r="AI134" s="57"/>
    </row>
    <row r="135" spans="1:35">
      <c r="A135" s="27"/>
      <c r="B135" s="28"/>
      <c r="C135" s="28"/>
      <c r="D135" s="28"/>
      <c r="E135" s="28"/>
      <c r="F135" s="28"/>
      <c r="G135" s="28"/>
      <c r="H135" s="29"/>
      <c r="J135" s="27"/>
      <c r="K135" s="28"/>
      <c r="L135" s="28"/>
      <c r="M135" s="28"/>
      <c r="N135" s="28"/>
      <c r="O135" s="28"/>
      <c r="P135" s="28"/>
      <c r="Q135" s="29"/>
      <c r="S135" s="27"/>
      <c r="T135" s="28"/>
      <c r="U135" s="28"/>
      <c r="V135" s="28"/>
      <c r="W135" s="28"/>
      <c r="X135" s="28"/>
      <c r="Y135" s="28"/>
      <c r="Z135" s="29"/>
      <c r="AB135" s="27"/>
      <c r="AC135" s="28"/>
      <c r="AD135" s="28"/>
      <c r="AE135" s="28"/>
      <c r="AF135" s="28"/>
      <c r="AG135" s="28"/>
      <c r="AH135" s="28"/>
      <c r="AI135" s="29"/>
    </row>
    <row r="136" spans="1:35" ht="21">
      <c r="A136" s="107"/>
      <c r="B136" s="108"/>
      <c r="C136" s="108"/>
      <c r="D136" s="108"/>
      <c r="E136" s="108"/>
      <c r="F136" s="108"/>
      <c r="G136" s="109" t="s">
        <v>158</v>
      </c>
      <c r="H136" s="110" t="s">
        <v>159</v>
      </c>
      <c r="J136" s="107"/>
      <c r="K136" s="108"/>
      <c r="L136" s="108"/>
      <c r="M136" s="108"/>
      <c r="N136" s="108"/>
      <c r="O136" s="108"/>
      <c r="P136" s="109" t="s">
        <v>158</v>
      </c>
      <c r="Q136" s="110" t="s">
        <v>159</v>
      </c>
      <c r="S136" s="107"/>
      <c r="T136" s="108"/>
      <c r="U136" s="108"/>
      <c r="V136" s="108"/>
      <c r="W136" s="108"/>
      <c r="X136" s="108"/>
      <c r="Y136" s="109" t="s">
        <v>158</v>
      </c>
      <c r="Z136" s="110" t="s">
        <v>159</v>
      </c>
      <c r="AB136" s="107"/>
      <c r="AC136" s="108"/>
      <c r="AD136" s="108"/>
      <c r="AE136" s="108"/>
      <c r="AF136" s="108"/>
      <c r="AG136" s="108"/>
      <c r="AH136" s="109" t="s">
        <v>158</v>
      </c>
      <c r="AI136" s="110" t="s">
        <v>159</v>
      </c>
    </row>
    <row r="137" spans="1:35">
      <c r="A137" s="111" t="s">
        <v>165</v>
      </c>
      <c r="B137" s="112"/>
      <c r="C137" s="112"/>
      <c r="D137" s="112"/>
      <c r="E137" s="112"/>
      <c r="F137" s="112"/>
      <c r="G137" s="113">
        <f>H130</f>
        <v>0</v>
      </c>
      <c r="H137" s="114">
        <f>SUM(H140:H142)</f>
        <v>0</v>
      </c>
      <c r="J137" s="111" t="s">
        <v>165</v>
      </c>
      <c r="K137" s="112"/>
      <c r="L137" s="112"/>
      <c r="M137" s="112"/>
      <c r="N137" s="112"/>
      <c r="O137" s="112"/>
      <c r="P137" s="113">
        <f>Q130</f>
        <v>0</v>
      </c>
      <c r="Q137" s="114">
        <f>SUM(Q140:Q142)</f>
        <v>0</v>
      </c>
      <c r="S137" s="111" t="s">
        <v>165</v>
      </c>
      <c r="T137" s="112"/>
      <c r="U137" s="112"/>
      <c r="V137" s="112"/>
      <c r="W137" s="112"/>
      <c r="X137" s="112"/>
      <c r="Y137" s="113">
        <f>Z130</f>
        <v>0</v>
      </c>
      <c r="Z137" s="114">
        <f>SUM(Z140:Z142)</f>
        <v>0</v>
      </c>
      <c r="AB137" s="111" t="s">
        <v>165</v>
      </c>
      <c r="AC137" s="112"/>
      <c r="AD137" s="112"/>
      <c r="AE137" s="112"/>
      <c r="AF137" s="112"/>
      <c r="AG137" s="112"/>
      <c r="AH137" s="113">
        <f>AI130</f>
        <v>0</v>
      </c>
      <c r="AI137" s="114">
        <f>SUM(AI140:AI142)</f>
        <v>0</v>
      </c>
    </row>
    <row r="138" spans="1:35">
      <c r="A138" s="27"/>
      <c r="B138" s="28"/>
      <c r="C138" s="28"/>
      <c r="D138" s="28"/>
      <c r="E138" s="28"/>
      <c r="F138" s="28"/>
      <c r="G138" s="115"/>
      <c r="H138" s="116"/>
      <c r="J138" s="27"/>
      <c r="K138" s="28"/>
      <c r="L138" s="28"/>
      <c r="M138" s="28"/>
      <c r="N138" s="28"/>
      <c r="O138" s="28"/>
      <c r="P138" s="115"/>
      <c r="Q138" s="116"/>
      <c r="S138" s="27"/>
      <c r="T138" s="28"/>
      <c r="U138" s="28"/>
      <c r="V138" s="28"/>
      <c r="W138" s="28"/>
      <c r="X138" s="28"/>
      <c r="Y138" s="115"/>
      <c r="Z138" s="116"/>
      <c r="AB138" s="27"/>
      <c r="AC138" s="28"/>
      <c r="AD138" s="28"/>
      <c r="AE138" s="28"/>
      <c r="AF138" s="28"/>
      <c r="AG138" s="28"/>
      <c r="AH138" s="115"/>
      <c r="AI138" s="116"/>
    </row>
    <row r="139" spans="1:35">
      <c r="A139" s="117" t="s">
        <v>166</v>
      </c>
      <c r="B139" s="352" t="s">
        <v>167</v>
      </c>
      <c r="C139" s="352"/>
      <c r="D139" s="352" t="s">
        <v>168</v>
      </c>
      <c r="E139" s="352"/>
      <c r="F139" s="352" t="s">
        <v>162</v>
      </c>
      <c r="G139" s="352"/>
      <c r="H139" s="116" t="s">
        <v>159</v>
      </c>
      <c r="J139" s="117" t="s">
        <v>166</v>
      </c>
      <c r="K139" s="353" t="s">
        <v>167</v>
      </c>
      <c r="L139" s="353"/>
      <c r="M139" s="352" t="s">
        <v>168</v>
      </c>
      <c r="N139" s="352"/>
      <c r="O139" s="352" t="s">
        <v>162</v>
      </c>
      <c r="P139" s="352"/>
      <c r="Q139" s="116" t="s">
        <v>159</v>
      </c>
      <c r="S139" s="117" t="s">
        <v>166</v>
      </c>
      <c r="T139" s="352" t="s">
        <v>167</v>
      </c>
      <c r="U139" s="352"/>
      <c r="V139" s="352" t="s">
        <v>168</v>
      </c>
      <c r="W139" s="352"/>
      <c r="X139" s="352" t="s">
        <v>162</v>
      </c>
      <c r="Y139" s="352"/>
      <c r="Z139" s="116" t="s">
        <v>159</v>
      </c>
      <c r="AB139" s="117" t="s">
        <v>166</v>
      </c>
      <c r="AC139" s="352" t="s">
        <v>167</v>
      </c>
      <c r="AD139" s="352"/>
      <c r="AE139" s="352" t="s">
        <v>168</v>
      </c>
      <c r="AF139" s="352"/>
      <c r="AG139" s="352" t="s">
        <v>162</v>
      </c>
      <c r="AH139" s="352"/>
      <c r="AI139" s="116" t="s">
        <v>159</v>
      </c>
    </row>
    <row r="140" spans="1:35">
      <c r="A140" s="27" t="s">
        <v>169</v>
      </c>
      <c r="B140" s="354">
        <f>G137</f>
        <v>0</v>
      </c>
      <c r="C140" s="354"/>
      <c r="D140" s="355">
        <v>0</v>
      </c>
      <c r="E140" s="355"/>
      <c r="F140" s="354">
        <v>0</v>
      </c>
      <c r="G140" s="354"/>
      <c r="H140" s="119">
        <f>(B140-(B140*D140))-F140</f>
        <v>0</v>
      </c>
      <c r="J140" s="27" t="s">
        <v>169</v>
      </c>
      <c r="K140" s="354">
        <f>P137</f>
        <v>0</v>
      </c>
      <c r="L140" s="354"/>
      <c r="M140" s="355">
        <v>0</v>
      </c>
      <c r="N140" s="355"/>
      <c r="O140" s="354">
        <v>0</v>
      </c>
      <c r="P140" s="354"/>
      <c r="Q140" s="119">
        <f>(K140-(K140*M140))-O140</f>
        <v>0</v>
      </c>
      <c r="S140" s="27" t="s">
        <v>169</v>
      </c>
      <c r="T140" s="354">
        <f>Y137</f>
        <v>0</v>
      </c>
      <c r="U140" s="354"/>
      <c r="V140" s="355">
        <v>0</v>
      </c>
      <c r="W140" s="355"/>
      <c r="X140" s="354">
        <v>0</v>
      </c>
      <c r="Y140" s="354"/>
      <c r="Z140" s="119">
        <f>(T140-(T140*V140))-X140</f>
        <v>0</v>
      </c>
      <c r="AB140" s="27" t="s">
        <v>169</v>
      </c>
      <c r="AC140" s="354">
        <f>AH137</f>
        <v>0</v>
      </c>
      <c r="AD140" s="354"/>
      <c r="AE140" s="355">
        <v>0</v>
      </c>
      <c r="AF140" s="355"/>
      <c r="AG140" s="354">
        <v>0</v>
      </c>
      <c r="AH140" s="354"/>
      <c r="AI140" s="119">
        <f>(AC140-(AC140*AE140))-AG140</f>
        <v>0</v>
      </c>
    </row>
    <row r="141" spans="1:35">
      <c r="A141" s="27" t="s">
        <v>170</v>
      </c>
      <c r="B141" s="354">
        <v>0</v>
      </c>
      <c r="C141" s="354"/>
      <c r="D141" s="355">
        <v>0</v>
      </c>
      <c r="E141" s="355"/>
      <c r="F141" s="354">
        <v>0</v>
      </c>
      <c r="G141" s="354"/>
      <c r="H141" s="119">
        <f>(B141-(B141*D141))-F141</f>
        <v>0</v>
      </c>
      <c r="J141" s="27" t="s">
        <v>170</v>
      </c>
      <c r="K141" s="354">
        <v>0</v>
      </c>
      <c r="L141" s="354"/>
      <c r="M141" s="355">
        <v>0</v>
      </c>
      <c r="N141" s="355"/>
      <c r="O141" s="354">
        <v>0</v>
      </c>
      <c r="P141" s="354"/>
      <c r="Q141" s="119">
        <f>(K141-(K141*M141))-O141</f>
        <v>0</v>
      </c>
      <c r="S141" s="27" t="s">
        <v>170</v>
      </c>
      <c r="T141" s="354">
        <v>0</v>
      </c>
      <c r="U141" s="354"/>
      <c r="V141" s="355">
        <v>0</v>
      </c>
      <c r="W141" s="355"/>
      <c r="X141" s="354">
        <v>0</v>
      </c>
      <c r="Y141" s="354"/>
      <c r="Z141" s="119">
        <f>(T141-(T141*V141))-X141</f>
        <v>0</v>
      </c>
      <c r="AB141" s="27" t="s">
        <v>170</v>
      </c>
      <c r="AC141" s="354">
        <v>0</v>
      </c>
      <c r="AD141" s="354"/>
      <c r="AE141" s="355">
        <v>0</v>
      </c>
      <c r="AF141" s="355"/>
      <c r="AG141" s="354">
        <v>0</v>
      </c>
      <c r="AH141" s="354"/>
      <c r="AI141" s="119">
        <f>(AC141-(AC141*AE141))-AG141</f>
        <v>0</v>
      </c>
    </row>
    <row r="142" spans="1:35">
      <c r="A142" s="27" t="s">
        <v>171</v>
      </c>
      <c r="B142" s="354">
        <v>0</v>
      </c>
      <c r="C142" s="354"/>
      <c r="D142" s="355">
        <v>0</v>
      </c>
      <c r="E142" s="355"/>
      <c r="F142" s="354">
        <v>0</v>
      </c>
      <c r="G142" s="354"/>
      <c r="H142" s="119">
        <f>(B142-(B142*D142))-F142</f>
        <v>0</v>
      </c>
      <c r="J142" s="27" t="s">
        <v>171</v>
      </c>
      <c r="K142" s="354">
        <v>0</v>
      </c>
      <c r="L142" s="354"/>
      <c r="M142" s="355">
        <v>0</v>
      </c>
      <c r="N142" s="355"/>
      <c r="O142" s="354">
        <v>0</v>
      </c>
      <c r="P142" s="354"/>
      <c r="Q142" s="119">
        <f>(K142-(K142*M142))-O142</f>
        <v>0</v>
      </c>
      <c r="S142" s="27" t="s">
        <v>171</v>
      </c>
      <c r="T142" s="354">
        <v>0</v>
      </c>
      <c r="U142" s="354"/>
      <c r="V142" s="355">
        <v>0</v>
      </c>
      <c r="W142" s="355"/>
      <c r="X142" s="354">
        <v>0</v>
      </c>
      <c r="Y142" s="354"/>
      <c r="Z142" s="119">
        <f>(T142-(T142*V142))-X142</f>
        <v>0</v>
      </c>
      <c r="AB142" s="27" t="s">
        <v>171</v>
      </c>
      <c r="AC142" s="354">
        <v>0</v>
      </c>
      <c r="AD142" s="354"/>
      <c r="AE142" s="355">
        <v>0</v>
      </c>
      <c r="AF142" s="355"/>
      <c r="AG142" s="354">
        <v>0</v>
      </c>
      <c r="AH142" s="354"/>
      <c r="AI142" s="119">
        <f>(AC142-(AC142*AE142))-AG142</f>
        <v>0</v>
      </c>
    </row>
    <row r="143" spans="1:35">
      <c r="A143" s="27"/>
      <c r="B143" s="28"/>
      <c r="C143" s="28"/>
      <c r="D143" s="28"/>
      <c r="E143" s="28"/>
      <c r="F143" s="28"/>
      <c r="G143" s="115"/>
      <c r="H143" s="116"/>
      <c r="J143" s="27"/>
      <c r="K143" s="28"/>
      <c r="L143" s="28"/>
      <c r="M143" s="28"/>
      <c r="N143" s="28"/>
      <c r="O143" s="28"/>
      <c r="P143" s="115"/>
      <c r="Q143" s="116"/>
      <c r="S143" s="27"/>
      <c r="T143" s="28"/>
      <c r="U143" s="28"/>
      <c r="V143" s="28"/>
      <c r="W143" s="28"/>
      <c r="X143" s="28"/>
      <c r="Y143" s="115"/>
      <c r="Z143" s="116"/>
      <c r="AB143" s="27"/>
      <c r="AC143" s="28"/>
      <c r="AD143" s="28"/>
      <c r="AE143" s="28"/>
      <c r="AF143" s="28"/>
      <c r="AG143" s="28"/>
      <c r="AH143" s="115"/>
      <c r="AI143" s="116"/>
    </row>
    <row r="144" spans="1:35" ht="21">
      <c r="A144" s="356" t="s">
        <v>172</v>
      </c>
      <c r="B144" s="356"/>
      <c r="C144" s="356"/>
      <c r="D144" s="356"/>
      <c r="E144" s="356"/>
      <c r="F144" s="356"/>
      <c r="G144" s="109">
        <f>E21</f>
        <v>14333.33</v>
      </c>
      <c r="H144" s="120">
        <f>C134+E134+G134+H137</f>
        <v>16412.5</v>
      </c>
      <c r="J144" s="356" t="s">
        <v>172</v>
      </c>
      <c r="K144" s="356"/>
      <c r="L144" s="356"/>
      <c r="M144" s="356"/>
      <c r="N144" s="356"/>
      <c r="O144" s="356"/>
      <c r="P144" s="109">
        <f t="shared" ref="P144:P151" si="7">H9</f>
        <v>0</v>
      </c>
      <c r="Q144" s="120" t="e">
        <f>L134+N134+P134+Q137</f>
        <v>#VALUE!</v>
      </c>
      <c r="S144" s="356" t="s">
        <v>172</v>
      </c>
      <c r="T144" s="356"/>
      <c r="U144" s="356"/>
      <c r="V144" s="356"/>
      <c r="W144" s="356"/>
      <c r="X144" s="356"/>
      <c r="Y144" s="109">
        <f t="shared" ref="Y144:Y151" si="8">H9</f>
        <v>0</v>
      </c>
      <c r="Z144" s="120" t="e">
        <f>U134+W134+Y134+Z137</f>
        <v>#VALUE!</v>
      </c>
      <c r="AB144" s="356" t="s">
        <v>172</v>
      </c>
      <c r="AC144" s="356"/>
      <c r="AD144" s="356"/>
      <c r="AE144" s="356"/>
      <c r="AF144" s="356"/>
      <c r="AG144" s="356"/>
      <c r="AH144" s="109">
        <f t="shared" ref="AH144:AH151" si="9">H9</f>
        <v>0</v>
      </c>
      <c r="AI144" s="120" t="e">
        <f>AD134+AF134+AH134+AI137</f>
        <v>#VALUE!</v>
      </c>
    </row>
    <row r="145" spans="1:35">
      <c r="A145" s="357" t="s">
        <v>173</v>
      </c>
      <c r="B145" s="357"/>
      <c r="C145" s="357"/>
      <c r="D145" s="357"/>
      <c r="E145" s="357"/>
      <c r="F145" s="357"/>
      <c r="G145" s="121">
        <f>H19</f>
        <v>0</v>
      </c>
      <c r="H145" s="29">
        <f>G145</f>
        <v>0</v>
      </c>
      <c r="J145" s="357" t="s">
        <v>173</v>
      </c>
      <c r="K145" s="357"/>
      <c r="L145" s="357"/>
      <c r="M145" s="357"/>
      <c r="N145" s="357"/>
      <c r="O145" s="357"/>
      <c r="P145" s="121">
        <f t="shared" si="7"/>
        <v>0</v>
      </c>
      <c r="Q145" s="29">
        <f>P145</f>
        <v>0</v>
      </c>
      <c r="S145" s="357" t="s">
        <v>173</v>
      </c>
      <c r="T145" s="357"/>
      <c r="U145" s="357"/>
      <c r="V145" s="357"/>
      <c r="W145" s="357"/>
      <c r="X145" s="357"/>
      <c r="Y145" s="121">
        <f t="shared" si="8"/>
        <v>0</v>
      </c>
      <c r="Z145" s="29">
        <f>Y145</f>
        <v>0</v>
      </c>
      <c r="AB145" s="357" t="s">
        <v>173</v>
      </c>
      <c r="AC145" s="357"/>
      <c r="AD145" s="357"/>
      <c r="AE145" s="357"/>
      <c r="AF145" s="357"/>
      <c r="AG145" s="357"/>
      <c r="AH145" s="121">
        <f t="shared" si="9"/>
        <v>0</v>
      </c>
      <c r="AI145" s="29">
        <f>AH145</f>
        <v>0</v>
      </c>
    </row>
    <row r="146" spans="1:35">
      <c r="A146" s="357" t="s">
        <v>174</v>
      </c>
      <c r="B146" s="357"/>
      <c r="C146" s="357"/>
      <c r="D146" s="357"/>
      <c r="E146" s="357"/>
      <c r="F146" s="357"/>
      <c r="G146" s="29">
        <f>(G144+G145)*20%</f>
        <v>2866.6660000000002</v>
      </c>
      <c r="H146" s="29">
        <f>(H144+H145)*20%</f>
        <v>3282.5</v>
      </c>
      <c r="J146" s="357" t="s">
        <v>174</v>
      </c>
      <c r="K146" s="357"/>
      <c r="L146" s="357"/>
      <c r="M146" s="357"/>
      <c r="N146" s="357"/>
      <c r="O146" s="357"/>
      <c r="P146" s="121">
        <f t="shared" si="7"/>
        <v>0</v>
      </c>
      <c r="Q146" s="29" t="e">
        <f>(Q144+Q145)*20%</f>
        <v>#VALUE!</v>
      </c>
      <c r="S146" s="357" t="s">
        <v>174</v>
      </c>
      <c r="T146" s="357"/>
      <c r="U146" s="357"/>
      <c r="V146" s="357"/>
      <c r="W146" s="357"/>
      <c r="X146" s="357"/>
      <c r="Y146" s="121">
        <f t="shared" si="8"/>
        <v>0</v>
      </c>
      <c r="Z146" s="29" t="e">
        <f>(Z144+Z145)*20%</f>
        <v>#VALUE!</v>
      </c>
      <c r="AB146" s="357" t="s">
        <v>174</v>
      </c>
      <c r="AC146" s="357"/>
      <c r="AD146" s="357"/>
      <c r="AE146" s="357"/>
      <c r="AF146" s="357"/>
      <c r="AG146" s="357"/>
      <c r="AH146" s="121">
        <f t="shared" si="9"/>
        <v>0</v>
      </c>
      <c r="AI146" s="29" t="e">
        <f>(AI144+AI145)*20%</f>
        <v>#VALUE!</v>
      </c>
    </row>
    <row r="147" spans="1:35">
      <c r="A147" s="357" t="s">
        <v>175</v>
      </c>
      <c r="B147" s="357"/>
      <c r="C147" s="357"/>
      <c r="D147" s="357"/>
      <c r="E147" s="357"/>
      <c r="F147" s="357"/>
      <c r="G147" s="121">
        <f>H21</f>
        <v>0</v>
      </c>
      <c r="H147" s="29">
        <v>0</v>
      </c>
      <c r="J147" s="357" t="s">
        <v>175</v>
      </c>
      <c r="K147" s="357"/>
      <c r="L147" s="357"/>
      <c r="M147" s="357"/>
      <c r="N147" s="357"/>
      <c r="O147" s="357"/>
      <c r="P147" s="121">
        <f t="shared" si="7"/>
        <v>0</v>
      </c>
      <c r="Q147" s="29">
        <f>P147</f>
        <v>0</v>
      </c>
      <c r="S147" s="357" t="s">
        <v>175</v>
      </c>
      <c r="T147" s="357"/>
      <c r="U147" s="357"/>
      <c r="V147" s="357"/>
      <c r="W147" s="357"/>
      <c r="X147" s="357"/>
      <c r="Y147" s="121">
        <f t="shared" si="8"/>
        <v>0</v>
      </c>
      <c r="Z147" s="29">
        <f>Y147</f>
        <v>0</v>
      </c>
      <c r="AB147" s="357" t="s">
        <v>175</v>
      </c>
      <c r="AC147" s="357"/>
      <c r="AD147" s="357"/>
      <c r="AE147" s="357"/>
      <c r="AF147" s="357"/>
      <c r="AG147" s="357"/>
      <c r="AH147" s="121">
        <f t="shared" si="9"/>
        <v>0</v>
      </c>
      <c r="AI147" s="29">
        <f>AH147</f>
        <v>0</v>
      </c>
    </row>
    <row r="148" spans="1:35">
      <c r="A148" s="357" t="s">
        <v>176</v>
      </c>
      <c r="B148" s="357"/>
      <c r="C148" s="357"/>
      <c r="D148" s="357"/>
      <c r="E148" s="357"/>
      <c r="F148" s="357"/>
      <c r="G148" s="121">
        <f>H22</f>
        <v>0</v>
      </c>
      <c r="H148" s="29">
        <f>G148</f>
        <v>0</v>
      </c>
      <c r="J148" s="357" t="s">
        <v>176</v>
      </c>
      <c r="K148" s="357"/>
      <c r="L148" s="357"/>
      <c r="M148" s="357"/>
      <c r="N148" s="357"/>
      <c r="O148" s="357"/>
      <c r="P148" s="121">
        <f t="shared" si="7"/>
        <v>0</v>
      </c>
      <c r="Q148" s="29">
        <f>P148</f>
        <v>0</v>
      </c>
      <c r="S148" s="357" t="s">
        <v>176</v>
      </c>
      <c r="T148" s="357"/>
      <c r="U148" s="357"/>
      <c r="V148" s="357"/>
      <c r="W148" s="357"/>
      <c r="X148" s="357"/>
      <c r="Y148" s="121">
        <f t="shared" si="8"/>
        <v>0</v>
      </c>
      <c r="Z148" s="29">
        <f>Y148</f>
        <v>0</v>
      </c>
      <c r="AB148" s="357" t="s">
        <v>176</v>
      </c>
      <c r="AC148" s="357"/>
      <c r="AD148" s="357"/>
      <c r="AE148" s="357"/>
      <c r="AF148" s="357"/>
      <c r="AG148" s="357"/>
      <c r="AH148" s="121">
        <f t="shared" si="9"/>
        <v>0</v>
      </c>
      <c r="AI148" s="29">
        <f>AH148</f>
        <v>0</v>
      </c>
    </row>
    <row r="149" spans="1:35">
      <c r="A149" s="357" t="s">
        <v>177</v>
      </c>
      <c r="B149" s="357"/>
      <c r="C149" s="357"/>
      <c r="D149" s="357"/>
      <c r="E149" s="357"/>
      <c r="F149" s="357"/>
      <c r="G149" s="121">
        <f>H23</f>
        <v>0</v>
      </c>
      <c r="H149" s="29">
        <f>G149</f>
        <v>0</v>
      </c>
      <c r="J149" s="357" t="s">
        <v>177</v>
      </c>
      <c r="K149" s="357"/>
      <c r="L149" s="357"/>
      <c r="M149" s="357"/>
      <c r="N149" s="357"/>
      <c r="O149" s="357"/>
      <c r="P149" s="121">
        <f t="shared" si="7"/>
        <v>0</v>
      </c>
      <c r="Q149" s="29">
        <v>55</v>
      </c>
      <c r="S149" s="357" t="s">
        <v>177</v>
      </c>
      <c r="T149" s="357"/>
      <c r="U149" s="357"/>
      <c r="V149" s="357"/>
      <c r="W149" s="357"/>
      <c r="X149" s="357"/>
      <c r="Y149" s="121">
        <f t="shared" si="8"/>
        <v>0</v>
      </c>
      <c r="Z149" s="29">
        <v>55</v>
      </c>
      <c r="AB149" s="357" t="s">
        <v>177</v>
      </c>
      <c r="AC149" s="357"/>
      <c r="AD149" s="357"/>
      <c r="AE149" s="357"/>
      <c r="AF149" s="357"/>
      <c r="AG149" s="357"/>
      <c r="AH149" s="121">
        <f t="shared" si="9"/>
        <v>0</v>
      </c>
      <c r="AI149" s="29">
        <v>55</v>
      </c>
    </row>
    <row r="150" spans="1:35" ht="21">
      <c r="A150" s="357" t="s">
        <v>178</v>
      </c>
      <c r="B150" s="357"/>
      <c r="C150" s="357"/>
      <c r="D150" s="357"/>
      <c r="E150" s="357"/>
      <c r="F150" s="357"/>
      <c r="G150" s="122">
        <f>(G144+G145+G148+G149+G146)-G147</f>
        <v>17199.995999999999</v>
      </c>
      <c r="H150" s="122">
        <f>(H144+H145+H148+H149+H146)-H147</f>
        <v>19695</v>
      </c>
      <c r="J150" s="357" t="s">
        <v>178</v>
      </c>
      <c r="K150" s="357"/>
      <c r="L150" s="357"/>
      <c r="M150" s="357"/>
      <c r="N150" s="357"/>
      <c r="O150" s="357"/>
      <c r="P150" s="123">
        <f t="shared" si="7"/>
        <v>0</v>
      </c>
      <c r="Q150" s="122" t="e">
        <f>(Q144+Q145+Q148+Q149+Q146)-Q147</f>
        <v>#VALUE!</v>
      </c>
      <c r="S150" s="357" t="s">
        <v>178</v>
      </c>
      <c r="T150" s="357"/>
      <c r="U150" s="357"/>
      <c r="V150" s="357"/>
      <c r="W150" s="357"/>
      <c r="X150" s="357"/>
      <c r="Y150" s="123">
        <f t="shared" si="8"/>
        <v>0</v>
      </c>
      <c r="Z150" s="122" t="e">
        <f>(Z144+Z145+Z148+Z149+Z146)-Z147</f>
        <v>#VALUE!</v>
      </c>
      <c r="AB150" s="357" t="s">
        <v>178</v>
      </c>
      <c r="AC150" s="357"/>
      <c r="AD150" s="357"/>
      <c r="AE150" s="357"/>
      <c r="AF150" s="357"/>
      <c r="AG150" s="357"/>
      <c r="AH150" s="123">
        <f t="shared" si="9"/>
        <v>0</v>
      </c>
      <c r="AI150" s="122" t="e">
        <f>(AI144+AI145+AI148+AI149+AI146)-AI147</f>
        <v>#VALUE!</v>
      </c>
    </row>
    <row r="151" spans="1:35">
      <c r="A151" s="357" t="s">
        <v>179</v>
      </c>
      <c r="B151" s="357"/>
      <c r="C151" s="357"/>
      <c r="D151" s="357"/>
      <c r="E151" s="357"/>
      <c r="F151" s="357"/>
      <c r="G151" s="36">
        <f>F151</f>
        <v>0</v>
      </c>
      <c r="H151" s="36">
        <f>G151</f>
        <v>0</v>
      </c>
      <c r="J151" s="357" t="s">
        <v>179</v>
      </c>
      <c r="K151" s="357"/>
      <c r="L151" s="357"/>
      <c r="M151" s="357"/>
      <c r="N151" s="357"/>
      <c r="O151" s="357"/>
      <c r="P151" s="121">
        <f t="shared" si="7"/>
        <v>0</v>
      </c>
      <c r="Q151" s="36">
        <f>P151</f>
        <v>0</v>
      </c>
      <c r="S151" s="357" t="s">
        <v>179</v>
      </c>
      <c r="T151" s="357"/>
      <c r="U151" s="357"/>
      <c r="V151" s="357"/>
      <c r="W151" s="357"/>
      <c r="X151" s="357"/>
      <c r="Y151" s="121">
        <f t="shared" si="8"/>
        <v>0</v>
      </c>
      <c r="Z151" s="36">
        <f>Y151</f>
        <v>0</v>
      </c>
      <c r="AB151" s="357" t="s">
        <v>179</v>
      </c>
      <c r="AC151" s="357"/>
      <c r="AD151" s="357"/>
      <c r="AE151" s="357"/>
      <c r="AF151" s="357"/>
      <c r="AG151" s="357"/>
      <c r="AH151" s="121">
        <f t="shared" si="9"/>
        <v>0</v>
      </c>
      <c r="AI151" s="36">
        <f>AH151</f>
        <v>0</v>
      </c>
    </row>
    <row r="152" spans="1:35">
      <c r="A152" s="358" t="s">
        <v>180</v>
      </c>
      <c r="B152" s="358"/>
      <c r="C152" s="358"/>
      <c r="D152" s="358"/>
      <c r="E152" s="358">
        <v>0</v>
      </c>
      <c r="F152" s="358"/>
      <c r="G152" s="29">
        <v>0</v>
      </c>
      <c r="H152" s="29"/>
      <c r="J152" s="359" t="s">
        <v>180</v>
      </c>
      <c r="K152" s="359"/>
      <c r="L152" s="359"/>
      <c r="M152" s="359"/>
      <c r="N152" s="359"/>
      <c r="O152" s="359"/>
      <c r="P152" s="34"/>
      <c r="Q152" s="29"/>
      <c r="S152" s="358" t="s">
        <v>180</v>
      </c>
      <c r="T152" s="358"/>
      <c r="U152" s="358"/>
      <c r="V152" s="358"/>
      <c r="W152" s="358"/>
      <c r="X152" s="358"/>
      <c r="Y152" s="34"/>
      <c r="Z152" s="29"/>
      <c r="AB152" s="358" t="s">
        <v>180</v>
      </c>
      <c r="AC152" s="358"/>
      <c r="AD152" s="358"/>
      <c r="AE152" s="358"/>
      <c r="AF152" s="358"/>
      <c r="AG152" s="358"/>
      <c r="AH152" s="34"/>
      <c r="AI152" s="29"/>
    </row>
    <row r="153" spans="1:35">
      <c r="A153" s="124" t="s">
        <v>26</v>
      </c>
      <c r="B153" s="360">
        <v>0</v>
      </c>
      <c r="C153" s="360"/>
      <c r="D153" s="360"/>
      <c r="E153" s="360"/>
      <c r="F153" s="360"/>
      <c r="G153" s="36">
        <v>0</v>
      </c>
      <c r="H153" s="36">
        <v>0</v>
      </c>
      <c r="J153" s="124" t="s">
        <v>26</v>
      </c>
      <c r="K153" s="360" t="s">
        <v>181</v>
      </c>
      <c r="L153" s="360"/>
      <c r="M153" s="360"/>
      <c r="N153" s="360"/>
      <c r="O153" s="360"/>
      <c r="P153" s="121">
        <f>H18</f>
        <v>0</v>
      </c>
      <c r="Q153" s="36">
        <f>P153</f>
        <v>0</v>
      </c>
      <c r="S153" s="124" t="s">
        <v>26</v>
      </c>
      <c r="T153" s="360" t="s">
        <v>181</v>
      </c>
      <c r="U153" s="360"/>
      <c r="V153" s="360"/>
      <c r="W153" s="360"/>
      <c r="X153" s="360"/>
      <c r="Y153" s="121">
        <f>H18</f>
        <v>0</v>
      </c>
      <c r="Z153" s="36">
        <f>Y153</f>
        <v>0</v>
      </c>
      <c r="AB153" s="124" t="s">
        <v>26</v>
      </c>
      <c r="AC153" s="360" t="s">
        <v>181</v>
      </c>
      <c r="AD153" s="360"/>
      <c r="AE153" s="360"/>
      <c r="AF153" s="360"/>
      <c r="AG153" s="360"/>
      <c r="AH153" s="121">
        <f>H18</f>
        <v>0</v>
      </c>
      <c r="AI153" s="36">
        <f>AH153</f>
        <v>0</v>
      </c>
    </row>
    <row r="154" spans="1:35">
      <c r="A154" s="124" t="s">
        <v>28</v>
      </c>
      <c r="B154" s="360" t="s">
        <v>181</v>
      </c>
      <c r="C154" s="360"/>
      <c r="D154" s="360"/>
      <c r="E154" s="360"/>
      <c r="F154" s="360"/>
      <c r="G154" s="36">
        <v>0</v>
      </c>
      <c r="H154" s="36">
        <v>0</v>
      </c>
      <c r="I154" s="4">
        <f>(G151+G154+G155+G153)</f>
        <v>0</v>
      </c>
      <c r="J154" s="124" t="s">
        <v>28</v>
      </c>
      <c r="K154" s="360" t="s">
        <v>181</v>
      </c>
      <c r="L154" s="360"/>
      <c r="M154" s="360"/>
      <c r="N154" s="360"/>
      <c r="O154" s="360"/>
      <c r="P154" s="121">
        <f>H19</f>
        <v>0</v>
      </c>
      <c r="Q154" s="36">
        <f>P154</f>
        <v>0</v>
      </c>
      <c r="S154" s="124" t="s">
        <v>28</v>
      </c>
      <c r="T154" s="360" t="s">
        <v>181</v>
      </c>
      <c r="U154" s="360"/>
      <c r="V154" s="360"/>
      <c r="W154" s="360"/>
      <c r="X154" s="360"/>
      <c r="Y154" s="121">
        <f>H19</f>
        <v>0</v>
      </c>
      <c r="Z154" s="36">
        <f>Y154</f>
        <v>0</v>
      </c>
      <c r="AB154" s="124" t="s">
        <v>28</v>
      </c>
      <c r="AC154" s="360" t="s">
        <v>181</v>
      </c>
      <c r="AD154" s="360"/>
      <c r="AE154" s="360"/>
      <c r="AF154" s="360"/>
      <c r="AG154" s="360"/>
      <c r="AH154" s="121">
        <f>H19</f>
        <v>0</v>
      </c>
      <c r="AI154" s="36">
        <f>AH154</f>
        <v>0</v>
      </c>
    </row>
    <row r="155" spans="1:35">
      <c r="A155" s="125" t="s">
        <v>29</v>
      </c>
      <c r="B155" s="361" t="s">
        <v>181</v>
      </c>
      <c r="C155" s="361"/>
      <c r="D155" s="361"/>
      <c r="E155" s="361"/>
      <c r="F155" s="361"/>
      <c r="G155" s="36">
        <v>0</v>
      </c>
      <c r="H155" s="36">
        <v>0</v>
      </c>
      <c r="I155" s="4">
        <f>(H151+H153+H154+H155)</f>
        <v>0</v>
      </c>
      <c r="J155" s="125" t="s">
        <v>29</v>
      </c>
      <c r="K155" s="361" t="s">
        <v>181</v>
      </c>
      <c r="L155" s="361"/>
      <c r="M155" s="361"/>
      <c r="N155" s="361"/>
      <c r="O155" s="361"/>
      <c r="P155" s="121">
        <f>H20</f>
        <v>0</v>
      </c>
      <c r="Q155" s="36">
        <f>P155</f>
        <v>0</v>
      </c>
      <c r="S155" s="125" t="s">
        <v>29</v>
      </c>
      <c r="T155" s="361" t="s">
        <v>181</v>
      </c>
      <c r="U155" s="361"/>
      <c r="V155" s="361"/>
      <c r="W155" s="361"/>
      <c r="X155" s="361"/>
      <c r="Y155" s="121">
        <f>H20</f>
        <v>0</v>
      </c>
      <c r="Z155" s="36">
        <f>Y155</f>
        <v>0</v>
      </c>
      <c r="AB155" s="125" t="s">
        <v>29</v>
      </c>
      <c r="AC155" s="361" t="s">
        <v>181</v>
      </c>
      <c r="AD155" s="361"/>
      <c r="AE155" s="361"/>
      <c r="AF155" s="361"/>
      <c r="AG155" s="361"/>
      <c r="AH155" s="121">
        <f>H20</f>
        <v>0</v>
      </c>
      <c r="AI155" s="36">
        <f>AH155</f>
        <v>0</v>
      </c>
    </row>
    <row r="156" spans="1:35" ht="21">
      <c r="A156" s="357" t="s">
        <v>182</v>
      </c>
      <c r="B156" s="357"/>
      <c r="C156" s="357"/>
      <c r="D156" s="357"/>
      <c r="E156" s="357"/>
      <c r="F156" s="357"/>
      <c r="G156" s="126">
        <f>G150-((G153*1.2)+(G154*1.2)+(G155*1.2)+(G151*1.2))</f>
        <v>17199.995999999999</v>
      </c>
      <c r="H156" s="126">
        <f>H150-((H153*1.2)+(H154*1.2)+(H155*1.2)+(H151*1.2))</f>
        <v>19695</v>
      </c>
      <c r="J156" s="362" t="s">
        <v>182</v>
      </c>
      <c r="K156" s="362"/>
      <c r="L156" s="362"/>
      <c r="M156" s="362"/>
      <c r="N156" s="362"/>
      <c r="O156" s="362"/>
      <c r="P156" s="123">
        <f>P150-((P153*1.2)+(P154*1.2)+(P155*1.2)+(P151*1.2))</f>
        <v>0</v>
      </c>
      <c r="Q156" s="126" t="e">
        <f>Q150-((Q153*1.2)+(Q154*1.2)+(Q155*1.2)+(Q151*1.2))</f>
        <v>#VALUE!</v>
      </c>
      <c r="S156" s="357" t="s">
        <v>182</v>
      </c>
      <c r="T156" s="357"/>
      <c r="U156" s="357"/>
      <c r="V156" s="357"/>
      <c r="W156" s="357"/>
      <c r="X156" s="357"/>
      <c r="Y156" s="123">
        <f>Y150-((Y153*1.2)+(Y154*1.2)+(Y155*1.2)+(Y151*1.2))</f>
        <v>0</v>
      </c>
      <c r="Z156" s="126" t="e">
        <f>Z150-((Z153*1.2)+(Z154*1.2)+(Z155*1.2)+(Z151*1.2))</f>
        <v>#VALUE!</v>
      </c>
      <c r="AB156" s="357" t="s">
        <v>182</v>
      </c>
      <c r="AC156" s="357"/>
      <c r="AD156" s="357"/>
      <c r="AE156" s="357"/>
      <c r="AF156" s="357"/>
      <c r="AG156" s="357"/>
      <c r="AH156" s="123">
        <f>AH150-((AH153*1.2)+(AH154*1.2)+(AH155*1.2)+(AH151*1.2))</f>
        <v>0</v>
      </c>
      <c r="AI156" s="126" t="e">
        <f>AI150-((AI153*1.2)+(AI154*1.2)+(AI155*1.2)+(AI151*1.2))</f>
        <v>#VALUE!</v>
      </c>
    </row>
    <row r="157" spans="1:35">
      <c r="A157" s="357" t="s">
        <v>183</v>
      </c>
      <c r="B157" s="357"/>
      <c r="C157" s="357"/>
      <c r="D157" s="357"/>
      <c r="E157" s="357"/>
      <c r="F157" s="357"/>
      <c r="G157" s="121"/>
      <c r="H157" s="36">
        <f>((H156-G156)-(H146-G146))+((I155-I154)*0.2)</f>
        <v>2079.170000000001</v>
      </c>
      <c r="I157" s="4">
        <f>(H157-G90)/1.2</f>
        <v>-11767.354999999998</v>
      </c>
      <c r="J157" s="357" t="s">
        <v>183</v>
      </c>
      <c r="K157" s="357"/>
      <c r="L157" s="357"/>
      <c r="M157" s="357"/>
      <c r="N157" s="357"/>
      <c r="O157" s="357"/>
      <c r="P157" s="121"/>
      <c r="Q157" s="36" t="e">
        <f>Q156-P156</f>
        <v>#VALUE!</v>
      </c>
      <c r="S157" s="357" t="s">
        <v>183</v>
      </c>
      <c r="T157" s="357"/>
      <c r="U157" s="357"/>
      <c r="V157" s="357"/>
      <c r="W157" s="357"/>
      <c r="X157" s="357"/>
      <c r="Y157" s="121"/>
      <c r="Z157" s="36" t="e">
        <f>Z156-Y156</f>
        <v>#VALUE!</v>
      </c>
      <c r="AB157" s="357" t="s">
        <v>183</v>
      </c>
      <c r="AC157" s="357"/>
      <c r="AD157" s="357"/>
      <c r="AE157" s="357"/>
      <c r="AF157" s="357"/>
      <c r="AG157" s="357"/>
      <c r="AH157" s="121"/>
      <c r="AI157" s="36" t="e">
        <f>AI156-AH156</f>
        <v>#VALUE!</v>
      </c>
    </row>
    <row r="158" spans="1:35">
      <c r="A158" s="27"/>
      <c r="B158" s="28"/>
      <c r="C158" s="28"/>
      <c r="D158" s="28"/>
      <c r="E158" s="21"/>
      <c r="F158" s="21"/>
      <c r="G158" s="21"/>
      <c r="H158" s="29"/>
      <c r="J158" s="27"/>
      <c r="K158" s="28"/>
      <c r="L158" s="28"/>
      <c r="M158" s="28"/>
      <c r="N158" s="21"/>
      <c r="O158" s="21"/>
      <c r="P158" s="21"/>
      <c r="Q158" s="29"/>
      <c r="S158" s="27"/>
      <c r="T158" s="28"/>
      <c r="U158" s="28"/>
      <c r="V158" s="28"/>
      <c r="W158" s="21"/>
      <c r="X158" s="21"/>
      <c r="Y158" s="21"/>
      <c r="Z158" s="29"/>
      <c r="AB158" s="27"/>
      <c r="AC158" s="28"/>
      <c r="AD158" s="28"/>
      <c r="AE158" s="28"/>
      <c r="AF158" s="21"/>
      <c r="AG158" s="21"/>
      <c r="AH158" s="21"/>
      <c r="AI158" s="29"/>
    </row>
    <row r="159" spans="1:35" ht="23.25">
      <c r="A159" s="335" t="s">
        <v>184</v>
      </c>
      <c r="B159" s="335"/>
      <c r="C159" s="335"/>
      <c r="D159" s="335"/>
      <c r="E159" s="335"/>
      <c r="F159" s="335"/>
      <c r="G159" s="335"/>
      <c r="H159" s="335"/>
      <c r="J159" s="335" t="s">
        <v>184</v>
      </c>
      <c r="K159" s="335"/>
      <c r="L159" s="335"/>
      <c r="M159" s="335"/>
      <c r="N159" s="335"/>
      <c r="O159" s="335"/>
      <c r="P159" s="335"/>
      <c r="Q159" s="335"/>
      <c r="S159" s="335" t="s">
        <v>184</v>
      </c>
      <c r="T159" s="335"/>
      <c r="U159" s="335"/>
      <c r="V159" s="335"/>
      <c r="W159" s="335"/>
      <c r="X159" s="335"/>
      <c r="Y159" s="335"/>
      <c r="Z159" s="335"/>
      <c r="AB159" s="335" t="s">
        <v>184</v>
      </c>
      <c r="AC159" s="335"/>
      <c r="AD159" s="335"/>
      <c r="AE159" s="335"/>
      <c r="AF159" s="335"/>
      <c r="AG159" s="335"/>
      <c r="AH159" s="335"/>
      <c r="AI159" s="335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 t="s">
        <v>185</v>
      </c>
      <c r="B161" s="28"/>
      <c r="C161" s="28"/>
      <c r="D161" s="21"/>
      <c r="E161" s="348">
        <v>0</v>
      </c>
      <c r="F161" s="348"/>
      <c r="G161" s="348">
        <v>0</v>
      </c>
      <c r="H161" s="348"/>
      <c r="J161" s="27" t="s">
        <v>185</v>
      </c>
      <c r="K161" s="28"/>
      <c r="L161" s="28"/>
      <c r="M161" s="21"/>
      <c r="N161" s="348">
        <v>10000</v>
      </c>
      <c r="O161" s="348"/>
      <c r="P161" s="348">
        <v>5000</v>
      </c>
      <c r="Q161" s="348"/>
      <c r="S161" s="27" t="s">
        <v>185</v>
      </c>
      <c r="T161" s="28"/>
      <c r="U161" s="28"/>
      <c r="V161" s="21"/>
      <c r="W161" s="348">
        <v>10000</v>
      </c>
      <c r="X161" s="348"/>
      <c r="Y161" s="348">
        <v>5000</v>
      </c>
      <c r="Z161" s="348"/>
      <c r="AB161" s="27" t="s">
        <v>185</v>
      </c>
      <c r="AC161" s="28"/>
      <c r="AD161" s="28"/>
      <c r="AE161" s="21"/>
      <c r="AF161" s="348">
        <v>10000</v>
      </c>
      <c r="AG161" s="348"/>
      <c r="AH161" s="348">
        <v>5000</v>
      </c>
      <c r="AI161" s="348"/>
    </row>
    <row r="162" spans="1:35">
      <c r="A162" s="27" t="s">
        <v>186</v>
      </c>
      <c r="B162" s="28"/>
      <c r="C162" s="28"/>
      <c r="D162" s="21"/>
      <c r="E162" s="363">
        <f>G162</f>
        <v>0</v>
      </c>
      <c r="F162" s="363"/>
      <c r="G162" s="348">
        <v>0</v>
      </c>
      <c r="H162" s="348"/>
      <c r="J162" s="27" t="s">
        <v>186</v>
      </c>
      <c r="K162" s="28"/>
      <c r="L162" s="28"/>
      <c r="M162" s="21"/>
      <c r="N162" s="363">
        <f>P162</f>
        <v>7000</v>
      </c>
      <c r="O162" s="363"/>
      <c r="P162" s="348">
        <v>7000</v>
      </c>
      <c r="Q162" s="348"/>
      <c r="S162" s="27" t="s">
        <v>186</v>
      </c>
      <c r="T162" s="28"/>
      <c r="U162" s="28"/>
      <c r="V162" s="21"/>
      <c r="W162" s="363">
        <f>Y162</f>
        <v>7000</v>
      </c>
      <c r="X162" s="363"/>
      <c r="Y162" s="348">
        <v>7000</v>
      </c>
      <c r="Z162" s="348"/>
      <c r="AB162" s="27" t="s">
        <v>186</v>
      </c>
      <c r="AC162" s="28"/>
      <c r="AD162" s="28"/>
      <c r="AE162" s="21"/>
      <c r="AF162" s="363">
        <f>AH162</f>
        <v>7000</v>
      </c>
      <c r="AG162" s="363"/>
      <c r="AH162" s="348">
        <v>7000</v>
      </c>
      <c r="AI162" s="348"/>
    </row>
    <row r="163" spans="1:35">
      <c r="A163" s="27" t="s">
        <v>187</v>
      </c>
      <c r="B163" s="28"/>
      <c r="C163" s="28"/>
      <c r="D163" s="21"/>
      <c r="E163" s="363">
        <f>E161-E162</f>
        <v>0</v>
      </c>
      <c r="F163" s="363"/>
      <c r="G163" s="364">
        <f>G161-G162</f>
        <v>0</v>
      </c>
      <c r="H163" s="364"/>
      <c r="J163" s="27" t="s">
        <v>187</v>
      </c>
      <c r="K163" s="28"/>
      <c r="L163" s="28"/>
      <c r="M163" s="21"/>
      <c r="N163" s="363">
        <f>N161-N162</f>
        <v>3000</v>
      </c>
      <c r="O163" s="363"/>
      <c r="P163" s="364">
        <f>P161-P162</f>
        <v>-2000</v>
      </c>
      <c r="Q163" s="364"/>
      <c r="S163" s="27" t="s">
        <v>187</v>
      </c>
      <c r="T163" s="28"/>
      <c r="U163" s="28"/>
      <c r="V163" s="21"/>
      <c r="W163" s="363">
        <f>W161-W162</f>
        <v>3000</v>
      </c>
      <c r="X163" s="363"/>
      <c r="Y163" s="364">
        <f>Y161-Y162</f>
        <v>-2000</v>
      </c>
      <c r="Z163" s="364"/>
      <c r="AB163" s="27" t="s">
        <v>187</v>
      </c>
      <c r="AC163" s="28"/>
      <c r="AD163" s="28"/>
      <c r="AE163" s="21"/>
      <c r="AF163" s="363">
        <f>AF161-AF162</f>
        <v>3000</v>
      </c>
      <c r="AG163" s="363"/>
      <c r="AH163" s="364">
        <f>AH161-AH162</f>
        <v>-2000</v>
      </c>
      <c r="AI163" s="364"/>
    </row>
    <row r="164" spans="1:35">
      <c r="A164" s="27" t="s">
        <v>188</v>
      </c>
      <c r="B164" s="28"/>
      <c r="C164" s="28"/>
      <c r="D164" s="21"/>
      <c r="E164" s="363">
        <f>E163-G163</f>
        <v>0</v>
      </c>
      <c r="F164" s="363"/>
      <c r="G164" s="21"/>
      <c r="H164" s="29"/>
      <c r="J164" s="27" t="s">
        <v>188</v>
      </c>
      <c r="K164" s="28"/>
      <c r="L164" s="28"/>
      <c r="M164" s="21"/>
      <c r="N164" s="363">
        <f>N163-P163</f>
        <v>5000</v>
      </c>
      <c r="O164" s="363"/>
      <c r="P164" s="21"/>
      <c r="Q164" s="29"/>
      <c r="S164" s="27" t="s">
        <v>188</v>
      </c>
      <c r="T164" s="28"/>
      <c r="U164" s="28"/>
      <c r="V164" s="21"/>
      <c r="W164" s="363">
        <f>W163-Y163</f>
        <v>5000</v>
      </c>
      <c r="X164" s="363"/>
      <c r="Y164" s="21"/>
      <c r="Z164" s="29"/>
      <c r="AB164" s="27" t="s">
        <v>188</v>
      </c>
      <c r="AC164" s="28"/>
      <c r="AD164" s="28"/>
      <c r="AE164" s="21"/>
      <c r="AF164" s="363">
        <f>AF163-AH163</f>
        <v>5000</v>
      </c>
      <c r="AG164" s="363"/>
      <c r="AH164" s="21"/>
      <c r="AI164" s="29"/>
    </row>
    <row r="165" spans="1:35">
      <c r="A165" s="27" t="s">
        <v>189</v>
      </c>
      <c r="B165" s="28"/>
      <c r="C165" s="28"/>
      <c r="D165" s="21"/>
      <c r="E165" s="28"/>
      <c r="F165" s="21"/>
      <c r="G165" s="21"/>
      <c r="H165" s="36">
        <v>1150</v>
      </c>
      <c r="J165" s="27"/>
      <c r="K165" s="28"/>
      <c r="L165" s="28"/>
      <c r="M165" s="21"/>
      <c r="N165" s="28"/>
      <c r="O165" s="21"/>
      <c r="P165" s="21"/>
      <c r="Q165" s="29"/>
      <c r="S165" s="27"/>
      <c r="T165" s="28"/>
      <c r="U165" s="28"/>
      <c r="V165" s="21"/>
      <c r="W165" s="28"/>
      <c r="X165" s="21"/>
      <c r="Y165" s="21"/>
      <c r="Z165" s="29"/>
      <c r="AB165" s="27"/>
      <c r="AC165" s="28"/>
      <c r="AD165" s="28"/>
      <c r="AE165" s="21"/>
      <c r="AF165" s="28"/>
      <c r="AG165" s="21"/>
      <c r="AH165" s="21"/>
      <c r="AI165" s="29"/>
    </row>
    <row r="166" spans="1:35">
      <c r="A166" s="22" t="s">
        <v>190</v>
      </c>
      <c r="B166" s="23"/>
      <c r="C166" s="23"/>
      <c r="D166" s="63"/>
      <c r="E166" s="23"/>
      <c r="F166" s="63"/>
      <c r="G166" s="365">
        <f>B120</f>
        <v>0</v>
      </c>
      <c r="H166" s="365"/>
      <c r="J166" s="22" t="s">
        <v>190</v>
      </c>
      <c r="K166" s="23"/>
      <c r="L166" s="23"/>
      <c r="M166" s="63"/>
      <c r="N166" s="23"/>
      <c r="O166" s="63"/>
      <c r="P166" s="365">
        <f>K120</f>
        <v>1000</v>
      </c>
      <c r="Q166" s="365"/>
      <c r="S166" s="22" t="s">
        <v>190</v>
      </c>
      <c r="T166" s="23"/>
      <c r="U166" s="23"/>
      <c r="V166" s="63"/>
      <c r="W166" s="23"/>
      <c r="X166" s="63"/>
      <c r="Y166" s="365">
        <f>T120</f>
        <v>1000</v>
      </c>
      <c r="Z166" s="365"/>
      <c r="AB166" s="22" t="s">
        <v>190</v>
      </c>
      <c r="AC166" s="23"/>
      <c r="AD166" s="23"/>
      <c r="AE166" s="63"/>
      <c r="AF166" s="23"/>
      <c r="AG166" s="63"/>
      <c r="AH166" s="365">
        <f>AC120</f>
        <v>1000</v>
      </c>
      <c r="AI166" s="365"/>
    </row>
    <row r="167" spans="1:35" ht="21">
      <c r="A167" s="129" t="s">
        <v>191</v>
      </c>
      <c r="B167" s="28"/>
      <c r="C167" s="28"/>
      <c r="D167" s="21"/>
      <c r="E167" s="28"/>
      <c r="F167" s="21"/>
      <c r="G167" s="366">
        <f>H156-G163-G166+H165</f>
        <v>20845</v>
      </c>
      <c r="H167" s="366"/>
      <c r="J167" s="129" t="s">
        <v>191</v>
      </c>
      <c r="K167" s="28"/>
      <c r="L167" s="28"/>
      <c r="M167" s="21"/>
      <c r="N167" s="28"/>
      <c r="O167" s="21"/>
      <c r="P167" s="366" t="e">
        <f>Q156-P163-P166</f>
        <v>#VALUE!</v>
      </c>
      <c r="Q167" s="366"/>
      <c r="S167" s="129" t="s">
        <v>191</v>
      </c>
      <c r="T167" s="28"/>
      <c r="U167" s="28"/>
      <c r="V167" s="21"/>
      <c r="W167" s="28"/>
      <c r="X167" s="21"/>
      <c r="Y167" s="366" t="e">
        <f>Z156-Y163-Y166</f>
        <v>#VALUE!</v>
      </c>
      <c r="Z167" s="366"/>
      <c r="AB167" s="129" t="s">
        <v>191</v>
      </c>
      <c r="AC167" s="28"/>
      <c r="AD167" s="28"/>
      <c r="AE167" s="21"/>
      <c r="AF167" s="28"/>
      <c r="AG167" s="21"/>
      <c r="AH167" s="366" t="e">
        <f>AI156-AH163-AH166</f>
        <v>#VALUE!</v>
      </c>
      <c r="AI167" s="366"/>
    </row>
    <row r="168" spans="1:35">
      <c r="A168" s="49" t="s">
        <v>66</v>
      </c>
      <c r="B168" s="50"/>
      <c r="C168" s="50"/>
      <c r="D168" s="85"/>
      <c r="E168" s="50"/>
      <c r="F168" s="85"/>
      <c r="G168" s="367">
        <f>B123</f>
        <v>833.33333333333337</v>
      </c>
      <c r="H168" s="367"/>
      <c r="J168" s="49" t="s">
        <v>66</v>
      </c>
      <c r="K168" s="50"/>
      <c r="L168" s="50"/>
      <c r="M168" s="85"/>
      <c r="N168" s="50"/>
      <c r="O168" s="85"/>
      <c r="P168" s="367">
        <f>K123</f>
        <v>239.99</v>
      </c>
      <c r="Q168" s="367"/>
      <c r="S168" s="49" t="s">
        <v>66</v>
      </c>
      <c r="T168" s="50"/>
      <c r="U168" s="50"/>
      <c r="V168" s="85"/>
      <c r="W168" s="50"/>
      <c r="X168" s="85"/>
      <c r="Y168" s="367">
        <f>T123</f>
        <v>199.99</v>
      </c>
      <c r="Z168" s="367"/>
      <c r="AB168" s="49" t="s">
        <v>66</v>
      </c>
      <c r="AC168" s="50"/>
      <c r="AD168" s="50"/>
      <c r="AE168" s="85"/>
      <c r="AF168" s="50"/>
      <c r="AG168" s="85"/>
      <c r="AH168" s="367">
        <f>AC123</f>
        <v>239.99</v>
      </c>
      <c r="AI168" s="367"/>
    </row>
    <row r="169" spans="1:35">
      <c r="A169" s="27"/>
      <c r="B169" s="28"/>
      <c r="C169" s="28"/>
      <c r="D169" s="28"/>
      <c r="E169" s="21"/>
      <c r="F169" s="21"/>
      <c r="G169" s="21"/>
      <c r="H169" s="29"/>
      <c r="J169" s="27"/>
      <c r="K169" s="28"/>
      <c r="L169" s="28"/>
      <c r="M169" s="28"/>
      <c r="N169" s="21"/>
      <c r="O169" s="21"/>
      <c r="P169" s="21"/>
      <c r="Q169" s="29"/>
      <c r="S169" s="27"/>
      <c r="T169" s="28"/>
      <c r="U169" s="28"/>
      <c r="V169" s="28"/>
      <c r="W169" s="21"/>
      <c r="X169" s="21"/>
      <c r="Y169" s="21"/>
      <c r="Z169" s="29"/>
      <c r="AB169" s="27"/>
      <c r="AC169" s="28"/>
      <c r="AD169" s="28"/>
      <c r="AE169" s="28"/>
      <c r="AF169" s="21"/>
      <c r="AG169" s="21"/>
      <c r="AH169" s="21"/>
      <c r="AI169" s="29"/>
    </row>
    <row r="170" spans="1:35">
      <c r="A170" s="27"/>
      <c r="B170" s="28"/>
      <c r="C170" s="28"/>
      <c r="D170" s="28"/>
      <c r="E170" s="21">
        <v>7200</v>
      </c>
      <c r="F170" s="21"/>
      <c r="G170" s="21"/>
      <c r="H170" s="29"/>
      <c r="J170" s="27"/>
      <c r="K170" s="28"/>
      <c r="L170" s="28"/>
      <c r="M170" s="28"/>
      <c r="N170" s="21"/>
      <c r="O170" s="21"/>
      <c r="P170" s="21"/>
      <c r="Q170" s="29"/>
      <c r="S170" s="27"/>
      <c r="T170" s="28"/>
      <c r="U170" s="28"/>
      <c r="V170" s="28"/>
      <c r="W170" s="21"/>
      <c r="X170" s="21"/>
      <c r="Y170" s="21"/>
      <c r="Z170" s="29"/>
      <c r="AB170" s="27"/>
      <c r="AC170" s="28"/>
      <c r="AD170" s="28"/>
      <c r="AE170" s="28"/>
      <c r="AF170" s="21"/>
      <c r="AG170" s="21"/>
      <c r="AH170" s="21"/>
      <c r="AI170" s="29"/>
    </row>
    <row r="171" spans="1:35" ht="23.25">
      <c r="A171" s="335" t="s">
        <v>192</v>
      </c>
      <c r="B171" s="335"/>
      <c r="C171" s="335"/>
      <c r="D171" s="335"/>
      <c r="E171" s="335"/>
      <c r="F171" s="335"/>
      <c r="G171" s="335"/>
      <c r="H171" s="335"/>
      <c r="J171" s="335" t="s">
        <v>192</v>
      </c>
      <c r="K171" s="335"/>
      <c r="L171" s="335"/>
      <c r="M171" s="335"/>
      <c r="N171" s="335"/>
      <c r="O171" s="335"/>
      <c r="P171" s="335"/>
      <c r="Q171" s="335"/>
      <c r="S171" s="335" t="s">
        <v>192</v>
      </c>
      <c r="T171" s="335"/>
      <c r="U171" s="335"/>
      <c r="V171" s="335"/>
      <c r="W171" s="335"/>
      <c r="X171" s="335"/>
      <c r="Y171" s="335"/>
      <c r="Z171" s="335"/>
      <c r="AB171" s="335" t="s">
        <v>192</v>
      </c>
      <c r="AC171" s="335"/>
      <c r="AD171" s="335"/>
      <c r="AE171" s="335"/>
      <c r="AF171" s="335"/>
      <c r="AG171" s="335"/>
      <c r="AH171" s="335"/>
      <c r="AI171" s="335"/>
    </row>
    <row r="172" spans="1:35">
      <c r="A172" s="27"/>
      <c r="B172" s="28"/>
      <c r="C172" s="28"/>
      <c r="D172" s="28"/>
      <c r="E172" s="21"/>
      <c r="F172" s="21"/>
      <c r="G172" s="21"/>
      <c r="H172" s="29"/>
      <c r="J172" s="27"/>
      <c r="K172" s="28"/>
      <c r="L172" s="28"/>
      <c r="M172" s="28"/>
      <c r="N172" s="21"/>
      <c r="O172" s="21"/>
      <c r="P172" s="21"/>
      <c r="Q172" s="29"/>
      <c r="S172" s="27"/>
      <c r="T172" s="28"/>
      <c r="U172" s="28"/>
      <c r="V172" s="28"/>
      <c r="W172" s="21"/>
      <c r="X172" s="21"/>
      <c r="Y172" s="21"/>
      <c r="Z172" s="29"/>
      <c r="AB172" s="27"/>
      <c r="AC172" s="28"/>
      <c r="AD172" s="28"/>
      <c r="AE172" s="28"/>
      <c r="AF172" s="21"/>
      <c r="AG172" s="21"/>
      <c r="AH172" s="21"/>
      <c r="AI172" s="29"/>
    </row>
    <row r="173" spans="1:35">
      <c r="A173" s="27" t="s">
        <v>193</v>
      </c>
      <c r="B173" s="368">
        <v>0</v>
      </c>
      <c r="C173" s="368"/>
      <c r="D173" s="28"/>
      <c r="E173" s="21"/>
      <c r="F173" s="21"/>
      <c r="G173" s="21"/>
      <c r="H173" s="29"/>
      <c r="J173" s="27" t="s">
        <v>193</v>
      </c>
      <c r="K173" s="368">
        <v>0</v>
      </c>
      <c r="L173" s="368"/>
      <c r="M173" s="28"/>
      <c r="N173" s="21"/>
      <c r="O173" s="21"/>
      <c r="P173" s="21"/>
      <c r="Q173" s="29"/>
      <c r="S173" s="27" t="s">
        <v>193</v>
      </c>
      <c r="T173" s="368">
        <v>0</v>
      </c>
      <c r="U173" s="368"/>
      <c r="V173" s="28"/>
      <c r="W173" s="21"/>
      <c r="X173" s="21"/>
      <c r="Y173" s="21"/>
      <c r="Z173" s="29"/>
      <c r="AB173" s="27" t="s">
        <v>193</v>
      </c>
      <c r="AC173" s="368">
        <v>0</v>
      </c>
      <c r="AD173" s="368"/>
      <c r="AE173" s="28"/>
      <c r="AF173" s="21"/>
      <c r="AG173" s="21"/>
      <c r="AH173" s="21"/>
      <c r="AI173" s="29"/>
    </row>
    <row r="174" spans="1:35">
      <c r="A174" s="27"/>
      <c r="B174" s="28"/>
      <c r="C174" s="28"/>
      <c r="D174" s="28"/>
      <c r="E174" s="21"/>
      <c r="F174" s="21"/>
      <c r="G174" s="21"/>
      <c r="H174" s="29"/>
      <c r="J174" s="27"/>
      <c r="K174" s="28"/>
      <c r="L174" s="28"/>
      <c r="M174" s="28"/>
      <c r="N174" s="21"/>
      <c r="O174" s="21"/>
      <c r="P174" s="21"/>
      <c r="Q174" s="29"/>
      <c r="S174" s="27"/>
      <c r="T174" s="28"/>
      <c r="U174" s="28"/>
      <c r="V174" s="28"/>
      <c r="W174" s="21"/>
      <c r="X174" s="21"/>
      <c r="Y174" s="21"/>
      <c r="Z174" s="29"/>
      <c r="AB174" s="27"/>
      <c r="AC174" s="28"/>
      <c r="AD174" s="28"/>
      <c r="AE174" s="28"/>
      <c r="AF174" s="21"/>
      <c r="AG174" s="21"/>
      <c r="AH174" s="21"/>
      <c r="AI174" s="29"/>
    </row>
    <row r="175" spans="1:35">
      <c r="A175" s="130" t="s">
        <v>194</v>
      </c>
      <c r="B175" s="131" t="s">
        <v>195</v>
      </c>
      <c r="C175" s="131"/>
      <c r="D175" s="131"/>
      <c r="E175" s="131" t="s">
        <v>196</v>
      </c>
      <c r="F175" s="21"/>
      <c r="G175" s="21" t="s">
        <v>197</v>
      </c>
      <c r="H175" s="29"/>
      <c r="J175" s="130" t="s">
        <v>194</v>
      </c>
      <c r="K175" s="131" t="s">
        <v>195</v>
      </c>
      <c r="L175" s="131"/>
      <c r="M175" s="131"/>
      <c r="N175" s="131" t="s">
        <v>196</v>
      </c>
      <c r="O175" s="21"/>
      <c r="P175" s="21"/>
      <c r="Q175" s="29"/>
      <c r="S175" s="130" t="s">
        <v>194</v>
      </c>
      <c r="T175" s="131" t="s">
        <v>195</v>
      </c>
      <c r="U175" s="131"/>
      <c r="V175" s="131"/>
      <c r="W175" s="131" t="s">
        <v>196</v>
      </c>
      <c r="X175" s="21"/>
      <c r="Y175" s="21"/>
      <c r="Z175" s="29"/>
      <c r="AB175" s="130" t="s">
        <v>194</v>
      </c>
      <c r="AC175" s="131" t="s">
        <v>195</v>
      </c>
      <c r="AD175" s="131"/>
      <c r="AE175" s="131"/>
      <c r="AF175" s="131" t="s">
        <v>196</v>
      </c>
      <c r="AG175" s="21"/>
      <c r="AH175" s="21"/>
      <c r="AI175" s="29"/>
    </row>
    <row r="176" spans="1:35">
      <c r="A176" s="132">
        <f>B104</f>
        <v>952.14011581605735</v>
      </c>
      <c r="B176" s="133">
        <f>B103</f>
        <v>0</v>
      </c>
      <c r="C176" s="131"/>
      <c r="D176" s="131"/>
      <c r="E176" s="133">
        <f>B105</f>
        <v>952.14011581605735</v>
      </c>
      <c r="F176" s="21"/>
      <c r="G176" s="21">
        <f>ROUND(G104,2)</f>
        <v>887.44</v>
      </c>
      <c r="H176" s="29"/>
      <c r="J176" s="132" t="e">
        <f>K104</f>
        <v>#VALUE!</v>
      </c>
      <c r="K176" s="133">
        <f>K103</f>
        <v>0</v>
      </c>
      <c r="L176" s="131"/>
      <c r="M176" s="131"/>
      <c r="N176" s="133" t="e">
        <f>K105</f>
        <v>#VALUE!</v>
      </c>
      <c r="O176" s="21"/>
      <c r="P176" s="21"/>
      <c r="Q176" s="29"/>
      <c r="S176" s="132" t="e">
        <f>T104</f>
        <v>#VALUE!</v>
      </c>
      <c r="T176" s="133">
        <f>T103</f>
        <v>0</v>
      </c>
      <c r="U176" s="131"/>
      <c r="V176" s="131"/>
      <c r="W176" s="133" t="e">
        <f>T105</f>
        <v>#VALUE!</v>
      </c>
      <c r="X176" s="21"/>
      <c r="Y176" s="21"/>
      <c r="Z176" s="29"/>
      <c r="AB176" s="132" t="e">
        <f>AC104</f>
        <v>#VALUE!</v>
      </c>
      <c r="AC176" s="133">
        <f>AC103</f>
        <v>0</v>
      </c>
      <c r="AD176" s="131"/>
      <c r="AE176" s="131"/>
      <c r="AF176" s="133" t="e">
        <f>AC105</f>
        <v>#VALUE!</v>
      </c>
      <c r="AG176" s="21"/>
      <c r="AH176" s="21"/>
      <c r="AI176" s="29"/>
    </row>
    <row r="177" spans="1:35">
      <c r="A177" s="27"/>
      <c r="B177" s="28"/>
      <c r="C177" s="28"/>
      <c r="D177" s="28"/>
      <c r="E177" s="21"/>
      <c r="F177" s="21"/>
      <c r="G177" s="21"/>
      <c r="H177" s="29"/>
      <c r="J177" s="27"/>
      <c r="K177" s="28"/>
      <c r="L177" s="28"/>
      <c r="M177" s="28"/>
      <c r="N177" s="21"/>
      <c r="O177" s="21"/>
      <c r="P177" s="21"/>
      <c r="Q177" s="29"/>
      <c r="S177" s="27"/>
      <c r="T177" s="28"/>
      <c r="U177" s="28"/>
      <c r="V177" s="28"/>
      <c r="W177" s="21"/>
      <c r="X177" s="21"/>
      <c r="Y177" s="21"/>
      <c r="Z177" s="29"/>
      <c r="AB177" s="27"/>
      <c r="AC177" s="28"/>
      <c r="AD177" s="28"/>
      <c r="AE177" s="28"/>
      <c r="AF177" s="21"/>
      <c r="AG177" s="21"/>
      <c r="AH177" s="21"/>
      <c r="AI177" s="29"/>
    </row>
    <row r="178" spans="1:35">
      <c r="A178" s="27" t="s">
        <v>94</v>
      </c>
      <c r="B178" s="28" t="s">
        <v>95</v>
      </c>
      <c r="C178" s="28"/>
      <c r="D178" s="21"/>
      <c r="E178" s="28" t="s">
        <v>198</v>
      </c>
      <c r="F178" s="21"/>
      <c r="G178" s="21"/>
      <c r="H178" s="29"/>
      <c r="J178" s="27" t="s">
        <v>94</v>
      </c>
      <c r="K178" s="28" t="s">
        <v>95</v>
      </c>
      <c r="L178" s="28"/>
      <c r="M178" s="21"/>
      <c r="N178" s="28" t="s">
        <v>198</v>
      </c>
      <c r="O178" s="21"/>
      <c r="P178" s="21"/>
      <c r="Q178" s="29"/>
      <c r="S178" s="27" t="s">
        <v>94</v>
      </c>
      <c r="T178" s="28" t="s">
        <v>95</v>
      </c>
      <c r="U178" s="28"/>
      <c r="V178" s="21"/>
      <c r="W178" s="28" t="s">
        <v>198</v>
      </c>
      <c r="X178" s="21"/>
      <c r="Y178" s="21"/>
      <c r="Z178" s="29"/>
      <c r="AB178" s="27" t="s">
        <v>94</v>
      </c>
      <c r="AC178" s="28" t="s">
        <v>95</v>
      </c>
      <c r="AD178" s="28"/>
      <c r="AE178" s="21"/>
      <c r="AF178" s="28" t="s">
        <v>198</v>
      </c>
      <c r="AG178" s="21"/>
      <c r="AH178" s="21"/>
      <c r="AI178" s="29"/>
    </row>
    <row r="179" spans="1:35">
      <c r="A179" s="134" t="str">
        <f>K29</f>
        <v>12</v>
      </c>
      <c r="B179" s="135" t="str">
        <f>K30</f>
        <v>5000</v>
      </c>
      <c r="C179" s="136"/>
      <c r="D179" s="21"/>
      <c r="E179" s="137">
        <f>B91</f>
        <v>7200</v>
      </c>
      <c r="F179" s="21"/>
      <c r="G179" s="21"/>
      <c r="H179" s="29"/>
      <c r="J179" s="134" t="str">
        <f>K29</f>
        <v>12</v>
      </c>
      <c r="K179" s="135" t="str">
        <f>K30</f>
        <v>5000</v>
      </c>
      <c r="L179" s="136"/>
      <c r="M179" s="21"/>
      <c r="N179" s="137" t="str">
        <f>IF(A120="YES",A40,0)</f>
        <v>12</v>
      </c>
      <c r="O179" s="21"/>
      <c r="P179" s="21"/>
      <c r="Q179" s="29"/>
      <c r="S179" s="134" t="str">
        <f>K29</f>
        <v>12</v>
      </c>
      <c r="T179" s="135" t="str">
        <f>K30</f>
        <v>5000</v>
      </c>
      <c r="U179" s="136"/>
      <c r="V179" s="21"/>
      <c r="W179" s="137" t="str">
        <f>IF(A120="YES",A40,0)</f>
        <v>12</v>
      </c>
      <c r="X179" s="21"/>
      <c r="Y179" s="21"/>
      <c r="Z179" s="29"/>
      <c r="AB179" s="134" t="str">
        <f>K29</f>
        <v>12</v>
      </c>
      <c r="AC179" s="135" t="str">
        <f>K30</f>
        <v>5000</v>
      </c>
      <c r="AD179" s="136"/>
      <c r="AE179" s="21"/>
      <c r="AF179" s="137" t="str">
        <f>IF(A120="YES",A40,0)</f>
        <v>12</v>
      </c>
      <c r="AG179" s="21"/>
      <c r="AH179" s="21"/>
      <c r="AI179" s="29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199</v>
      </c>
      <c r="B181" s="28" t="s">
        <v>200</v>
      </c>
      <c r="C181" s="28"/>
      <c r="D181" s="21"/>
      <c r="E181" s="28" t="s">
        <v>201</v>
      </c>
      <c r="F181" s="21"/>
      <c r="G181" s="21"/>
      <c r="H181" s="29"/>
      <c r="J181" s="27" t="s">
        <v>199</v>
      </c>
      <c r="K181" s="28" t="s">
        <v>200</v>
      </c>
      <c r="L181" s="28"/>
      <c r="M181" s="21"/>
      <c r="N181" s="28" t="s">
        <v>201</v>
      </c>
      <c r="O181" s="21"/>
      <c r="P181" s="21"/>
      <c r="Q181" s="29"/>
      <c r="S181" s="27" t="s">
        <v>199</v>
      </c>
      <c r="T181" s="28" t="s">
        <v>200</v>
      </c>
      <c r="U181" s="28"/>
      <c r="V181" s="21"/>
      <c r="W181" s="28" t="s">
        <v>201</v>
      </c>
      <c r="X181" s="21"/>
      <c r="Y181" s="21"/>
      <c r="Z181" s="29"/>
      <c r="AB181" s="27" t="s">
        <v>199</v>
      </c>
      <c r="AC181" s="28" t="s">
        <v>200</v>
      </c>
      <c r="AD181" s="28"/>
      <c r="AE181" s="21"/>
      <c r="AF181" s="28" t="s">
        <v>201</v>
      </c>
      <c r="AG181" s="21"/>
      <c r="AH181" s="21"/>
      <c r="AI181" s="29"/>
    </row>
    <row r="182" spans="1:35">
      <c r="A182" s="138">
        <f>H150-H146-H148-H149</f>
        <v>16412.5</v>
      </c>
      <c r="B182" s="34">
        <f>H146</f>
        <v>3282.5</v>
      </c>
      <c r="C182" s="38"/>
      <c r="D182" s="21"/>
      <c r="E182" s="137">
        <f>H148+H149</f>
        <v>0</v>
      </c>
      <c r="F182" s="21"/>
      <c r="G182" s="21"/>
      <c r="H182" s="29"/>
      <c r="J182" s="138" t="e">
        <f>Q150-Q146-Q148-Q149</f>
        <v>#VALUE!</v>
      </c>
      <c r="K182" s="34" t="e">
        <f>Q146</f>
        <v>#VALUE!</v>
      </c>
      <c r="L182" s="38"/>
      <c r="M182" s="21"/>
      <c r="N182" s="137">
        <f>Q148+Q149</f>
        <v>55</v>
      </c>
      <c r="O182" s="21"/>
      <c r="P182" s="21"/>
      <c r="Q182" s="29"/>
      <c r="S182" s="138" t="e">
        <f>Z150-Z146-Z148-Z149</f>
        <v>#VALUE!</v>
      </c>
      <c r="T182" s="34" t="e">
        <f>Z146</f>
        <v>#VALUE!</v>
      </c>
      <c r="U182" s="38"/>
      <c r="V182" s="21"/>
      <c r="W182" s="137">
        <f>Z148+Z149</f>
        <v>55</v>
      </c>
      <c r="X182" s="21"/>
      <c r="Y182" s="21"/>
      <c r="Z182" s="29"/>
      <c r="AB182" s="138" t="e">
        <f>AI150-AI146-AI148-AI149</f>
        <v>#VALUE!</v>
      </c>
      <c r="AC182" s="34" t="e">
        <f>AI146</f>
        <v>#VALUE!</v>
      </c>
      <c r="AD182" s="38"/>
      <c r="AE182" s="21"/>
      <c r="AF182" s="137">
        <f>AI148+AI149</f>
        <v>55</v>
      </c>
      <c r="AG182" s="21"/>
      <c r="AH182" s="21"/>
      <c r="AI182" s="29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202</v>
      </c>
      <c r="B184" s="28" t="s">
        <v>148</v>
      </c>
      <c r="C184" s="28"/>
      <c r="D184" s="21"/>
      <c r="E184" s="28" t="s">
        <v>149</v>
      </c>
      <c r="F184" s="21"/>
      <c r="G184" s="21"/>
      <c r="H184" s="29"/>
      <c r="J184" s="27" t="s">
        <v>202</v>
      </c>
      <c r="K184" s="28" t="s">
        <v>148</v>
      </c>
      <c r="L184" s="28"/>
      <c r="M184" s="21"/>
      <c r="N184" s="28" t="s">
        <v>149</v>
      </c>
      <c r="O184" s="21"/>
      <c r="P184" s="21"/>
      <c r="Q184" s="29"/>
      <c r="S184" s="27" t="s">
        <v>202</v>
      </c>
      <c r="T184" s="28" t="s">
        <v>148</v>
      </c>
      <c r="U184" s="28"/>
      <c r="V184" s="21"/>
      <c r="W184" s="28" t="s">
        <v>149</v>
      </c>
      <c r="X184" s="21"/>
      <c r="Y184" s="21"/>
      <c r="Z184" s="29"/>
      <c r="AB184" s="27" t="s">
        <v>202</v>
      </c>
      <c r="AC184" s="28" t="s">
        <v>148</v>
      </c>
      <c r="AD184" s="28"/>
      <c r="AE184" s="21"/>
      <c r="AF184" s="28" t="s">
        <v>149</v>
      </c>
      <c r="AG184" s="21"/>
      <c r="AH184" s="21"/>
      <c r="AI184" s="29"/>
    </row>
    <row r="185" spans="1:35">
      <c r="A185" s="138">
        <f>H150</f>
        <v>19695</v>
      </c>
      <c r="B185" s="34">
        <f>B120</f>
        <v>0</v>
      </c>
      <c r="C185" s="34"/>
      <c r="D185" s="21"/>
      <c r="E185" s="34">
        <f>E120</f>
        <v>0</v>
      </c>
      <c r="F185" s="21"/>
      <c r="G185" s="21"/>
      <c r="H185" s="90"/>
      <c r="J185" s="138" t="e">
        <f>Q150</f>
        <v>#VALUE!</v>
      </c>
      <c r="K185" s="34">
        <f>K120</f>
        <v>1000</v>
      </c>
      <c r="L185" s="34"/>
      <c r="M185" s="21"/>
      <c r="N185" s="34">
        <f>N120</f>
        <v>0</v>
      </c>
      <c r="O185" s="21"/>
      <c r="P185" s="21"/>
      <c r="Q185" s="90"/>
      <c r="S185" s="138" t="e">
        <f>Z150</f>
        <v>#VALUE!</v>
      </c>
      <c r="T185" s="34">
        <f>T120</f>
        <v>1000</v>
      </c>
      <c r="U185" s="34"/>
      <c r="V185" s="21"/>
      <c r="W185" s="34">
        <f>W120</f>
        <v>0</v>
      </c>
      <c r="X185" s="21"/>
      <c r="Y185" s="21"/>
      <c r="Z185" s="90"/>
      <c r="AB185" s="138" t="e">
        <f>AI150</f>
        <v>#VALUE!</v>
      </c>
      <c r="AC185" s="34">
        <f>AC120</f>
        <v>1000</v>
      </c>
      <c r="AD185" s="34"/>
      <c r="AE185" s="21"/>
      <c r="AF185" s="34">
        <f>AF120</f>
        <v>0</v>
      </c>
      <c r="AG185" s="21"/>
      <c r="AH185" s="21"/>
      <c r="AI185" s="90"/>
    </row>
    <row r="186" spans="1:35">
      <c r="A186" s="27"/>
      <c r="B186" s="28"/>
      <c r="C186" s="28"/>
      <c r="D186" s="21"/>
      <c r="E186" s="28"/>
      <c r="F186" s="21"/>
      <c r="G186" s="21"/>
      <c r="H186" s="29"/>
      <c r="J186" s="27"/>
      <c r="K186" s="28"/>
      <c r="L186" s="28"/>
      <c r="M186" s="21"/>
      <c r="N186" s="28"/>
      <c r="O186" s="21"/>
      <c r="P186" s="21"/>
      <c r="Q186" s="29"/>
      <c r="S186" s="27"/>
      <c r="T186" s="28"/>
      <c r="U186" s="28"/>
      <c r="V186" s="21"/>
      <c r="W186" s="28"/>
      <c r="X186" s="21"/>
      <c r="Y186" s="21"/>
      <c r="Z186" s="29"/>
      <c r="AB186" s="27"/>
      <c r="AC186" s="28"/>
      <c r="AD186" s="28"/>
      <c r="AE186" s="21"/>
      <c r="AF186" s="28"/>
      <c r="AG186" s="21"/>
      <c r="AH186" s="21"/>
      <c r="AI186" s="29"/>
    </row>
    <row r="187" spans="1:35">
      <c r="A187" s="27" t="s">
        <v>150</v>
      </c>
      <c r="B187" s="28" t="s">
        <v>185</v>
      </c>
      <c r="C187" s="28"/>
      <c r="D187" s="21"/>
      <c r="E187" s="28" t="s">
        <v>191</v>
      </c>
      <c r="F187" s="21"/>
      <c r="G187" s="21"/>
      <c r="H187" s="29"/>
      <c r="J187" s="27" t="s">
        <v>150</v>
      </c>
      <c r="K187" s="28" t="s">
        <v>185</v>
      </c>
      <c r="L187" s="28"/>
      <c r="M187" s="21"/>
      <c r="N187" s="28" t="s">
        <v>191</v>
      </c>
      <c r="O187" s="21"/>
      <c r="P187" s="21"/>
      <c r="Q187" s="29"/>
      <c r="S187" s="27" t="s">
        <v>150</v>
      </c>
      <c r="T187" s="28" t="s">
        <v>185</v>
      </c>
      <c r="U187" s="28"/>
      <c r="V187" s="21"/>
      <c r="W187" s="28" t="s">
        <v>191</v>
      </c>
      <c r="X187" s="21"/>
      <c r="Y187" s="21"/>
      <c r="Z187" s="29"/>
      <c r="AB187" s="27" t="s">
        <v>150</v>
      </c>
      <c r="AC187" s="28" t="s">
        <v>185</v>
      </c>
      <c r="AD187" s="28"/>
      <c r="AE187" s="21"/>
      <c r="AF187" s="28" t="s">
        <v>191</v>
      </c>
      <c r="AG187" s="21"/>
      <c r="AH187" s="21"/>
      <c r="AI187" s="29"/>
    </row>
    <row r="188" spans="1:35">
      <c r="A188" s="94">
        <f>B185+E185</f>
        <v>0</v>
      </c>
      <c r="B188" s="34">
        <f>G163</f>
        <v>0</v>
      </c>
      <c r="C188" s="34"/>
      <c r="D188" s="21"/>
      <c r="E188" s="34">
        <f>G167</f>
        <v>20845</v>
      </c>
      <c r="F188" s="21"/>
      <c r="G188" s="21"/>
      <c r="H188" s="90"/>
      <c r="J188" s="94">
        <f>K185+N185</f>
        <v>1000</v>
      </c>
      <c r="K188" s="34">
        <f>P163</f>
        <v>-2000</v>
      </c>
      <c r="L188" s="34"/>
      <c r="M188" s="21"/>
      <c r="N188" s="34" t="e">
        <f>J185-J188-K188</f>
        <v>#VALUE!</v>
      </c>
      <c r="O188" s="21"/>
      <c r="P188" s="21"/>
      <c r="Q188" s="90"/>
      <c r="S188" s="94">
        <f>T185+W185</f>
        <v>1000</v>
      </c>
      <c r="T188" s="34">
        <f>Y163</f>
        <v>-2000</v>
      </c>
      <c r="U188" s="34"/>
      <c r="V188" s="21"/>
      <c r="W188" s="34" t="e">
        <f>S185-S188-T188</f>
        <v>#VALUE!</v>
      </c>
      <c r="X188" s="21"/>
      <c r="Y188" s="21"/>
      <c r="Z188" s="90"/>
      <c r="AB188" s="94">
        <f>AC185+AF185</f>
        <v>1000</v>
      </c>
      <c r="AC188" s="34">
        <f>AH163</f>
        <v>-2000</v>
      </c>
      <c r="AD188" s="34"/>
      <c r="AE188" s="21"/>
      <c r="AF188" s="34" t="e">
        <f>AB185-AB188-AC188</f>
        <v>#VALUE!</v>
      </c>
      <c r="AG188" s="21"/>
      <c r="AH188" s="21"/>
      <c r="AI188" s="90"/>
    </row>
    <row r="189" spans="1:35">
      <c r="A189" s="27"/>
      <c r="B189" s="28"/>
      <c r="C189" s="28"/>
      <c r="D189" s="21"/>
      <c r="E189" s="28"/>
      <c r="F189" s="21"/>
      <c r="G189" s="21"/>
      <c r="H189" s="29"/>
      <c r="J189" s="27"/>
      <c r="K189" s="28"/>
      <c r="L189" s="28"/>
      <c r="M189" s="21"/>
      <c r="N189" s="28"/>
      <c r="O189" s="21"/>
      <c r="P189" s="21"/>
      <c r="Q189" s="29"/>
      <c r="S189" s="27"/>
      <c r="T189" s="28"/>
      <c r="U189" s="28"/>
      <c r="V189" s="21"/>
      <c r="W189" s="28"/>
      <c r="X189" s="21"/>
      <c r="Y189" s="21"/>
      <c r="Z189" s="29"/>
      <c r="AB189" s="27"/>
      <c r="AC189" s="28"/>
      <c r="AD189" s="28"/>
      <c r="AE189" s="21"/>
      <c r="AF189" s="28"/>
      <c r="AG189" s="21"/>
      <c r="AH189" s="21"/>
      <c r="AI189" s="29"/>
    </row>
    <row r="190" spans="1:35">
      <c r="A190" s="27" t="s">
        <v>203</v>
      </c>
      <c r="B190" s="28" t="s">
        <v>66</v>
      </c>
      <c r="C190" s="28"/>
      <c r="D190" s="21"/>
      <c r="E190" s="28" t="s">
        <v>204</v>
      </c>
      <c r="F190" s="21"/>
      <c r="G190" s="21"/>
      <c r="H190" s="29"/>
      <c r="J190" s="27" t="s">
        <v>203</v>
      </c>
      <c r="K190" s="28" t="s">
        <v>66</v>
      </c>
      <c r="L190" s="28"/>
      <c r="M190" s="21"/>
      <c r="N190" s="28" t="s">
        <v>204</v>
      </c>
      <c r="O190" s="21"/>
      <c r="P190" s="21"/>
      <c r="Q190" s="29"/>
      <c r="S190" s="27" t="s">
        <v>203</v>
      </c>
      <c r="T190" s="28" t="s">
        <v>66</v>
      </c>
      <c r="U190" s="28"/>
      <c r="V190" s="21"/>
      <c r="W190" s="28" t="s">
        <v>204</v>
      </c>
      <c r="X190" s="21"/>
      <c r="Y190" s="21"/>
      <c r="Z190" s="29"/>
      <c r="AB190" s="27" t="s">
        <v>203</v>
      </c>
      <c r="AC190" s="28" t="s">
        <v>66</v>
      </c>
      <c r="AD190" s="28"/>
      <c r="AE190" s="21"/>
      <c r="AF190" s="28" t="s">
        <v>204</v>
      </c>
      <c r="AG190" s="21"/>
      <c r="AH190" s="21"/>
      <c r="AI190" s="29"/>
    </row>
    <row r="191" spans="1:35">
      <c r="A191" s="94">
        <f>(A176*B68)+E194-E188-A194</f>
        <v>-3171.4587260233675</v>
      </c>
      <c r="B191" s="34">
        <f>B123</f>
        <v>833.33333333333337</v>
      </c>
      <c r="C191" s="34"/>
      <c r="D191" s="21"/>
      <c r="E191" s="34">
        <f>E188+A191+(B191*1.2)+A194</f>
        <v>18683.541273976633</v>
      </c>
      <c r="F191" s="21"/>
      <c r="G191" s="21"/>
      <c r="H191" s="90"/>
      <c r="J191" s="94" t="e">
        <f>(J176*K68)+N194-N188-J194</f>
        <v>#VALUE!</v>
      </c>
      <c r="K191" s="34">
        <f>K123</f>
        <v>239.99</v>
      </c>
      <c r="L191" s="34"/>
      <c r="M191" s="21"/>
      <c r="N191" s="34" t="e">
        <f>N188+J191+K191+J194</f>
        <v>#VALUE!</v>
      </c>
      <c r="O191" s="21"/>
      <c r="P191" s="21"/>
      <c r="Q191" s="90"/>
      <c r="S191" s="94" t="e">
        <f>(S176*T68)+W194-W188-S194</f>
        <v>#VALUE!</v>
      </c>
      <c r="T191" s="34">
        <f>T123</f>
        <v>199.99</v>
      </c>
      <c r="U191" s="34"/>
      <c r="V191" s="21"/>
      <c r="W191" s="34" t="e">
        <f>W188+S191+T191+S194</f>
        <v>#VALUE!</v>
      </c>
      <c r="X191" s="21"/>
      <c r="Y191" s="21"/>
      <c r="Z191" s="90"/>
      <c r="AB191" s="94" t="e">
        <f>(AB176*AC68)+AF194-AF188-AB194</f>
        <v>#VALUE!</v>
      </c>
      <c r="AC191" s="34">
        <f>AC123</f>
        <v>239.99</v>
      </c>
      <c r="AD191" s="34"/>
      <c r="AE191" s="21"/>
      <c r="AF191" s="34" t="e">
        <f>AF188+AB191+AC191+AB194</f>
        <v>#VALUE!</v>
      </c>
      <c r="AG191" s="21"/>
      <c r="AH191" s="21"/>
      <c r="AI191" s="90"/>
    </row>
    <row r="192" spans="1:35">
      <c r="A192" s="27"/>
      <c r="B192" s="28"/>
      <c r="C192" s="28"/>
      <c r="D192" s="21"/>
      <c r="E192" s="28"/>
      <c r="F192" s="21"/>
      <c r="G192" s="21"/>
      <c r="H192" s="29"/>
      <c r="J192" s="27"/>
      <c r="K192" s="28"/>
      <c r="L192" s="28"/>
      <c r="M192" s="21"/>
      <c r="N192" s="28"/>
      <c r="O192" s="21"/>
      <c r="P192" s="21"/>
      <c r="Q192" s="29"/>
      <c r="S192" s="27"/>
      <c r="T192" s="28"/>
      <c r="U192" s="28"/>
      <c r="V192" s="21"/>
      <c r="W192" s="28"/>
      <c r="X192" s="21"/>
      <c r="Y192" s="21"/>
      <c r="Z192" s="29"/>
      <c r="AB192" s="27"/>
      <c r="AC192" s="28"/>
      <c r="AD192" s="28"/>
      <c r="AE192" s="21"/>
      <c r="AF192" s="28"/>
      <c r="AG192" s="21"/>
      <c r="AH192" s="21"/>
      <c r="AI192" s="29"/>
    </row>
    <row r="193" spans="1:35">
      <c r="A193" s="27" t="s">
        <v>205</v>
      </c>
      <c r="B193" s="28" t="s">
        <v>206</v>
      </c>
      <c r="C193" s="28"/>
      <c r="D193" s="21"/>
      <c r="E193" s="28" t="s">
        <v>207</v>
      </c>
      <c r="F193" s="21"/>
      <c r="G193" s="21"/>
      <c r="H193" s="29"/>
      <c r="J193" s="27" t="s">
        <v>205</v>
      </c>
      <c r="K193" s="28" t="s">
        <v>206</v>
      </c>
      <c r="L193" s="28"/>
      <c r="M193" s="21"/>
      <c r="N193" s="28" t="s">
        <v>207</v>
      </c>
      <c r="O193" s="21"/>
      <c r="P193" s="21"/>
      <c r="Q193" s="29"/>
      <c r="S193" s="27" t="s">
        <v>205</v>
      </c>
      <c r="T193" s="28" t="s">
        <v>206</v>
      </c>
      <c r="U193" s="28"/>
      <c r="V193" s="21"/>
      <c r="W193" s="28" t="s">
        <v>207</v>
      </c>
      <c r="X193" s="21"/>
      <c r="Y193" s="21"/>
      <c r="Z193" s="29"/>
      <c r="AB193" s="27" t="s">
        <v>205</v>
      </c>
      <c r="AC193" s="28" t="s">
        <v>206</v>
      </c>
      <c r="AD193" s="28"/>
      <c r="AE193" s="21"/>
      <c r="AF193" s="28" t="s">
        <v>207</v>
      </c>
      <c r="AG193" s="21"/>
      <c r="AH193" s="21"/>
      <c r="AI193" s="29"/>
    </row>
    <row r="194" spans="1:35">
      <c r="A194" s="94">
        <f>B69</f>
        <v>10</v>
      </c>
      <c r="B194" s="34">
        <f>A188+B191*1.2</f>
        <v>1000</v>
      </c>
      <c r="C194" s="34"/>
      <c r="D194" s="21"/>
      <c r="E194" s="34">
        <f>IF( E179=0, A194+E176, E179+A194)</f>
        <v>7210</v>
      </c>
      <c r="F194" s="21"/>
      <c r="G194" s="21"/>
      <c r="H194" s="90"/>
      <c r="J194" s="94">
        <f>K69</f>
        <v>20</v>
      </c>
      <c r="K194" s="34">
        <f>J188+K191</f>
        <v>1239.99</v>
      </c>
      <c r="L194" s="34"/>
      <c r="M194" s="21"/>
      <c r="N194" s="34">
        <f>N179+J194</f>
        <v>32</v>
      </c>
      <c r="O194" s="21"/>
      <c r="P194" s="21"/>
      <c r="Q194" s="90"/>
      <c r="S194" s="94">
        <f>T69</f>
        <v>10</v>
      </c>
      <c r="T194" s="34">
        <f>S188+T191</f>
        <v>1199.99</v>
      </c>
      <c r="U194" s="34"/>
      <c r="V194" s="21"/>
      <c r="W194" s="34">
        <f>W179+S194</f>
        <v>22</v>
      </c>
      <c r="X194" s="21"/>
      <c r="Y194" s="21"/>
      <c r="Z194" s="90"/>
      <c r="AB194" s="94">
        <f>AC69</f>
        <v>10</v>
      </c>
      <c r="AC194" s="34">
        <f>AB188+AC191</f>
        <v>1239.99</v>
      </c>
      <c r="AD194" s="34"/>
      <c r="AE194" s="21"/>
      <c r="AF194" s="34">
        <f>AF179+AB194</f>
        <v>22</v>
      </c>
      <c r="AG194" s="21"/>
      <c r="AH194" s="21"/>
      <c r="AI194" s="90"/>
    </row>
    <row r="195" spans="1:35">
      <c r="A195" s="27"/>
      <c r="B195" s="28"/>
      <c r="C195" s="28"/>
      <c r="D195" s="28"/>
      <c r="E195" s="21"/>
      <c r="F195" s="21"/>
      <c r="G195" s="21"/>
      <c r="H195" s="29"/>
      <c r="J195" s="27"/>
      <c r="K195" s="28"/>
      <c r="L195" s="28"/>
      <c r="M195" s="28"/>
      <c r="N195" s="21"/>
      <c r="O195" s="21"/>
      <c r="P195" s="21"/>
      <c r="Q195" s="29"/>
      <c r="S195" s="27"/>
      <c r="T195" s="28"/>
      <c r="U195" s="28"/>
      <c r="V195" s="28"/>
      <c r="W195" s="21"/>
      <c r="X195" s="28"/>
      <c r="Y195" s="28"/>
      <c r="Z195" s="29"/>
      <c r="AB195" s="27"/>
      <c r="AC195" s="28"/>
      <c r="AD195" s="28"/>
      <c r="AE195" s="28"/>
      <c r="AF195" s="21"/>
      <c r="AG195" s="21"/>
      <c r="AH195" s="21"/>
      <c r="AI195" s="29"/>
    </row>
    <row r="196" spans="1:35">
      <c r="A196" s="27" t="s">
        <v>208</v>
      </c>
      <c r="B196" s="28" t="s">
        <v>209</v>
      </c>
      <c r="C196" s="28"/>
      <c r="D196" s="28"/>
      <c r="E196" s="35" t="s">
        <v>210</v>
      </c>
      <c r="F196" s="21"/>
      <c r="G196" s="21"/>
      <c r="H196" s="29"/>
      <c r="J196" s="27" t="s">
        <v>208</v>
      </c>
      <c r="K196" s="28" t="s">
        <v>209</v>
      </c>
      <c r="L196" s="28"/>
      <c r="M196" s="28"/>
      <c r="N196" s="35" t="s">
        <v>210</v>
      </c>
      <c r="O196" s="21"/>
      <c r="P196" s="21"/>
      <c r="Q196" s="29"/>
      <c r="S196" s="27" t="s">
        <v>208</v>
      </c>
      <c r="T196" s="28" t="s">
        <v>209</v>
      </c>
      <c r="U196" s="28"/>
      <c r="V196" s="28"/>
      <c r="W196" s="35" t="s">
        <v>210</v>
      </c>
      <c r="X196" s="28"/>
      <c r="Y196" s="28"/>
      <c r="Z196" s="29"/>
      <c r="AB196" s="27" t="s">
        <v>208</v>
      </c>
      <c r="AC196" s="28" t="s">
        <v>209</v>
      </c>
      <c r="AD196" s="28"/>
      <c r="AE196" s="28"/>
      <c r="AF196" s="35" t="s">
        <v>210</v>
      </c>
      <c r="AG196" s="28"/>
      <c r="AH196" s="28"/>
      <c r="AI196" s="29"/>
    </row>
    <row r="197" spans="1:35">
      <c r="A197" s="94">
        <f>J18*0.000002*100</f>
        <v>8.1052</v>
      </c>
      <c r="B197" s="34">
        <f>(G167*B76)</f>
        <v>416.90000000000003</v>
      </c>
      <c r="C197" s="28"/>
      <c r="D197" s="28"/>
      <c r="E197" s="34">
        <f>IF(E114="YES",(K55*A117*0.1),0)</f>
        <v>0</v>
      </c>
      <c r="F197" s="21"/>
      <c r="G197" s="21"/>
      <c r="H197" s="29"/>
      <c r="J197" s="94">
        <f>IF(N114="YES",H15*0.000002,0)</f>
        <v>0</v>
      </c>
      <c r="K197" s="34" t="e">
        <f>(P167*K76)/1.2</f>
        <v>#VALUE!</v>
      </c>
      <c r="L197" s="28"/>
      <c r="M197" s="28"/>
      <c r="N197" s="34">
        <f>(E40*J117)*0.1</f>
        <v>0</v>
      </c>
      <c r="O197" s="21"/>
      <c r="P197" s="21"/>
      <c r="Q197" s="29"/>
      <c r="S197" s="94">
        <f>IF(W114="YES",Z15*0.000002,0)</f>
        <v>0</v>
      </c>
      <c r="T197" s="34" t="e">
        <f>(Y167*T76)/1.2</f>
        <v>#VALUE!</v>
      </c>
      <c r="U197" s="28"/>
      <c r="V197" s="28"/>
      <c r="W197" s="34">
        <f>(E40*S117)*0.1</f>
        <v>0</v>
      </c>
      <c r="X197" s="28"/>
      <c r="Y197" s="28"/>
      <c r="Z197" s="29"/>
      <c r="AB197" s="94">
        <f>IF(AF114="YES",AI15*0.000002,0)</f>
        <v>0</v>
      </c>
      <c r="AC197" s="34" t="e">
        <f>(AH167*AC76)/1.2</f>
        <v>#VALUE!</v>
      </c>
      <c r="AD197" s="28"/>
      <c r="AE197" s="28"/>
      <c r="AF197" s="34">
        <f>(E40*AB117)*0.1</f>
        <v>0</v>
      </c>
      <c r="AG197" s="28"/>
      <c r="AH197" s="28"/>
      <c r="AI197" s="29"/>
    </row>
    <row r="198" spans="1:35">
      <c r="A198" s="94"/>
      <c r="B198" s="34"/>
      <c r="C198" s="28"/>
      <c r="D198" s="28"/>
      <c r="E198" s="21"/>
      <c r="F198" s="21"/>
      <c r="G198" s="21"/>
      <c r="H198" s="29"/>
      <c r="J198" s="94"/>
      <c r="K198" s="34"/>
      <c r="L198" s="28"/>
      <c r="M198" s="28"/>
      <c r="N198" s="21"/>
      <c r="O198" s="21"/>
      <c r="P198" s="21"/>
      <c r="Q198" s="29"/>
      <c r="S198" s="94"/>
      <c r="T198" s="34"/>
      <c r="U198" s="28"/>
      <c r="V198" s="28"/>
      <c r="W198" s="21"/>
      <c r="X198" s="28"/>
      <c r="Y198" s="28"/>
      <c r="Z198" s="29"/>
      <c r="AB198" s="94"/>
      <c r="AC198" s="34"/>
      <c r="AD198" s="28"/>
      <c r="AE198" s="28"/>
      <c r="AF198" s="21"/>
      <c r="AG198" s="28"/>
      <c r="AH198" s="28"/>
      <c r="AI198" s="29"/>
    </row>
    <row r="199" spans="1:35">
      <c r="A199" s="53" t="s">
        <v>211</v>
      </c>
      <c r="B199" s="35" t="s">
        <v>212</v>
      </c>
      <c r="C199" s="28"/>
      <c r="D199" s="28"/>
      <c r="E199" s="35" t="s">
        <v>213</v>
      </c>
      <c r="F199" s="21"/>
      <c r="G199" s="21"/>
      <c r="H199" s="29"/>
      <c r="J199" s="53" t="s">
        <v>211</v>
      </c>
      <c r="K199" s="35" t="s">
        <v>212</v>
      </c>
      <c r="L199" s="28"/>
      <c r="M199" s="28"/>
      <c r="N199" s="35" t="s">
        <v>213</v>
      </c>
      <c r="O199" s="21"/>
      <c r="P199" s="21"/>
      <c r="Q199" s="29"/>
      <c r="S199" s="53" t="s">
        <v>211</v>
      </c>
      <c r="T199" s="35" t="s">
        <v>212</v>
      </c>
      <c r="U199" s="28"/>
      <c r="V199" s="28"/>
      <c r="W199" s="35" t="s">
        <v>213</v>
      </c>
      <c r="X199" s="28"/>
      <c r="Y199" s="28"/>
      <c r="Z199" s="29"/>
      <c r="AB199" s="53" t="s">
        <v>211</v>
      </c>
      <c r="AC199" s="35" t="s">
        <v>212</v>
      </c>
      <c r="AD199" s="28"/>
      <c r="AE199" s="28"/>
      <c r="AF199" s="35" t="s">
        <v>213</v>
      </c>
      <c r="AG199" s="28"/>
      <c r="AH199" s="28"/>
      <c r="AI199" s="29"/>
    </row>
    <row r="200" spans="1:35">
      <c r="A200" s="94">
        <v>10</v>
      </c>
      <c r="B200" s="34">
        <f>B197+E197+A200</f>
        <v>426.90000000000003</v>
      </c>
      <c r="C200" s="28"/>
      <c r="D200" s="28"/>
      <c r="E200" s="34">
        <f>H157</f>
        <v>2079.170000000001</v>
      </c>
      <c r="F200" s="21"/>
      <c r="G200" s="21"/>
      <c r="H200" s="29"/>
      <c r="J200" s="94">
        <f>K194-100</f>
        <v>1139.99</v>
      </c>
      <c r="K200" s="34" t="e">
        <f>K197+N197+J200</f>
        <v>#VALUE!</v>
      </c>
      <c r="L200" s="28"/>
      <c r="M200" s="28"/>
      <c r="N200" s="34" t="e">
        <f>Q157</f>
        <v>#VALUE!</v>
      </c>
      <c r="O200" s="21"/>
      <c r="P200" s="21"/>
      <c r="Q200" s="29"/>
      <c r="S200" s="94">
        <f>T194-100</f>
        <v>1099.99</v>
      </c>
      <c r="T200" s="34" t="e">
        <f>T197+W197+S200</f>
        <v>#VALUE!</v>
      </c>
      <c r="U200" s="28"/>
      <c r="V200" s="28"/>
      <c r="W200" s="34" t="e">
        <f>Z157</f>
        <v>#VALUE!</v>
      </c>
      <c r="X200" s="28"/>
      <c r="Y200" s="28"/>
      <c r="Z200" s="29"/>
      <c r="AB200" s="94">
        <f>AC194-100</f>
        <v>1139.99</v>
      </c>
      <c r="AC200" s="34" t="e">
        <f>AC197+AF197+AB200</f>
        <v>#VALUE!</v>
      </c>
      <c r="AD200" s="28"/>
      <c r="AE200" s="28"/>
      <c r="AF200" s="34" t="e">
        <f>AI157</f>
        <v>#VALUE!</v>
      </c>
      <c r="AG200" s="28"/>
      <c r="AH200" s="28"/>
      <c r="AI200" s="29"/>
    </row>
    <row r="201" spans="1:35">
      <c r="A201" s="27"/>
      <c r="B201" s="28"/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58" t="s">
        <v>214</v>
      </c>
      <c r="B202" s="28"/>
      <c r="C202" s="28"/>
      <c r="D202" s="59"/>
      <c r="E202" s="59"/>
      <c r="F202" s="59"/>
      <c r="G202" s="59"/>
      <c r="H202" s="60"/>
      <c r="J202" s="58" t="s">
        <v>214</v>
      </c>
      <c r="K202" s="28"/>
      <c r="L202" s="28"/>
      <c r="M202" s="59"/>
      <c r="N202" s="59"/>
      <c r="O202" s="59"/>
      <c r="P202" s="59"/>
      <c r="Q202" s="60"/>
      <c r="S202" s="58" t="s">
        <v>214</v>
      </c>
      <c r="T202" s="28"/>
      <c r="U202" s="28"/>
      <c r="V202" s="59"/>
      <c r="W202" s="59"/>
      <c r="X202" s="59"/>
      <c r="Y202" s="59"/>
      <c r="Z202" s="60"/>
      <c r="AB202" s="58" t="s">
        <v>214</v>
      </c>
      <c r="AC202" s="28"/>
      <c r="AD202" s="28"/>
      <c r="AE202" s="59"/>
      <c r="AF202" s="59"/>
      <c r="AG202" s="59"/>
      <c r="AH202" s="59"/>
      <c r="AI202" s="60"/>
    </row>
    <row r="203" spans="1:35">
      <c r="A203" s="27"/>
      <c r="B203" s="61"/>
      <c r="C203" s="61"/>
      <c r="D203" s="28"/>
      <c r="E203" s="21"/>
      <c r="F203" s="21"/>
      <c r="G203" s="21"/>
      <c r="H203" s="29"/>
      <c r="J203" s="27"/>
      <c r="K203" s="61"/>
      <c r="L203" s="61"/>
      <c r="M203" s="28"/>
      <c r="N203" s="21"/>
      <c r="O203" s="21"/>
      <c r="P203" s="21"/>
      <c r="Q203" s="29"/>
      <c r="S203" s="27"/>
      <c r="T203" s="61"/>
      <c r="U203" s="61"/>
      <c r="V203" s="28"/>
      <c r="W203" s="21"/>
      <c r="X203" s="21"/>
      <c r="Y203" s="21"/>
      <c r="Z203" s="29"/>
      <c r="AB203" s="27"/>
      <c r="AC203" s="61"/>
      <c r="AD203" s="61"/>
      <c r="AE203" s="28"/>
      <c r="AF203" s="21"/>
      <c r="AG203" s="21"/>
      <c r="AH203" s="21"/>
      <c r="AI203" s="29"/>
    </row>
    <row r="204" spans="1:35" ht="21">
      <c r="A204" s="369" t="s">
        <v>94</v>
      </c>
      <c r="B204" s="341" t="s">
        <v>95</v>
      </c>
      <c r="C204" s="341"/>
      <c r="D204" s="341"/>
      <c r="E204" s="21"/>
      <c r="F204" s="21"/>
      <c r="G204" s="21"/>
      <c r="H204" s="29"/>
      <c r="J204" s="369" t="s">
        <v>94</v>
      </c>
      <c r="K204" s="370" t="s">
        <v>95</v>
      </c>
      <c r="L204" s="370"/>
      <c r="M204" s="370"/>
      <c r="N204" s="21"/>
      <c r="O204" s="21"/>
      <c r="P204" s="21"/>
      <c r="Q204" s="29"/>
      <c r="S204" s="369" t="s">
        <v>94</v>
      </c>
      <c r="T204" s="341" t="s">
        <v>95</v>
      </c>
      <c r="U204" s="341"/>
      <c r="V204" s="341"/>
      <c r="W204" s="21"/>
      <c r="X204" s="21"/>
      <c r="Y204" s="21"/>
      <c r="Z204" s="29"/>
      <c r="AB204" s="369" t="s">
        <v>94</v>
      </c>
      <c r="AC204" s="341" t="s">
        <v>95</v>
      </c>
      <c r="AD204" s="341"/>
      <c r="AE204" s="341"/>
      <c r="AF204" s="21"/>
      <c r="AG204" s="21"/>
      <c r="AH204" s="21"/>
      <c r="AI204" s="29"/>
    </row>
    <row r="205" spans="1:35" ht="19.5" customHeight="1">
      <c r="A205" s="369"/>
      <c r="B205" s="342" t="str">
        <f>K30</f>
        <v>5000</v>
      </c>
      <c r="C205" s="342"/>
      <c r="D205" s="342"/>
      <c r="E205" s="21"/>
      <c r="F205" s="21"/>
      <c r="G205" s="21"/>
      <c r="H205" s="29"/>
      <c r="J205" s="369"/>
      <c r="K205" s="371" t="str">
        <f>K30</f>
        <v>5000</v>
      </c>
      <c r="L205" s="371"/>
      <c r="M205" s="371"/>
      <c r="N205" s="21"/>
      <c r="O205" s="21"/>
      <c r="P205" s="21"/>
      <c r="Q205" s="29"/>
      <c r="S205" s="369"/>
      <c r="T205" s="342" t="str">
        <f>K30</f>
        <v>5000</v>
      </c>
      <c r="U205" s="342"/>
      <c r="V205" s="342"/>
      <c r="W205" s="21"/>
      <c r="X205" s="21"/>
      <c r="Y205" s="21"/>
      <c r="Z205" s="29"/>
      <c r="AB205" s="369"/>
      <c r="AC205" s="342" t="str">
        <f>K30</f>
        <v>5000</v>
      </c>
      <c r="AD205" s="342"/>
      <c r="AE205" s="342"/>
      <c r="AF205" s="21"/>
      <c r="AG205" s="21"/>
      <c r="AH205" s="21"/>
      <c r="AI205" s="29"/>
    </row>
    <row r="206" spans="1:35">
      <c r="A206" s="62" t="str">
        <f>K29</f>
        <v>12</v>
      </c>
      <c r="B206" s="343">
        <f>B105</f>
        <v>952.14011581605735</v>
      </c>
      <c r="C206" s="343"/>
      <c r="D206" s="343"/>
      <c r="E206" s="21"/>
      <c r="F206" s="21"/>
      <c r="G206" s="21"/>
      <c r="H206" s="29"/>
      <c r="J206" s="62" t="str">
        <f>K29</f>
        <v>12</v>
      </c>
      <c r="K206" s="343" t="e">
        <f>K105</f>
        <v>#VALUE!</v>
      </c>
      <c r="L206" s="343"/>
      <c r="M206" s="343"/>
      <c r="N206" s="21"/>
      <c r="O206" s="21"/>
      <c r="P206" s="21"/>
      <c r="Q206" s="29"/>
      <c r="S206" s="62" t="str">
        <f>K29</f>
        <v>12</v>
      </c>
      <c r="T206" s="343" t="e">
        <f>T105</f>
        <v>#VALUE!</v>
      </c>
      <c r="U206" s="343"/>
      <c r="V206" s="343"/>
      <c r="W206" s="21"/>
      <c r="X206" s="21"/>
      <c r="Y206" s="21"/>
      <c r="Z206" s="29"/>
      <c r="AB206" s="62" t="str">
        <f>K29</f>
        <v>12</v>
      </c>
      <c r="AC206" s="343" t="e">
        <f>AC105</f>
        <v>#VALUE!</v>
      </c>
      <c r="AD206" s="343"/>
      <c r="AE206" s="343"/>
      <c r="AF206" s="21"/>
      <c r="AG206" s="21"/>
      <c r="AH206" s="21"/>
      <c r="AI206" s="29"/>
    </row>
    <row r="207" spans="1:35">
      <c r="A207" s="27"/>
      <c r="B207" s="28"/>
      <c r="C207" s="28"/>
      <c r="D207" s="28"/>
      <c r="E207" s="21"/>
      <c r="F207" s="21"/>
      <c r="G207" s="21"/>
      <c r="H207" s="29"/>
      <c r="J207" s="27"/>
      <c r="K207" s="28"/>
      <c r="L207" s="28"/>
      <c r="M207" s="28"/>
      <c r="N207" s="21"/>
      <c r="O207" s="21"/>
      <c r="P207" s="21"/>
      <c r="Q207" s="29"/>
      <c r="S207" s="27"/>
      <c r="T207" s="28"/>
      <c r="U207" s="28"/>
      <c r="V207" s="28"/>
      <c r="W207" s="21"/>
      <c r="X207" s="21"/>
      <c r="Y207" s="21"/>
      <c r="Z207" s="29"/>
      <c r="AB207" s="27"/>
      <c r="AC207" s="28"/>
      <c r="AD207" s="28"/>
      <c r="AE207" s="28"/>
      <c r="AF207" s="21"/>
      <c r="AG207" s="21"/>
      <c r="AH207" s="21"/>
      <c r="AI207" s="29"/>
    </row>
    <row r="208" spans="1:35">
      <c r="A208" s="27"/>
      <c r="B208" s="28"/>
      <c r="C208" s="28"/>
      <c r="D208" s="28"/>
      <c r="E208" s="21"/>
      <c r="F208" s="21"/>
      <c r="G208" s="21"/>
      <c r="H208" s="29"/>
      <c r="J208" s="27"/>
      <c r="K208" s="28"/>
      <c r="L208" s="28"/>
      <c r="M208" s="28"/>
      <c r="N208" s="21"/>
      <c r="O208" s="21"/>
      <c r="P208" s="21"/>
      <c r="Q208" s="29"/>
      <c r="S208" s="27"/>
      <c r="T208" s="28"/>
      <c r="U208" s="28"/>
      <c r="V208" s="28"/>
      <c r="W208" s="21"/>
      <c r="X208" s="21"/>
      <c r="Y208" s="21"/>
      <c r="Z208" s="29"/>
      <c r="AB208" s="27"/>
      <c r="AC208" s="28"/>
      <c r="AD208" s="28"/>
      <c r="AE208" s="28"/>
      <c r="AF208" s="21"/>
      <c r="AG208" s="21"/>
      <c r="AH208" s="21"/>
      <c r="AI208" s="29"/>
    </row>
    <row r="209" spans="1:35">
      <c r="A209" s="27" t="s">
        <v>215</v>
      </c>
      <c r="B209" s="28" t="s">
        <v>216</v>
      </c>
      <c r="C209" s="28"/>
      <c r="D209" s="28"/>
      <c r="E209" s="21"/>
      <c r="F209" s="21"/>
      <c r="G209" s="21"/>
      <c r="H209" s="29"/>
      <c r="J209" s="27"/>
      <c r="K209" s="28"/>
      <c r="L209" s="28"/>
      <c r="M209" s="28"/>
      <c r="N209" s="21"/>
      <c r="O209" s="21"/>
      <c r="P209" s="21"/>
      <c r="Q209" s="29"/>
      <c r="S209" s="27"/>
      <c r="T209" s="28"/>
      <c r="U209" s="28"/>
      <c r="V209" s="28"/>
      <c r="W209" s="21"/>
      <c r="X209" s="21"/>
      <c r="Y209" s="21"/>
      <c r="Z209" s="29"/>
      <c r="AB209" s="27"/>
      <c r="AC209" s="28"/>
      <c r="AD209" s="28"/>
      <c r="AE209" s="28"/>
      <c r="AF209" s="21"/>
      <c r="AG209" s="21"/>
      <c r="AH209" s="21"/>
      <c r="AI209" s="29"/>
    </row>
    <row r="210" spans="1:35">
      <c r="A210" s="32">
        <f>IF(A49=0,((G176*(B68+1))-E188),((G176*B68)+E194-E188-A194))</f>
        <v>-3883.16</v>
      </c>
      <c r="B210" s="38">
        <f>E188+A210+(B191*1.2)+A194</f>
        <v>17971.84</v>
      </c>
      <c r="C210" s="28"/>
      <c r="D210" s="28"/>
      <c r="E210" s="21"/>
      <c r="F210" s="21"/>
      <c r="G210" s="21"/>
      <c r="H210" s="29"/>
      <c r="J210" s="27"/>
      <c r="K210" s="28"/>
      <c r="L210" s="28"/>
      <c r="M210" s="28"/>
      <c r="N210" s="21"/>
      <c r="O210" s="21"/>
      <c r="P210" s="21"/>
      <c r="Q210" s="29"/>
      <c r="S210" s="27"/>
      <c r="T210" s="28"/>
      <c r="U210" s="28"/>
      <c r="V210" s="28"/>
      <c r="W210" s="21"/>
      <c r="X210" s="21"/>
      <c r="Y210" s="21"/>
      <c r="Z210" s="29"/>
      <c r="AB210" s="27"/>
      <c r="AC210" s="28"/>
      <c r="AD210" s="28"/>
      <c r="AE210" s="28"/>
      <c r="AF210" s="21"/>
      <c r="AG210" s="21"/>
      <c r="AH210" s="21"/>
      <c r="AI210" s="29"/>
    </row>
    <row r="211" spans="1:35">
      <c r="A211" s="49"/>
      <c r="B211" s="50"/>
      <c r="C211" s="50"/>
      <c r="D211" s="50"/>
      <c r="E211" s="50"/>
      <c r="F211" s="50"/>
      <c r="G211" s="50"/>
      <c r="H211" s="57"/>
      <c r="J211" s="49"/>
      <c r="K211" s="50"/>
      <c r="L211" s="50"/>
      <c r="M211" s="50"/>
      <c r="N211" s="50"/>
      <c r="O211" s="50"/>
      <c r="P211" s="50"/>
      <c r="Q211" s="57"/>
      <c r="S211" s="49"/>
      <c r="T211" s="50"/>
      <c r="U211" s="50"/>
      <c r="V211" s="50"/>
      <c r="W211" s="50"/>
      <c r="X211" s="50"/>
      <c r="Y211" s="50"/>
      <c r="Z211" s="57"/>
      <c r="AB211" s="49"/>
      <c r="AC211" s="50"/>
      <c r="AD211" s="50"/>
      <c r="AE211" s="50"/>
      <c r="AF211" s="50"/>
      <c r="AG211" s="50"/>
      <c r="AH211" s="50"/>
      <c r="AI211" s="57"/>
    </row>
    <row r="215" spans="1:35" ht="23.25">
      <c r="A215" s="372" t="s">
        <v>192</v>
      </c>
      <c r="B215" s="372"/>
      <c r="C215" s="372"/>
      <c r="D215" s="372"/>
      <c r="E215" s="372"/>
      <c r="F215" s="372"/>
      <c r="G215" s="372"/>
      <c r="H215" s="372"/>
    </row>
    <row r="216" spans="1:35">
      <c r="A216" s="27"/>
      <c r="B216" s="28"/>
      <c r="C216" s="28"/>
      <c r="D216" s="28"/>
      <c r="E216" s="21"/>
      <c r="F216" s="21"/>
      <c r="G216" s="21"/>
      <c r="H216" s="29"/>
    </row>
    <row r="217" spans="1:35">
      <c r="A217" s="139" t="s">
        <v>137</v>
      </c>
      <c r="B217" s="140" t="s">
        <v>52</v>
      </c>
      <c r="C217" s="140"/>
      <c r="D217" s="140"/>
      <c r="E217" s="140" t="s">
        <v>53</v>
      </c>
      <c r="F217" s="141"/>
      <c r="G217" s="21"/>
      <c r="H217" s="29"/>
    </row>
    <row r="218" spans="1:35">
      <c r="A218" s="142" t="s">
        <v>217</v>
      </c>
      <c r="B218" s="131" t="str">
        <f>A206</f>
        <v>12</v>
      </c>
      <c r="C218" s="131"/>
      <c r="D218" s="131"/>
      <c r="E218" s="131" t="str">
        <f>B205</f>
        <v>5000</v>
      </c>
      <c r="F218" s="141"/>
      <c r="G218" s="21"/>
      <c r="H218" s="29"/>
    </row>
    <row r="219" spans="1:35">
      <c r="A219" s="27"/>
      <c r="B219" s="28"/>
      <c r="C219" s="28"/>
      <c r="D219" s="28"/>
      <c r="E219" s="21"/>
      <c r="F219" s="21"/>
      <c r="G219" s="21"/>
      <c r="H219" s="29"/>
    </row>
    <row r="220" spans="1:35">
      <c r="A220" s="139" t="s">
        <v>194</v>
      </c>
      <c r="B220" s="140" t="s">
        <v>195</v>
      </c>
      <c r="C220" s="140"/>
      <c r="D220" s="140"/>
      <c r="E220" s="140" t="s">
        <v>196</v>
      </c>
      <c r="F220" s="21"/>
      <c r="G220" s="21"/>
      <c r="H220" s="29"/>
    </row>
    <row r="221" spans="1:35">
      <c r="A221" s="132">
        <f>A176</f>
        <v>952.14011581605735</v>
      </c>
      <c r="B221" s="133">
        <f>B176</f>
        <v>0</v>
      </c>
      <c r="C221" s="131"/>
      <c r="D221" s="131"/>
      <c r="E221" s="133">
        <f>E176</f>
        <v>952.14011581605735</v>
      </c>
      <c r="F221" s="21"/>
      <c r="G221" s="21"/>
      <c r="H221" s="29"/>
    </row>
    <row r="222" spans="1:35">
      <c r="A222" s="27"/>
      <c r="B222" s="28"/>
      <c r="C222" s="28"/>
      <c r="D222" s="28"/>
      <c r="E222" s="21"/>
      <c r="F222" s="21"/>
      <c r="G222" s="21"/>
      <c r="H222" s="29"/>
    </row>
    <row r="223" spans="1:35">
      <c r="A223" s="27" t="s">
        <v>199</v>
      </c>
      <c r="B223" s="28" t="s">
        <v>200</v>
      </c>
      <c r="C223" s="28"/>
      <c r="D223" s="21"/>
      <c r="E223" s="28" t="s">
        <v>201</v>
      </c>
      <c r="F223" s="21"/>
      <c r="G223" s="21"/>
      <c r="H223" s="29"/>
    </row>
    <row r="224" spans="1:35">
      <c r="A224" s="138">
        <f>A182</f>
        <v>16412.5</v>
      </c>
      <c r="B224" s="34">
        <f>B182</f>
        <v>3282.5</v>
      </c>
      <c r="C224" s="38"/>
      <c r="D224" s="21"/>
      <c r="E224" s="137">
        <f>E182</f>
        <v>0</v>
      </c>
      <c r="F224" s="21"/>
      <c r="G224" s="21"/>
      <c r="H224" s="29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202</v>
      </c>
      <c r="B226" s="28" t="s">
        <v>148</v>
      </c>
      <c r="C226" s="28"/>
      <c r="D226" s="21"/>
      <c r="E226" s="28" t="s">
        <v>149</v>
      </c>
      <c r="F226" s="21"/>
      <c r="G226" s="21"/>
      <c r="H226" s="29"/>
    </row>
    <row r="227" spans="1:8">
      <c r="A227" s="138">
        <f>A185</f>
        <v>19695</v>
      </c>
      <c r="B227" s="34">
        <f>B185</f>
        <v>0</v>
      </c>
      <c r="C227" s="34"/>
      <c r="D227" s="21"/>
      <c r="E227" s="34">
        <f>E185</f>
        <v>0</v>
      </c>
      <c r="F227" s="21"/>
      <c r="G227" s="21"/>
      <c r="H227" s="90"/>
    </row>
    <row r="228" spans="1:8">
      <c r="A228" s="27"/>
      <c r="B228" s="28"/>
      <c r="C228" s="28"/>
      <c r="D228" s="21"/>
      <c r="E228" s="28"/>
      <c r="F228" s="21"/>
      <c r="G228" s="21"/>
      <c r="H228" s="29"/>
    </row>
    <row r="229" spans="1:8">
      <c r="A229" s="27" t="s">
        <v>150</v>
      </c>
      <c r="B229" s="28" t="s">
        <v>185</v>
      </c>
      <c r="C229" s="28"/>
      <c r="D229" s="21"/>
      <c r="E229" s="28" t="s">
        <v>191</v>
      </c>
      <c r="F229" s="21"/>
      <c r="G229" s="21"/>
      <c r="H229" s="29"/>
    </row>
    <row r="230" spans="1:8">
      <c r="A230" s="94">
        <f>A188</f>
        <v>0</v>
      </c>
      <c r="B230" s="34">
        <f>B188</f>
        <v>0</v>
      </c>
      <c r="C230" s="34"/>
      <c r="D230" s="21"/>
      <c r="E230" s="34">
        <f>E188</f>
        <v>20845</v>
      </c>
      <c r="F230" s="21"/>
      <c r="G230" s="21"/>
      <c r="H230" s="90"/>
    </row>
    <row r="231" spans="1:8">
      <c r="A231" s="27"/>
      <c r="B231" s="28"/>
      <c r="C231" s="28"/>
      <c r="D231" s="21"/>
      <c r="E231" s="28"/>
      <c r="F231" s="21"/>
      <c r="G231" s="21"/>
      <c r="H231" s="29"/>
    </row>
    <row r="232" spans="1:8">
      <c r="A232" s="27" t="s">
        <v>203</v>
      </c>
      <c r="B232" s="28" t="s">
        <v>66</v>
      </c>
      <c r="C232" s="28"/>
      <c r="D232" s="21"/>
      <c r="E232" s="28" t="s">
        <v>204</v>
      </c>
      <c r="F232" s="21"/>
      <c r="G232" s="21"/>
      <c r="H232" s="29"/>
    </row>
    <row r="233" spans="1:8">
      <c r="A233" s="94">
        <f>A191</f>
        <v>-3171.4587260233675</v>
      </c>
      <c r="B233" s="34">
        <f>B191</f>
        <v>833.33333333333337</v>
      </c>
      <c r="C233" s="34"/>
      <c r="D233" s="21"/>
      <c r="E233" s="34">
        <f>E191</f>
        <v>18683.541273976633</v>
      </c>
      <c r="F233" s="21"/>
      <c r="G233" s="21"/>
      <c r="H233" s="90"/>
    </row>
    <row r="234" spans="1:8">
      <c r="A234" s="27"/>
      <c r="B234" s="28"/>
      <c r="C234" s="28"/>
      <c r="D234" s="21"/>
      <c r="E234" s="28"/>
      <c r="F234" s="21"/>
      <c r="G234" s="21"/>
      <c r="H234" s="29"/>
    </row>
    <row r="235" spans="1:8">
      <c r="A235" s="27" t="s">
        <v>205</v>
      </c>
      <c r="B235" s="28" t="s">
        <v>206</v>
      </c>
      <c r="C235" s="28"/>
      <c r="D235" s="21"/>
      <c r="E235" s="28" t="s">
        <v>218</v>
      </c>
      <c r="F235" s="21"/>
      <c r="G235" s="21"/>
      <c r="H235" s="29"/>
    </row>
    <row r="236" spans="1:8">
      <c r="A236" s="94">
        <f>A194</f>
        <v>10</v>
      </c>
      <c r="B236" s="34">
        <f>B194</f>
        <v>1000</v>
      </c>
      <c r="C236" s="34"/>
      <c r="D236" s="21"/>
      <c r="E236" s="34">
        <f>B68</f>
        <v>11</v>
      </c>
      <c r="F236" s="21"/>
      <c r="G236" s="21"/>
      <c r="H236" s="90"/>
    </row>
    <row r="237" spans="1:8">
      <c r="A237" s="27"/>
      <c r="B237" s="28"/>
      <c r="C237" s="28"/>
      <c r="D237" s="28"/>
      <c r="E237" s="21"/>
      <c r="F237" s="21"/>
      <c r="G237" s="21"/>
      <c r="H237" s="29"/>
    </row>
    <row r="238" spans="1:8">
      <c r="A238" s="27" t="s">
        <v>194</v>
      </c>
      <c r="B238" s="28" t="s">
        <v>195</v>
      </c>
      <c r="C238" s="28"/>
      <c r="D238" s="28"/>
      <c r="E238" s="28" t="s">
        <v>196</v>
      </c>
      <c r="F238" s="21"/>
      <c r="G238" s="21"/>
      <c r="H238" s="29"/>
    </row>
    <row r="239" spans="1:8">
      <c r="A239" s="94">
        <f>A176</f>
        <v>952.14011581605735</v>
      </c>
      <c r="B239" s="34">
        <f>B176</f>
        <v>0</v>
      </c>
      <c r="C239" s="38"/>
      <c r="D239" s="38"/>
      <c r="E239" s="34">
        <f>E176</f>
        <v>952.14011581605735</v>
      </c>
      <c r="F239" s="21"/>
      <c r="G239" s="21"/>
      <c r="H239" s="29"/>
    </row>
    <row r="240" spans="1:8">
      <c r="A240" s="27"/>
      <c r="B240" s="28"/>
      <c r="C240" s="28"/>
      <c r="D240" s="28"/>
      <c r="E240" s="21"/>
      <c r="F240" s="21"/>
      <c r="G240" s="21"/>
      <c r="H240" s="29"/>
    </row>
    <row r="241" spans="1:8">
      <c r="A241" s="27" t="s">
        <v>219</v>
      </c>
      <c r="B241" s="28" t="s">
        <v>220</v>
      </c>
      <c r="C241" s="28"/>
      <c r="D241" s="28"/>
      <c r="E241" s="28" t="s">
        <v>80</v>
      </c>
      <c r="F241" s="21"/>
      <c r="G241" s="21"/>
      <c r="H241" s="29"/>
    </row>
    <row r="242" spans="1:8">
      <c r="A242" s="94">
        <f>E179</f>
        <v>7200</v>
      </c>
      <c r="B242" s="34">
        <f>E194</f>
        <v>7210</v>
      </c>
      <c r="C242" s="28"/>
      <c r="D242" s="28"/>
      <c r="E242" s="34">
        <f>J18*0.000006*100</f>
        <v>24.3156</v>
      </c>
      <c r="F242" s="21"/>
      <c r="G242" s="21"/>
      <c r="H242" s="29"/>
    </row>
    <row r="243" spans="1:8">
      <c r="A243" s="94"/>
      <c r="B243" s="34"/>
      <c r="C243" s="28"/>
      <c r="D243" s="28"/>
      <c r="E243" s="34"/>
      <c r="F243" s="21"/>
      <c r="G243" s="21"/>
      <c r="H243" s="29"/>
    </row>
    <row r="244" spans="1:8">
      <c r="A244" s="53" t="s">
        <v>221</v>
      </c>
      <c r="B244" s="35" t="s">
        <v>85</v>
      </c>
      <c r="C244" s="28"/>
      <c r="D244" s="28"/>
      <c r="E244" s="35" t="s">
        <v>142</v>
      </c>
      <c r="F244" s="21"/>
      <c r="G244" s="21"/>
      <c r="H244" s="29"/>
    </row>
    <row r="245" spans="1:8">
      <c r="A245" s="94">
        <f>A197</f>
        <v>8.1052</v>
      </c>
      <c r="B245" s="34">
        <f>E242+A245</f>
        <v>32.4208</v>
      </c>
      <c r="C245" s="28"/>
      <c r="D245" s="28"/>
      <c r="E245" s="34"/>
      <c r="F245" s="21"/>
      <c r="G245" s="21"/>
      <c r="H245" s="29"/>
    </row>
    <row r="246" spans="1:8">
      <c r="A246" s="94"/>
      <c r="B246" s="34"/>
      <c r="C246" s="28"/>
      <c r="D246" s="28"/>
      <c r="E246" s="34"/>
      <c r="F246" s="21"/>
      <c r="G246" s="21"/>
      <c r="H246" s="29"/>
    </row>
    <row r="247" spans="1:8" ht="23.25">
      <c r="A247" s="373" t="s">
        <v>222</v>
      </c>
      <c r="B247" s="373"/>
      <c r="C247" s="373"/>
      <c r="D247" s="373"/>
      <c r="E247" s="373"/>
      <c r="F247" s="373"/>
      <c r="G247" s="373"/>
      <c r="H247" s="373"/>
    </row>
    <row r="248" spans="1:8">
      <c r="A248" s="27" t="s">
        <v>223</v>
      </c>
      <c r="B248" s="28" t="s">
        <v>209</v>
      </c>
      <c r="C248" s="28"/>
      <c r="D248" s="28"/>
      <c r="E248" s="35" t="s">
        <v>210</v>
      </c>
      <c r="F248" s="21"/>
      <c r="G248" s="21"/>
      <c r="H248" s="29"/>
    </row>
    <row r="249" spans="1:8">
      <c r="A249" s="94">
        <f>H157</f>
        <v>2079.170000000001</v>
      </c>
      <c r="B249" s="34">
        <f>B197</f>
        <v>416.90000000000003</v>
      </c>
      <c r="C249" s="28"/>
      <c r="D249" s="28"/>
      <c r="E249" s="34">
        <f>E197</f>
        <v>0</v>
      </c>
      <c r="F249" s="21"/>
      <c r="G249" s="21"/>
      <c r="H249" s="29"/>
    </row>
    <row r="250" spans="1:8">
      <c r="A250" s="94"/>
      <c r="B250" s="34"/>
      <c r="C250" s="28"/>
      <c r="D250" s="28"/>
      <c r="E250" s="21"/>
      <c r="F250" s="21"/>
      <c r="G250" s="21"/>
      <c r="H250" s="29"/>
    </row>
    <row r="251" spans="1:8">
      <c r="A251" s="53" t="s">
        <v>211</v>
      </c>
      <c r="B251" s="35" t="s">
        <v>212</v>
      </c>
      <c r="C251" s="28"/>
      <c r="D251" s="28"/>
      <c r="E251" s="35"/>
      <c r="F251" s="21"/>
      <c r="G251" s="21"/>
      <c r="H251" s="29"/>
    </row>
    <row r="252" spans="1:8">
      <c r="A252" s="94">
        <f>A200</f>
        <v>10</v>
      </c>
      <c r="B252" s="34">
        <f>B249+E249+A252+A249-H165-H165</f>
        <v>206.07000000000107</v>
      </c>
      <c r="C252" s="28"/>
      <c r="D252" s="28"/>
      <c r="E252" s="34"/>
      <c r="F252" s="21"/>
      <c r="G252" s="21"/>
      <c r="H252" s="29"/>
    </row>
    <row r="253" spans="1:8">
      <c r="A253" s="27"/>
      <c r="B253" s="28"/>
      <c r="C253" s="28"/>
      <c r="D253" s="28"/>
      <c r="E253" s="21"/>
      <c r="F253" s="21"/>
      <c r="G253" s="21"/>
      <c r="H253" s="29"/>
    </row>
    <row r="254" spans="1:8">
      <c r="A254" s="49"/>
      <c r="B254" s="50"/>
      <c r="C254" s="50"/>
      <c r="D254" s="50"/>
      <c r="E254" s="50"/>
      <c r="F254" s="50"/>
      <c r="G254" s="50"/>
      <c r="H254" s="57"/>
    </row>
    <row r="260" spans="1:8" ht="23.25">
      <c r="A260" s="372" t="s">
        <v>224</v>
      </c>
      <c r="B260" s="372"/>
      <c r="C260" s="372"/>
      <c r="D260" s="372"/>
      <c r="E260" s="372"/>
      <c r="F260" s="372"/>
      <c r="G260" s="372"/>
      <c r="H260" s="372"/>
    </row>
    <row r="261" spans="1:8">
      <c r="A261" s="27"/>
      <c r="B261" s="28"/>
      <c r="C261" s="28"/>
      <c r="D261" s="28"/>
      <c r="E261" s="21"/>
      <c r="F261" s="21"/>
      <c r="G261" s="21"/>
      <c r="H261" s="29"/>
    </row>
    <row r="262" spans="1:8">
      <c r="A262" s="139" t="s">
        <v>225</v>
      </c>
      <c r="B262" s="143">
        <f>B72</f>
        <v>6.5000000000000002E-2</v>
      </c>
      <c r="C262" s="144"/>
      <c r="D262" s="374" t="s">
        <v>226</v>
      </c>
      <c r="E262" s="374"/>
      <c r="F262" s="143">
        <f>B92</f>
        <v>0.1255</v>
      </c>
      <c r="G262" s="21"/>
      <c r="H262" s="29"/>
    </row>
    <row r="263" spans="1:8">
      <c r="A263" s="139" t="s">
        <v>227</v>
      </c>
      <c r="B263" s="146">
        <f>(E191-B191)-(B210-B191-A194)</f>
        <v>721.70127397663236</v>
      </c>
      <c r="C263" s="144"/>
      <c r="D263" s="374" t="s">
        <v>228</v>
      </c>
      <c r="E263" s="374"/>
      <c r="F263" s="146">
        <f>F270+F276+F278+B279+B280</f>
        <v>416.90000000000003</v>
      </c>
      <c r="G263" s="21"/>
      <c r="H263" s="29"/>
    </row>
    <row r="264" spans="1:8">
      <c r="A264" s="139" t="s">
        <v>229</v>
      </c>
      <c r="B264" s="146">
        <f>F271+B272</f>
        <v>10</v>
      </c>
      <c r="C264" s="144"/>
      <c r="D264" s="374" t="s">
        <v>230</v>
      </c>
      <c r="E264" s="374"/>
      <c r="F264" s="146">
        <f>(B263-F263)+B264</f>
        <v>314.80127397663233</v>
      </c>
      <c r="G264" s="21"/>
      <c r="H264" s="29"/>
    </row>
    <row r="265" spans="1:8">
      <c r="A265" s="147"/>
      <c r="B265" s="144"/>
      <c r="C265" s="148"/>
      <c r="D265" s="148"/>
      <c r="E265" s="148"/>
      <c r="F265" s="148"/>
      <c r="G265" s="149"/>
      <c r="H265" s="150"/>
    </row>
    <row r="266" spans="1:8">
      <c r="A266" s="27" t="s">
        <v>225</v>
      </c>
      <c r="B266" s="151">
        <f>B262</f>
        <v>6.5000000000000002E-2</v>
      </c>
      <c r="C266" s="144"/>
      <c r="D266" s="144"/>
      <c r="E266" s="144"/>
      <c r="F266" s="144"/>
      <c r="G266" s="21"/>
      <c r="H266" s="29"/>
    </row>
    <row r="267" spans="1:8">
      <c r="A267" s="152"/>
      <c r="B267" s="153"/>
      <c r="C267" s="154"/>
      <c r="D267" s="154"/>
      <c r="E267" s="149"/>
      <c r="F267" s="149"/>
      <c r="G267" s="149"/>
      <c r="H267" s="150"/>
    </row>
    <row r="268" spans="1:8">
      <c r="A268" s="27" t="s">
        <v>231</v>
      </c>
      <c r="B268" s="151">
        <f>B73</f>
        <v>0.05</v>
      </c>
      <c r="C268" s="28"/>
      <c r="D268" s="363" t="s">
        <v>232</v>
      </c>
      <c r="E268" s="363"/>
      <c r="F268" s="151">
        <v>0</v>
      </c>
      <c r="G268" s="21"/>
      <c r="H268" s="29"/>
    </row>
    <row r="269" spans="1:8">
      <c r="A269" s="93" t="s">
        <v>226</v>
      </c>
      <c r="B269" s="155">
        <f>B92</f>
        <v>0.1255</v>
      </c>
      <c r="C269" s="38"/>
      <c r="D269" s="363" t="s">
        <v>227</v>
      </c>
      <c r="E269" s="363"/>
      <c r="F269" s="115">
        <f>(B98*B68)-(C98*B68)</f>
        <v>10473.541273976631</v>
      </c>
      <c r="G269" s="21"/>
      <c r="H269" s="29"/>
    </row>
    <row r="270" spans="1:8">
      <c r="A270" s="27" t="s">
        <v>233</v>
      </c>
      <c r="B270" s="155">
        <f>B76</f>
        <v>0.02</v>
      </c>
      <c r="C270" s="28"/>
      <c r="D270" s="363" t="s">
        <v>233</v>
      </c>
      <c r="E270" s="363"/>
      <c r="F270" s="119">
        <f>B77</f>
        <v>416.90000000000003</v>
      </c>
      <c r="G270" s="21"/>
      <c r="H270" s="29"/>
    </row>
    <row r="271" spans="1:8">
      <c r="A271" s="27" t="s">
        <v>234</v>
      </c>
      <c r="B271" s="151">
        <f>A117</f>
        <v>0.2</v>
      </c>
      <c r="C271" s="28"/>
      <c r="D271" s="363" t="s">
        <v>234</v>
      </c>
      <c r="E271" s="363"/>
      <c r="F271" s="115">
        <f>E249*10</f>
        <v>0</v>
      </c>
      <c r="G271" s="21"/>
      <c r="H271" s="29"/>
    </row>
    <row r="272" spans="1:8">
      <c r="A272" s="27" t="s">
        <v>235</v>
      </c>
      <c r="B272" s="115">
        <f>A252</f>
        <v>10</v>
      </c>
      <c r="C272" s="28"/>
      <c r="D272" s="35" t="s">
        <v>230</v>
      </c>
      <c r="E272" s="35"/>
      <c r="F272" s="115">
        <f>(B263-F263)+B264</f>
        <v>314.80127397663233</v>
      </c>
      <c r="G272" s="21"/>
      <c r="H272" s="29"/>
    </row>
    <row r="273" spans="1:8">
      <c r="A273" s="94"/>
      <c r="B273" s="34"/>
      <c r="C273" s="28"/>
      <c r="D273" s="28"/>
      <c r="E273" s="34"/>
      <c r="F273" s="21"/>
      <c r="G273" s="21"/>
      <c r="H273" s="29"/>
    </row>
    <row r="274" spans="1:8" ht="23.25">
      <c r="A274" s="373" t="s">
        <v>236</v>
      </c>
      <c r="B274" s="373"/>
      <c r="C274" s="373"/>
      <c r="D274" s="373"/>
      <c r="E274" s="373"/>
      <c r="F274" s="373"/>
      <c r="G274" s="373"/>
      <c r="H274" s="373"/>
    </row>
    <row r="275" spans="1:8">
      <c r="A275" s="27" t="s">
        <v>237</v>
      </c>
      <c r="B275" s="119">
        <v>0</v>
      </c>
      <c r="C275" s="28"/>
      <c r="D275" s="375" t="s">
        <v>238</v>
      </c>
      <c r="E275" s="375"/>
      <c r="F275" s="119">
        <v>0</v>
      </c>
      <c r="G275" s="21"/>
      <c r="H275" s="29"/>
    </row>
    <row r="276" spans="1:8">
      <c r="A276" s="94"/>
      <c r="B276" s="115"/>
      <c r="C276" s="28"/>
      <c r="D276" s="363" t="s">
        <v>239</v>
      </c>
      <c r="E276" s="363"/>
      <c r="F276" s="115">
        <f>B275+F275*B218</f>
        <v>0</v>
      </c>
      <c r="G276" s="21"/>
      <c r="H276" s="29"/>
    </row>
    <row r="277" spans="1:8">
      <c r="A277" s="53" t="s">
        <v>240</v>
      </c>
      <c r="B277" s="156" t="s">
        <v>10</v>
      </c>
      <c r="C277" s="28"/>
      <c r="D277" s="363" t="s">
        <v>241</v>
      </c>
      <c r="E277" s="363"/>
      <c r="F277" s="156">
        <f>B79</f>
        <v>0</v>
      </c>
      <c r="G277" s="21"/>
      <c r="H277" s="29"/>
    </row>
    <row r="278" spans="1:8">
      <c r="A278" s="53"/>
      <c r="B278" s="121"/>
      <c r="C278" s="28"/>
      <c r="D278" s="363" t="s">
        <v>242</v>
      </c>
      <c r="E278" s="363"/>
      <c r="F278" s="115">
        <f>B100</f>
        <v>0</v>
      </c>
      <c r="G278" s="21"/>
      <c r="H278" s="29"/>
    </row>
    <row r="279" spans="1:8">
      <c r="A279" s="53" t="s">
        <v>243</v>
      </c>
      <c r="B279" s="119">
        <v>0</v>
      </c>
      <c r="C279" s="28"/>
      <c r="D279" s="28"/>
      <c r="E279" s="34"/>
      <c r="F279" s="21"/>
      <c r="G279" s="21"/>
      <c r="H279" s="29"/>
    </row>
    <row r="280" spans="1:8">
      <c r="A280" s="27" t="s">
        <v>244</v>
      </c>
      <c r="B280" s="119">
        <v>0</v>
      </c>
      <c r="C280" s="28"/>
      <c r="D280" s="28"/>
      <c r="E280" s="21"/>
      <c r="F280" s="21"/>
      <c r="G280" s="21"/>
      <c r="H280" s="29"/>
    </row>
    <row r="281" spans="1:8">
      <c r="A281" s="49"/>
      <c r="B281" s="50"/>
      <c r="C281" s="50"/>
      <c r="D281" s="50"/>
      <c r="E281" s="50"/>
      <c r="F281" s="50"/>
      <c r="G281" s="50"/>
      <c r="H281" s="57"/>
    </row>
  </sheetData>
  <mergeCells count="267">
    <mergeCell ref="D278:E278"/>
    <mergeCell ref="D264:E264"/>
    <mergeCell ref="D268:E268"/>
    <mergeCell ref="D269:E269"/>
    <mergeCell ref="D270:E270"/>
    <mergeCell ref="D271:E271"/>
    <mergeCell ref="A274:H274"/>
    <mergeCell ref="D275:E275"/>
    <mergeCell ref="D276:E276"/>
    <mergeCell ref="D277:E277"/>
    <mergeCell ref="B206:D206"/>
    <mergeCell ref="K206:M206"/>
    <mergeCell ref="T206:V206"/>
    <mergeCell ref="AC206:AE206"/>
    <mergeCell ref="A215:H215"/>
    <mergeCell ref="A247:H247"/>
    <mergeCell ref="A260:H260"/>
    <mergeCell ref="D262:E262"/>
    <mergeCell ref="D263:E263"/>
    <mergeCell ref="A204:A205"/>
    <mergeCell ref="B204:D204"/>
    <mergeCell ref="J204:J205"/>
    <mergeCell ref="K204:M204"/>
    <mergeCell ref="S204:S205"/>
    <mergeCell ref="T204:V204"/>
    <mergeCell ref="AB204:AB205"/>
    <mergeCell ref="AC204:AE204"/>
    <mergeCell ref="B205:D205"/>
    <mergeCell ref="K205:M205"/>
    <mergeCell ref="T205:V205"/>
    <mergeCell ref="AC205:AE205"/>
    <mergeCell ref="G168:H168"/>
    <mergeCell ref="P168:Q168"/>
    <mergeCell ref="Y168:Z168"/>
    <mergeCell ref="AH168:AI168"/>
    <mergeCell ref="A171:H171"/>
    <mergeCell ref="J171:Q171"/>
    <mergeCell ref="S171:Z171"/>
    <mergeCell ref="AB171:AI171"/>
    <mergeCell ref="B173:C173"/>
    <mergeCell ref="K173:L173"/>
    <mergeCell ref="T173:U173"/>
    <mergeCell ref="AC173:AD173"/>
    <mergeCell ref="E164:F164"/>
    <mergeCell ref="N164:O164"/>
    <mergeCell ref="W164:X164"/>
    <mergeCell ref="AF164:AG164"/>
    <mergeCell ref="G166:H166"/>
    <mergeCell ref="P166:Q166"/>
    <mergeCell ref="Y166:Z166"/>
    <mergeCell ref="AH166:AI166"/>
    <mergeCell ref="G167:H167"/>
    <mergeCell ref="P167:Q167"/>
    <mergeCell ref="Y167:Z167"/>
    <mergeCell ref="AH167:AI167"/>
    <mergeCell ref="E162:F162"/>
    <mergeCell ref="G162:H162"/>
    <mergeCell ref="N162:O162"/>
    <mergeCell ref="P162:Q162"/>
    <mergeCell ref="W162:X162"/>
    <mergeCell ref="Y162:Z162"/>
    <mergeCell ref="AF162:AG162"/>
    <mergeCell ref="AH162:AI162"/>
    <mergeCell ref="E163:F163"/>
    <mergeCell ref="G163:H163"/>
    <mergeCell ref="N163:O163"/>
    <mergeCell ref="P163:Q163"/>
    <mergeCell ref="W163:X163"/>
    <mergeCell ref="Y163:Z163"/>
    <mergeCell ref="AF163:AG163"/>
    <mergeCell ref="AH163:AI163"/>
    <mergeCell ref="A159:H159"/>
    <mergeCell ref="J159:Q159"/>
    <mergeCell ref="S159:Z159"/>
    <mergeCell ref="AB159:AI159"/>
    <mergeCell ref="E161:F161"/>
    <mergeCell ref="G161:H161"/>
    <mergeCell ref="N161:O161"/>
    <mergeCell ref="P161:Q161"/>
    <mergeCell ref="W161:X161"/>
    <mergeCell ref="Y161:Z161"/>
    <mergeCell ref="AF161:AG161"/>
    <mergeCell ref="AH161:AI161"/>
    <mergeCell ref="B155:F155"/>
    <mergeCell ref="K155:O155"/>
    <mergeCell ref="T155:X155"/>
    <mergeCell ref="AC155:AG155"/>
    <mergeCell ref="A156:F156"/>
    <mergeCell ref="J156:O156"/>
    <mergeCell ref="S156:X156"/>
    <mergeCell ref="AB156:AG156"/>
    <mergeCell ref="A157:F157"/>
    <mergeCell ref="J157:O157"/>
    <mergeCell ref="S157:X157"/>
    <mergeCell ref="AB157:AG157"/>
    <mergeCell ref="A152:F152"/>
    <mergeCell ref="J152:O152"/>
    <mergeCell ref="S152:X152"/>
    <mergeCell ref="AB152:AG152"/>
    <mergeCell ref="B153:F153"/>
    <mergeCell ref="K153:O153"/>
    <mergeCell ref="T153:X153"/>
    <mergeCell ref="AC153:AG153"/>
    <mergeCell ref="B154:F154"/>
    <mergeCell ref="K154:O154"/>
    <mergeCell ref="T154:X154"/>
    <mergeCell ref="AC154:AG154"/>
    <mergeCell ref="A149:F149"/>
    <mergeCell ref="J149:O149"/>
    <mergeCell ref="S149:X149"/>
    <mergeCell ref="AB149:AG149"/>
    <mergeCell ref="A150:F150"/>
    <mergeCell ref="J150:O150"/>
    <mergeCell ref="S150:X150"/>
    <mergeCell ref="AB150:AG150"/>
    <mergeCell ref="A151:F151"/>
    <mergeCell ref="J151:O151"/>
    <mergeCell ref="S151:X151"/>
    <mergeCell ref="AB151:AG151"/>
    <mergeCell ref="A146:F146"/>
    <mergeCell ref="J146:O146"/>
    <mergeCell ref="S146:X146"/>
    <mergeCell ref="AB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C142:AD142"/>
    <mergeCell ref="AE142:AF142"/>
    <mergeCell ref="AG142:AH142"/>
    <mergeCell ref="A144:F144"/>
    <mergeCell ref="J144:O144"/>
    <mergeCell ref="S144:X144"/>
    <mergeCell ref="AB144:AG144"/>
    <mergeCell ref="A145:F145"/>
    <mergeCell ref="J145:O145"/>
    <mergeCell ref="S145:X145"/>
    <mergeCell ref="AB145:AG145"/>
    <mergeCell ref="B142:C142"/>
    <mergeCell ref="D142:E142"/>
    <mergeCell ref="F142:G142"/>
    <mergeCell ref="K142:L142"/>
    <mergeCell ref="M142:N142"/>
    <mergeCell ref="O142:P142"/>
    <mergeCell ref="T142:U142"/>
    <mergeCell ref="V142:W142"/>
    <mergeCell ref="X142:Y142"/>
    <mergeCell ref="AC140:AD140"/>
    <mergeCell ref="AE140:AF140"/>
    <mergeCell ref="AG140:AH140"/>
    <mergeCell ref="B141:C141"/>
    <mergeCell ref="D141:E141"/>
    <mergeCell ref="F141:G141"/>
    <mergeCell ref="K141:L141"/>
    <mergeCell ref="M141:N141"/>
    <mergeCell ref="O141:P141"/>
    <mergeCell ref="T141:U141"/>
    <mergeCell ref="V141:W141"/>
    <mergeCell ref="X141:Y141"/>
    <mergeCell ref="AC141:AD141"/>
    <mergeCell ref="AE141:AF141"/>
    <mergeCell ref="AG141:AH141"/>
    <mergeCell ref="B140:C140"/>
    <mergeCell ref="D140:E140"/>
    <mergeCell ref="F140:G140"/>
    <mergeCell ref="K140:L140"/>
    <mergeCell ref="M140:N140"/>
    <mergeCell ref="O140:P140"/>
    <mergeCell ref="T140:U140"/>
    <mergeCell ref="V140:W140"/>
    <mergeCell ref="X140:Y140"/>
    <mergeCell ref="AC128:AD128"/>
    <mergeCell ref="AE128:AF128"/>
    <mergeCell ref="AG128:AH128"/>
    <mergeCell ref="B139:C139"/>
    <mergeCell ref="D139:E139"/>
    <mergeCell ref="F139:G139"/>
    <mergeCell ref="K139:L139"/>
    <mergeCell ref="M139:N139"/>
    <mergeCell ref="O139:P139"/>
    <mergeCell ref="T139:U139"/>
    <mergeCell ref="V139:W139"/>
    <mergeCell ref="X139:Y139"/>
    <mergeCell ref="AC139:AD139"/>
    <mergeCell ref="AE139:AF139"/>
    <mergeCell ref="AG139:AH139"/>
    <mergeCell ref="B128:C128"/>
    <mergeCell ref="D128:E128"/>
    <mergeCell ref="F128:G128"/>
    <mergeCell ref="K128:L128"/>
    <mergeCell ref="M128:N128"/>
    <mergeCell ref="O128:P128"/>
    <mergeCell ref="T128:U128"/>
    <mergeCell ref="V128:W128"/>
    <mergeCell ref="X128:Y128"/>
    <mergeCell ref="B123:D123"/>
    <mergeCell ref="E123:G123"/>
    <mergeCell ref="K123:M123"/>
    <mergeCell ref="N123:P123"/>
    <mergeCell ref="T123:V123"/>
    <mergeCell ref="W123:Y123"/>
    <mergeCell ref="AC123:AE123"/>
    <mergeCell ref="AF123:AH123"/>
    <mergeCell ref="A126:H126"/>
    <mergeCell ref="J126:Q126"/>
    <mergeCell ref="S126:Z126"/>
    <mergeCell ref="AB126:AI126"/>
    <mergeCell ref="B117:D117"/>
    <mergeCell ref="E117:G117"/>
    <mergeCell ref="K117:M117"/>
    <mergeCell ref="N117:P117"/>
    <mergeCell ref="T117:V117"/>
    <mergeCell ref="W117:Y117"/>
    <mergeCell ref="AC117:AE117"/>
    <mergeCell ref="AF117:AH117"/>
    <mergeCell ref="B120:D120"/>
    <mergeCell ref="E120:G120"/>
    <mergeCell ref="K120:M120"/>
    <mergeCell ref="N120:P120"/>
    <mergeCell ref="T120:V120"/>
    <mergeCell ref="W120:Y120"/>
    <mergeCell ref="AC120:AE120"/>
    <mergeCell ref="AF120:AH120"/>
    <mergeCell ref="A111:H111"/>
    <mergeCell ref="J111:Q111"/>
    <mergeCell ref="S111:Z111"/>
    <mergeCell ref="AB111:AI111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C53:E53"/>
    <mergeCell ref="A58:A59"/>
    <mergeCell ref="B58:D58"/>
    <mergeCell ref="B59:D59"/>
    <mergeCell ref="B60:D60"/>
    <mergeCell ref="A109:H109"/>
    <mergeCell ref="J109:Q109"/>
    <mergeCell ref="S109:Z109"/>
    <mergeCell ref="AB109:AI109"/>
    <mergeCell ref="C34:D34"/>
    <mergeCell ref="F34:G34"/>
    <mergeCell ref="C37:D37"/>
    <mergeCell ref="J38:K38"/>
    <mergeCell ref="C40:D40"/>
    <mergeCell ref="F40:G40"/>
    <mergeCell ref="C43:D43"/>
    <mergeCell ref="F43:G43"/>
    <mergeCell ref="C46:D46"/>
    <mergeCell ref="F46:G46"/>
    <mergeCell ref="A1:F1"/>
    <mergeCell ref="D7:E18"/>
    <mergeCell ref="A16:C18"/>
    <mergeCell ref="A19:D19"/>
    <mergeCell ref="A21:D21"/>
    <mergeCell ref="A24:H24"/>
    <mergeCell ref="A26:H26"/>
    <mergeCell ref="C31:D31"/>
    <mergeCell ref="F31:G31"/>
  </mergeCells>
  <dataValidations count="5">
    <dataValidation type="list" allowBlank="1" showInputMessage="1" showErrorMessage="1" sqref="B114 K114 T114 AC114" xr:uid="{00000000-0002-0000-0300-000000000000}">
      <formula1>$Y$136:$Y$145</formula1>
      <formula2>0</formula2>
    </dataValidation>
    <dataValidation type="list" allowBlank="1" showInputMessage="1" showErrorMessage="1" sqref="E114 N114 W114 AF114 A120 J120 S120 AB120" xr:uid="{00000000-0002-0000-0300-000001000000}">
      <formula1>$Z$19:$Z$20</formula1>
      <formula2>0</formula2>
    </dataValidation>
    <dataValidation type="list" allowBlank="1" showInputMessage="1" showErrorMessage="1" sqref="B117:D117 K117:M117 T117:V117 AC117:AE117" xr:uid="{00000000-0002-0000-0300-000002000000}">
      <formula1>$AP$117:$AP$118</formula1>
      <formula2>0</formula2>
    </dataValidation>
    <dataValidation type="list" allowBlank="1" showInputMessage="1" showErrorMessage="1" sqref="A153:A155" xr:uid="{00000000-0002-0000-0300-000003000000}">
      <formula1>#REF!</formula1>
      <formula2>0</formula2>
    </dataValidation>
    <dataValidation type="list" allowBlank="1" showInputMessage="1" showErrorMessage="1" sqref="J153:J155 S153:S155 AB153:AB155" xr:uid="{00000000-0002-0000-0300-000004000000}">
      <formula1>$AB$16:$AB$18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272"/>
  <sheetViews>
    <sheetView topLeftCell="A255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6" customWidth="true" style="4" width="18.875"/>
    <col min="7" max="7" customWidth="true" style="4" width="23.125"/>
    <col min="8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30" t="s">
        <v>14</v>
      </c>
      <c r="B1" s="330"/>
      <c r="C1" s="330"/>
      <c r="D1" s="330"/>
      <c r="E1" s="330"/>
      <c r="F1" s="330"/>
      <c r="J1" s="5"/>
    </row>
    <row r="2" spans="1:25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J2" s="5"/>
    </row>
    <row r="3" spans="1:25">
      <c r="A3" s="9"/>
      <c r="B3" s="9"/>
      <c r="C3" s="9"/>
      <c r="D3" s="9"/>
      <c r="E3" s="9"/>
      <c r="F3" s="6" t="s">
        <v>10</v>
      </c>
      <c r="J3" s="5"/>
    </row>
    <row r="4" spans="1:25">
      <c r="A4" s="6" t="s">
        <v>18</v>
      </c>
      <c r="B4" s="7">
        <f>B15+C15</f>
        <v>17199.995999999999</v>
      </c>
      <c r="C4" s="9"/>
      <c r="D4" s="9"/>
      <c r="E4" s="9"/>
      <c r="F4" s="6" t="s">
        <v>10</v>
      </c>
      <c r="H4" s="10"/>
      <c r="J4" s="5"/>
    </row>
    <row r="5" spans="1:25">
      <c r="A5" s="11"/>
      <c r="B5" s="11"/>
      <c r="C5" s="11"/>
      <c r="D5" s="11"/>
      <c r="E5" s="11"/>
      <c r="F5" s="11" t="s">
        <v>10</v>
      </c>
      <c r="J5" s="5"/>
    </row>
    <row r="6" spans="1:25">
      <c r="A6" s="11"/>
      <c r="B6" s="11"/>
      <c r="C6" s="11"/>
      <c r="D6" s="11"/>
      <c r="E6" s="11"/>
      <c r="F6" s="11"/>
      <c r="J6" s="5"/>
    </row>
    <row r="7" spans="1:25">
      <c r="A7" s="12" t="s">
        <v>19</v>
      </c>
      <c r="B7" s="12" t="s">
        <v>20</v>
      </c>
      <c r="C7" s="12" t="s">
        <v>16</v>
      </c>
      <c r="D7" s="331"/>
      <c r="E7" s="331"/>
      <c r="F7" s="11"/>
      <c r="J7" s="5"/>
    </row>
    <row r="8" spans="1:25">
      <c r="A8" s="13"/>
      <c r="B8" s="11"/>
      <c r="C8" s="11"/>
      <c r="D8" s="331"/>
      <c r="E8" s="331"/>
      <c r="F8" s="11"/>
      <c r="J8" s="5"/>
      <c r="L8" s="14" t="s">
        <v>17</v>
      </c>
      <c r="M8" s="11">
        <f>H13+H14</f>
        <v>0</v>
      </c>
    </row>
    <row r="9" spans="1:25">
      <c r="A9" s="12" t="s">
        <v>21</v>
      </c>
      <c r="B9" s="15">
        <v>14333.33</v>
      </c>
      <c r="C9" s="11">
        <f>B9*0.2</f>
        <v>2866.6660000000002</v>
      </c>
      <c r="D9" s="331"/>
      <c r="E9" s="331"/>
      <c r="F9" s="11"/>
      <c r="J9" s="5"/>
      <c r="L9" s="11"/>
      <c r="M9" s="11"/>
    </row>
    <row r="10" spans="1:25">
      <c r="A10" s="12"/>
      <c r="B10" s="11"/>
      <c r="C10" s="11"/>
      <c r="D10" s="331"/>
      <c r="E10" s="331"/>
      <c r="F10" s="11"/>
      <c r="J10" s="5"/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31"/>
      <c r="E11" s="331"/>
      <c r="F11" s="11"/>
      <c r="J11" s="5"/>
      <c r="L11" s="11"/>
      <c r="M11" s="11"/>
    </row>
    <row r="12" spans="1:25">
      <c r="A12" s="12"/>
      <c r="B12" s="11"/>
      <c r="C12" s="11"/>
      <c r="D12" s="331"/>
      <c r="E12" s="331"/>
      <c r="F12" s="11"/>
      <c r="J12" s="5"/>
    </row>
    <row r="13" spans="1:25">
      <c r="A13" s="12" t="s">
        <v>23</v>
      </c>
      <c r="B13" s="15">
        <v>0</v>
      </c>
      <c r="C13" s="11"/>
      <c r="D13" s="331"/>
      <c r="E13" s="331"/>
      <c r="F13" s="11"/>
      <c r="J13" s="5"/>
    </row>
    <row r="14" spans="1:25">
      <c r="A14" s="12"/>
      <c r="B14" s="11"/>
      <c r="C14" s="11"/>
      <c r="D14" s="331"/>
      <c r="E14" s="331"/>
      <c r="F14" s="11"/>
      <c r="J14" s="5" t="s">
        <v>24</v>
      </c>
    </row>
    <row r="15" spans="1:25">
      <c r="A15" s="12" t="s">
        <v>25</v>
      </c>
      <c r="B15" s="11">
        <f>SUM(B9:B13)</f>
        <v>14333.33</v>
      </c>
      <c r="C15" s="11">
        <f>SUM(C9:C13)</f>
        <v>2866.6660000000002</v>
      </c>
      <c r="D15" s="331"/>
      <c r="E15" s="331"/>
      <c r="F15" s="11"/>
      <c r="J15" s="17">
        <f>H15</f>
        <v>0</v>
      </c>
    </row>
    <row r="16" spans="1:25">
      <c r="A16" s="332"/>
      <c r="B16" s="332"/>
      <c r="C16" s="332"/>
      <c r="D16" s="331"/>
      <c r="E16" s="331"/>
      <c r="F16" s="11"/>
      <c r="J16" s="5"/>
      <c r="Y16" s="18" t="s">
        <v>26</v>
      </c>
    </row>
    <row r="17" spans="1:26">
      <c r="A17" s="332"/>
      <c r="B17" s="332"/>
      <c r="C17" s="332"/>
      <c r="D17" s="331"/>
      <c r="E17" s="331"/>
      <c r="F17" s="11"/>
      <c r="J17" s="19" t="s">
        <v>27</v>
      </c>
      <c r="Y17" s="18" t="s">
        <v>28</v>
      </c>
    </row>
    <row r="18" spans="1:26">
      <c r="A18" s="332"/>
      <c r="B18" s="332"/>
      <c r="C18" s="332"/>
      <c r="D18" s="331"/>
      <c r="E18" s="331"/>
      <c r="F18" s="11"/>
      <c r="J18" s="20">
        <v>40526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17199.995999999999</v>
      </c>
      <c r="F19" s="11"/>
      <c r="J19" s="5"/>
      <c r="Z19" s="5" t="s">
        <v>31</v>
      </c>
    </row>
    <row r="20" spans="1:26">
      <c r="A20" s="11"/>
      <c r="B20" s="11"/>
      <c r="C20" s="11"/>
      <c r="D20" s="11"/>
      <c r="E20" s="11"/>
      <c r="F20" s="11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14333.33</v>
      </c>
      <c r="F21" s="11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76" t="s">
        <v>246</v>
      </c>
      <c r="B24" s="376"/>
      <c r="C24" s="376"/>
      <c r="D24" s="376"/>
      <c r="E24" s="376"/>
      <c r="F24" s="55"/>
      <c r="G24" s="55"/>
      <c r="H24" s="55"/>
    </row>
    <row r="25" spans="1:26">
      <c r="A25" s="157"/>
      <c r="B25" s="158"/>
      <c r="C25" s="158"/>
      <c r="D25" s="158"/>
      <c r="E25" s="159"/>
      <c r="F25" s="55"/>
      <c r="G25" s="55"/>
      <c r="H25" s="55"/>
    </row>
    <row r="26" spans="1:26" ht="23.25">
      <c r="A26" s="377" t="s">
        <v>247</v>
      </c>
      <c r="B26" s="377"/>
      <c r="C26" s="377"/>
      <c r="D26" s="377"/>
      <c r="E26" s="377"/>
      <c r="F26" s="55"/>
      <c r="G26" s="160"/>
      <c r="H26" s="160"/>
    </row>
    <row r="27" spans="1:26">
      <c r="A27" s="157"/>
      <c r="B27" s="158"/>
      <c r="C27" s="158"/>
      <c r="D27" s="158"/>
      <c r="E27" s="159"/>
      <c r="F27" s="55"/>
      <c r="G27" s="161" t="s">
        <v>96</v>
      </c>
      <c r="H27" s="161">
        <f>IF(A32=Y104,1,IF(A32=Y105,1,IF(A32=Y106,3,IF(A32=Y107,6,IF(A32=Y108,9,IF(A32=Y109,12,IF(A32=Y110,3,IF(A32=Y111,6,IF(A32=Y112,9,0)))))))))</f>
        <v>0</v>
      </c>
    </row>
    <row r="28" spans="1:26" ht="37.5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IF(A32=Y104,H29-H37,IF(A32=Y105,H29-H37,IF(A32=Y106,H29-1,IF(A32=Y107,H29-1,IF(A32=Y108,H29-1,IF(A32=Y109,H29-1,IF(A32=Y110,H29-H37,IF(A32=Y111,H29-H37,IF(A32=Y112,H29-H37,0)))))))))</f>
        <v>0</v>
      </c>
    </row>
    <row r="29" spans="1:26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 t="str">
        <f>B35</f>
        <v>33</v>
      </c>
    </row>
    <row r="30" spans="1:26">
      <c r="A30" s="157"/>
      <c r="B30" s="380"/>
      <c r="C30" s="380"/>
      <c r="D30" s="158"/>
      <c r="E30" s="159"/>
      <c r="F30" s="55"/>
      <c r="G30" s="160" t="s">
        <v>45</v>
      </c>
      <c r="H30" s="160" t="str">
        <f>D35</f>
        <v>5000</v>
      </c>
    </row>
    <row r="31" spans="1:26" ht="37.5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</row>
    <row r="32" spans="1:26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>
        <f>A41</f>
        <v>0</v>
      </c>
      <c r="J32" s="39" t="s">
        <v>50</v>
      </c>
      <c r="K32" s="40" t="s">
        <v>409</v>
      </c>
    </row>
    <row r="33" spans="1:16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J33" s="39"/>
      <c r="K33" s="13"/>
    </row>
    <row r="34" spans="1:16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J34" s="39" t="s">
        <v>57</v>
      </c>
      <c r="K34" s="44" t="s">
        <v>398</v>
      </c>
    </row>
    <row r="35" spans="1:16">
      <c r="A35" s="167">
        <f>B32+D32</f>
        <v>500</v>
      </c>
      <c r="B35" s="378" t="s">
        <v>403</v>
      </c>
      <c r="C35" s="378"/>
      <c r="D35" s="378" t="s">
        <v>397</v>
      </c>
      <c r="E35" s="378"/>
      <c r="F35" s="55"/>
      <c r="G35" s="46"/>
      <c r="H35" s="174"/>
      <c r="J35" s="39"/>
      <c r="K35" s="13">
        <v>6.5000000000000002E-2</v>
      </c>
    </row>
    <row r="36" spans="1:16">
      <c r="A36" s="157"/>
      <c r="B36" s="158"/>
      <c r="C36" s="158"/>
      <c r="D36" s="158"/>
      <c r="E36" s="159"/>
      <c r="F36" s="55"/>
      <c r="G36" s="55" t="s">
        <v>91</v>
      </c>
      <c r="H36" s="56" t="s">
        <v>399</v>
      </c>
      <c r="J36" s="39" t="s">
        <v>64</v>
      </c>
      <c r="K36" s="47">
        <f>K32-K34</f>
        <v>16200</v>
      </c>
    </row>
    <row r="37" spans="1:16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</row>
    <row r="38" spans="1:16">
      <c r="A38" s="175">
        <f>(B35/12)*D35</f>
        <v>13750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J38" s="382"/>
      <c r="K38" s="382"/>
      <c r="L38" s="5"/>
      <c r="N38" s="4">
        <f>80.88*36</f>
        <v>2911.68</v>
      </c>
    </row>
    <row r="39" spans="1:16">
      <c r="A39" s="176"/>
      <c r="B39" s="171"/>
      <c r="C39" s="171"/>
      <c r="D39" s="158"/>
      <c r="E39" s="159"/>
      <c r="F39" s="55"/>
      <c r="G39" s="55"/>
      <c r="H39" s="5"/>
      <c r="L39" s="5"/>
      <c r="N39" s="4">
        <f>K39-L39</f>
        <v>0</v>
      </c>
    </row>
    <row r="40" spans="1:16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L40" s="5"/>
      <c r="N40" s="4">
        <f>N38-N39</f>
        <v>2911.68</v>
      </c>
    </row>
    <row r="41" spans="1:16">
      <c r="A41" s="89">
        <f>H36/B35</f>
        <v>0</v>
      </c>
      <c r="B41" s="383">
        <f>IF(B38="YES",D38+A41,D38)</f>
        <v>500</v>
      </c>
      <c r="C41" s="383"/>
      <c r="D41" s="346">
        <v>6000</v>
      </c>
      <c r="E41" s="346"/>
      <c r="F41" s="55"/>
      <c r="G41" s="55"/>
      <c r="H41" s="180"/>
      <c r="J41" s="5"/>
      <c r="K41" s="5"/>
      <c r="L41" s="5"/>
    </row>
    <row r="42" spans="1:16">
      <c r="A42" s="176"/>
      <c r="B42" s="171"/>
      <c r="C42" s="171"/>
      <c r="D42" s="171"/>
      <c r="E42" s="181"/>
      <c r="F42" s="55"/>
      <c r="G42" s="384" t="s">
        <v>65</v>
      </c>
      <c r="H42" s="384"/>
      <c r="J42" s="5"/>
      <c r="K42" s="5"/>
      <c r="L42" s="5"/>
    </row>
    <row r="43" spans="1:16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500.36363636363637</v>
      </c>
      <c r="J43" s="5"/>
      <c r="K43" s="5"/>
      <c r="L43" s="5"/>
    </row>
    <row r="44" spans="1:16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0</v>
      </c>
      <c r="J44" s="5"/>
      <c r="K44" s="5"/>
      <c r="L44" s="5"/>
    </row>
    <row r="45" spans="1:16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500.36363636363637</v>
      </c>
      <c r="J45" s="5"/>
      <c r="K45" s="5"/>
      <c r="L45" s="5"/>
    </row>
    <row r="46" spans="1:16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500.36363636363637</v>
      </c>
      <c r="J46" s="5"/>
      <c r="K46" s="5"/>
      <c r="L46" s="5"/>
    </row>
    <row r="47" spans="1:16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J47" s="5"/>
      <c r="K47" s="5"/>
      <c r="L47" s="5"/>
    </row>
    <row r="48" spans="1:16">
      <c r="B48" s="171"/>
      <c r="C48" s="171"/>
      <c r="D48" s="171"/>
      <c r="E48" s="181"/>
      <c r="F48" s="55"/>
      <c r="G48" s="55"/>
      <c r="H48" s="5"/>
      <c r="J48" s="48"/>
      <c r="K48" s="5"/>
      <c r="L48" s="5"/>
    </row>
    <row r="49" spans="1:29">
      <c r="A49" s="176"/>
      <c r="B49" s="171"/>
      <c r="C49" s="171"/>
      <c r="D49" s="171"/>
      <c r="E49" s="181"/>
      <c r="F49" s="55"/>
      <c r="G49" s="55"/>
      <c r="H49" s="5"/>
      <c r="J49" s="5"/>
      <c r="K49" s="5"/>
      <c r="L49" s="5"/>
    </row>
    <row r="50" spans="1:29">
      <c r="A50" s="157"/>
      <c r="B50" s="183"/>
      <c r="C50" s="183"/>
      <c r="D50" s="158"/>
      <c r="E50" s="159"/>
      <c r="I50" s="5"/>
      <c r="J50" s="5"/>
      <c r="K50" s="5"/>
    </row>
    <row r="51" spans="1:29" ht="19.5" customHeight="1">
      <c r="A51" s="387" t="s">
        <v>94</v>
      </c>
      <c r="B51" s="388" t="s">
        <v>95</v>
      </c>
      <c r="C51" s="388"/>
      <c r="D51" s="158"/>
      <c r="E51" s="159"/>
      <c r="I51" s="5"/>
      <c r="J51" s="5"/>
      <c r="K51" s="5"/>
    </row>
    <row r="52" spans="1:29">
      <c r="A52" s="387"/>
      <c r="B52" s="389" t="str">
        <f>H30</f>
        <v>5000</v>
      </c>
      <c r="C52" s="389"/>
      <c r="D52" s="184" t="s">
        <v>10</v>
      </c>
      <c r="E52" s="159"/>
      <c r="I52" s="5"/>
      <c r="J52" s="5"/>
      <c r="K52" s="5"/>
    </row>
    <row r="53" spans="1:29">
      <c r="A53" s="185" t="str">
        <f>H29</f>
        <v>33</v>
      </c>
      <c r="B53" s="343">
        <f>H45</f>
        <v>500.36363636363637</v>
      </c>
      <c r="C53" s="343"/>
      <c r="D53" s="158"/>
      <c r="E53" s="159"/>
      <c r="I53" s="5"/>
      <c r="J53" s="5"/>
      <c r="K53" s="5"/>
    </row>
    <row r="54" spans="1:29">
      <c r="I54" s="5"/>
      <c r="J54" s="5"/>
      <c r="K54" s="5"/>
    </row>
    <row r="55" spans="1:29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29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29">
      <c r="A57" s="22"/>
      <c r="B57" s="23"/>
      <c r="C57" s="23"/>
      <c r="D57" s="23"/>
      <c r="E57" s="63"/>
      <c r="F57" s="63"/>
      <c r="G57" s="63"/>
      <c r="H57" s="24"/>
    </row>
    <row r="58" spans="1:29">
      <c r="A58" s="27" t="s">
        <v>96</v>
      </c>
      <c r="B58" s="28">
        <v>1</v>
      </c>
      <c r="C58" s="186"/>
      <c r="D58" s="28"/>
      <c r="E58" s="21"/>
      <c r="F58" s="21"/>
      <c r="G58" s="21"/>
      <c r="H58" s="29"/>
    </row>
    <row r="59" spans="1:29">
      <c r="A59" s="27" t="s">
        <v>97</v>
      </c>
      <c r="B59" s="28">
        <f>B35-B58</f>
        <v>32</v>
      </c>
      <c r="C59" s="186"/>
      <c r="D59" s="28"/>
      <c r="E59" s="21"/>
      <c r="F59" s="21"/>
      <c r="G59" s="21"/>
      <c r="H59" s="29"/>
    </row>
    <row r="60" spans="1:29">
      <c r="A60" s="64" t="s">
        <v>98</v>
      </c>
      <c r="B60" s="65">
        <v>10</v>
      </c>
      <c r="C60" s="186"/>
      <c r="D60" s="28"/>
      <c r="E60" s="21"/>
      <c r="F60" s="21"/>
      <c r="G60" s="21"/>
      <c r="H60" s="29"/>
    </row>
    <row r="61" spans="1:29">
      <c r="A61" s="27" t="s">
        <v>27</v>
      </c>
      <c r="B61" s="28">
        <f>J18</f>
        <v>40526</v>
      </c>
      <c r="C61" s="186"/>
      <c r="D61" s="28"/>
      <c r="E61" s="21"/>
      <c r="F61" s="21"/>
      <c r="G61" s="21"/>
      <c r="H61" s="29"/>
    </row>
    <row r="62" spans="1:29">
      <c r="A62" s="66" t="s">
        <v>99</v>
      </c>
      <c r="B62" s="67">
        <v>0</v>
      </c>
      <c r="C62" s="186"/>
      <c r="D62" s="28"/>
      <c r="E62" s="21"/>
      <c r="F62" s="21"/>
      <c r="G62" s="21"/>
      <c r="H62" s="29"/>
      <c r="K62" s="10"/>
      <c r="T62" s="10"/>
      <c r="AC62" s="10"/>
    </row>
    <row r="63" spans="1:29">
      <c r="A63" s="68" t="s">
        <v>100</v>
      </c>
      <c r="B63" s="69">
        <v>6.5000000000000002E-2</v>
      </c>
      <c r="C63" s="186"/>
      <c r="D63" s="28"/>
      <c r="E63" s="21"/>
      <c r="F63" s="21"/>
      <c r="G63" s="21"/>
      <c r="H63" s="29"/>
      <c r="K63" s="10"/>
      <c r="T63" s="10"/>
      <c r="AC63" s="10"/>
    </row>
    <row r="64" spans="1:29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K64" s="10"/>
      <c r="T64" s="10"/>
      <c r="AC64" s="10"/>
    </row>
    <row r="65" spans="1:29">
      <c r="A65" s="49" t="s">
        <v>102</v>
      </c>
      <c r="B65" s="57">
        <f>(B89*B59)-B53</f>
        <v>12259.506243324075</v>
      </c>
      <c r="C65" s="28"/>
      <c r="D65" s="28"/>
      <c r="E65" s="21"/>
      <c r="F65" s="21"/>
      <c r="G65" s="21"/>
      <c r="H65" s="29"/>
    </row>
    <row r="66" spans="1:29">
      <c r="A66" s="66" t="s">
        <v>103</v>
      </c>
      <c r="B66" s="67">
        <v>0.03</v>
      </c>
      <c r="C66" s="28"/>
      <c r="D66" s="28"/>
      <c r="E66" s="21"/>
      <c r="F66" s="21"/>
      <c r="G66" s="21"/>
      <c r="H66" s="29"/>
      <c r="K66" s="10"/>
      <c r="T66" s="10"/>
      <c r="AC66" s="10"/>
    </row>
    <row r="67" spans="1:29">
      <c r="A67" s="27"/>
      <c r="B67" s="72">
        <f>B66</f>
        <v>0.03</v>
      </c>
      <c r="C67" s="28"/>
      <c r="D67" s="28"/>
      <c r="E67" s="21"/>
      <c r="F67" s="21"/>
      <c r="G67" s="21"/>
      <c r="H67" s="29"/>
      <c r="K67" s="10"/>
      <c r="T67" s="10"/>
      <c r="AC67" s="10"/>
    </row>
    <row r="68" spans="1:29">
      <c r="A68" s="49" t="s">
        <v>105</v>
      </c>
      <c r="B68" s="57">
        <f>(G158*B67)</f>
        <v>625.35</v>
      </c>
      <c r="C68" s="28"/>
      <c r="D68" s="28"/>
      <c r="E68" s="21"/>
      <c r="F68" s="21"/>
      <c r="G68" s="21"/>
      <c r="H68" s="29"/>
    </row>
    <row r="69" spans="1:29">
      <c r="A69" s="66" t="s">
        <v>106</v>
      </c>
      <c r="B69" s="67">
        <v>0</v>
      </c>
      <c r="C69" s="187"/>
      <c r="D69" s="28"/>
      <c r="E69" s="21"/>
      <c r="F69" s="21"/>
      <c r="G69" s="21"/>
      <c r="H69" s="29"/>
      <c r="K69" s="10"/>
      <c r="T69" s="10"/>
      <c r="AC69" s="10"/>
    </row>
    <row r="70" spans="1:29">
      <c r="A70" s="68" t="s">
        <v>107</v>
      </c>
      <c r="B70" s="69">
        <v>0</v>
      </c>
      <c r="C70" s="187"/>
      <c r="D70" s="28"/>
      <c r="E70" s="21"/>
      <c r="F70" s="21"/>
      <c r="G70" s="21"/>
      <c r="H70" s="29"/>
      <c r="K70" s="10"/>
      <c r="T70" s="10"/>
      <c r="AC70" s="10"/>
    </row>
    <row r="71" spans="1:29">
      <c r="A71" s="49" t="s">
        <v>108</v>
      </c>
      <c r="B71" s="73">
        <f>B69*(1+B70)</f>
        <v>0</v>
      </c>
      <c r="C71" s="187"/>
      <c r="D71" s="28"/>
      <c r="E71" s="21"/>
      <c r="F71" s="21"/>
      <c r="G71" s="21"/>
      <c r="H71" s="29"/>
      <c r="K71" s="10"/>
      <c r="T71" s="10"/>
      <c r="AC71" s="10"/>
    </row>
    <row r="72" spans="1:29">
      <c r="A72" s="66" t="s">
        <v>109</v>
      </c>
      <c r="B72" s="74">
        <v>0</v>
      </c>
      <c r="C72" s="187"/>
      <c r="D72" s="28"/>
      <c r="E72" s="21"/>
      <c r="F72" s="21"/>
      <c r="G72" s="21"/>
      <c r="H72" s="29"/>
    </row>
    <row r="73" spans="1:29">
      <c r="A73" s="68" t="s">
        <v>110</v>
      </c>
      <c r="B73" s="65">
        <v>0</v>
      </c>
      <c r="C73" s="187"/>
      <c r="D73" s="28"/>
      <c r="E73" s="21"/>
      <c r="F73" s="21"/>
      <c r="G73" s="21"/>
      <c r="H73" s="29"/>
    </row>
    <row r="74" spans="1:29">
      <c r="A74" s="49" t="s">
        <v>111</v>
      </c>
      <c r="B74" s="57">
        <f>B73*B35</f>
        <v>0</v>
      </c>
      <c r="C74" s="187"/>
      <c r="D74" s="28">
        <f>B74+B72</f>
        <v>0</v>
      </c>
      <c r="E74" s="21"/>
      <c r="F74" s="21"/>
      <c r="G74" s="21"/>
      <c r="H74" s="29"/>
    </row>
    <row r="75" spans="1:29">
      <c r="A75" s="68" t="s">
        <v>112</v>
      </c>
      <c r="B75" s="65">
        <v>0</v>
      </c>
      <c r="C75" s="187"/>
      <c r="D75" s="28">
        <f>B75</f>
        <v>0</v>
      </c>
      <c r="E75" s="21"/>
      <c r="F75" s="21"/>
      <c r="G75" s="21"/>
      <c r="H75" s="29"/>
    </row>
    <row r="76" spans="1:29">
      <c r="A76" s="70" t="s">
        <v>113</v>
      </c>
      <c r="B76" s="75">
        <v>0</v>
      </c>
      <c r="C76" s="187"/>
      <c r="D76" s="28">
        <f>B76</f>
        <v>0</v>
      </c>
      <c r="E76" s="21"/>
      <c r="F76" s="28"/>
      <c r="G76" s="21"/>
      <c r="H76" s="29"/>
    </row>
    <row r="77" spans="1:29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</row>
    <row r="78" spans="1:29">
      <c r="A78" s="27" t="s">
        <v>115</v>
      </c>
      <c r="B78" s="29">
        <f>B77/B35</f>
        <v>0</v>
      </c>
      <c r="C78" s="28"/>
      <c r="D78" s="28"/>
      <c r="E78" s="21"/>
      <c r="F78" s="21"/>
      <c r="G78" s="21"/>
      <c r="H78" s="29"/>
    </row>
    <row r="79" spans="1:29">
      <c r="A79" s="78" t="s">
        <v>116</v>
      </c>
      <c r="B79" s="52">
        <f>H46</f>
        <v>500.36363636363637</v>
      </c>
      <c r="C79" s="28"/>
      <c r="D79" s="28"/>
      <c r="E79" s="21"/>
      <c r="F79" s="21"/>
      <c r="G79" s="21"/>
      <c r="H79" s="29"/>
    </row>
    <row r="80" spans="1:29">
      <c r="A80" s="27"/>
      <c r="B80" s="28"/>
      <c r="C80" s="28"/>
      <c r="D80" s="28"/>
      <c r="E80" s="21"/>
      <c r="F80" s="21"/>
      <c r="G80" s="21"/>
      <c r="H80" s="29"/>
    </row>
    <row r="81" spans="1:29">
      <c r="A81" s="22" t="s">
        <v>117</v>
      </c>
      <c r="B81" s="24">
        <f>K36</f>
        <v>16200</v>
      </c>
      <c r="C81" s="28"/>
      <c r="D81" s="28"/>
      <c r="E81" s="21"/>
      <c r="F81" s="22" t="s">
        <v>117</v>
      </c>
      <c r="G81" s="24">
        <f>B81</f>
        <v>16200</v>
      </c>
      <c r="H81" s="29"/>
    </row>
    <row r="82" spans="1:29">
      <c r="A82" s="27" t="s">
        <v>118</v>
      </c>
      <c r="B82" s="29">
        <f>IF(A111="YES",D41,0)*1.2</f>
        <v>7200</v>
      </c>
      <c r="C82" s="28"/>
      <c r="D82" s="28"/>
      <c r="E82" s="21"/>
      <c r="F82" s="27" t="s">
        <v>118</v>
      </c>
      <c r="G82" s="29">
        <f>IF(A111="YES",D41,0)*1.2</f>
        <v>7200</v>
      </c>
      <c r="H82" s="29"/>
    </row>
    <row r="83" spans="1:29">
      <c r="A83" s="27" t="s">
        <v>119</v>
      </c>
      <c r="B83" s="79">
        <f>B62+B63+B64</f>
        <v>0.115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K83" s="10"/>
      <c r="T83" s="10"/>
      <c r="AC83" s="10"/>
    </row>
    <row r="84" spans="1:29">
      <c r="A84" s="27" t="s">
        <v>120</v>
      </c>
      <c r="B84" s="72">
        <f>B83/12</f>
        <v>9.5833333333333343E-3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K84" s="10"/>
      <c r="T84" s="10"/>
      <c r="AC84" s="10"/>
    </row>
    <row r="85" spans="1:29">
      <c r="A85" s="27" t="s">
        <v>121</v>
      </c>
      <c r="B85" s="29">
        <f>IF(B82=0,(B59+B58),(B59))</f>
        <v>32</v>
      </c>
      <c r="C85" s="28"/>
      <c r="D85" s="28"/>
      <c r="E85" s="21"/>
      <c r="F85" s="27" t="s">
        <v>121</v>
      </c>
      <c r="G85" s="29">
        <f>IF(G82=0,(B59+B58),(B59))</f>
        <v>32</v>
      </c>
      <c r="H85" s="29"/>
    </row>
    <row r="86" spans="1:29">
      <c r="A86" s="27" t="s">
        <v>122</v>
      </c>
      <c r="B86" s="29">
        <f>(B82/((1+B84)^(B85+1)))</f>
        <v>5255.8239110954255</v>
      </c>
      <c r="C86" s="28">
        <f>(B82/((1+B84)^(B85+1)))</f>
        <v>5255.8239110954255</v>
      </c>
      <c r="D86" s="28"/>
      <c r="E86" s="21"/>
      <c r="F86" s="27" t="s">
        <v>122</v>
      </c>
      <c r="G86" s="29">
        <f>(G82/((1+G84)^(G85+1)))</f>
        <v>6024.3729512856571</v>
      </c>
      <c r="H86" s="29"/>
    </row>
    <row r="87" spans="1:29">
      <c r="A87" s="27" t="s">
        <v>123</v>
      </c>
      <c r="B87" s="29">
        <f>((1-(1/((1+B84)^B85)))/B84)</f>
        <v>27.446489513380339</v>
      </c>
      <c r="C87" s="28">
        <f>((1-(1/((1+B84)^B85)))/B84)</f>
        <v>27.446489513380339</v>
      </c>
      <c r="D87" s="28"/>
      <c r="E87" s="21"/>
      <c r="F87" s="27" t="s">
        <v>123</v>
      </c>
      <c r="G87" s="29">
        <f>((1-(1/((1+G84)^G85)))/G84)</f>
        <v>29.307564834911432</v>
      </c>
      <c r="H87" s="29"/>
    </row>
    <row r="88" spans="1:29">
      <c r="A88" s="27" t="s">
        <v>124</v>
      </c>
      <c r="B88" s="29">
        <f>B81-B86</f>
        <v>10944.176088904574</v>
      </c>
      <c r="C88" s="28">
        <f>B81-B86</f>
        <v>10944.176088904574</v>
      </c>
      <c r="D88" s="28"/>
      <c r="E88" s="21"/>
      <c r="F88" s="27" t="s">
        <v>124</v>
      </c>
      <c r="G88" s="29">
        <f>G81-G86</f>
        <v>10175.627048714343</v>
      </c>
      <c r="H88" s="29"/>
    </row>
    <row r="89" spans="1:29">
      <c r="A89" s="27" t="s">
        <v>125</v>
      </c>
      <c r="B89" s="29">
        <f>(B88/B87)</f>
        <v>398.74593374024096</v>
      </c>
      <c r="C89" s="28">
        <f>(B88/B87)</f>
        <v>398.74593374024096</v>
      </c>
      <c r="D89" s="28"/>
      <c r="E89" s="21"/>
      <c r="F89" s="27" t="s">
        <v>125</v>
      </c>
      <c r="G89" s="29">
        <f>(G88/G87)</f>
        <v>347.20138319349707</v>
      </c>
      <c r="H89" s="29"/>
    </row>
    <row r="90" spans="1:29">
      <c r="A90" s="27" t="s">
        <v>126</v>
      </c>
      <c r="B90" s="29">
        <f>((B89*(B85))+B77)</f>
        <v>12759.869879687711</v>
      </c>
      <c r="C90" s="28"/>
      <c r="D90" s="28"/>
      <c r="E90" s="21"/>
      <c r="F90" s="27" t="s">
        <v>126</v>
      </c>
      <c r="G90" s="29">
        <f>((G89*(G85))+G77)</f>
        <v>11110.444262191906</v>
      </c>
      <c r="H90" s="29"/>
    </row>
    <row r="91" spans="1:29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</row>
    <row r="92" spans="1:29">
      <c r="A92" s="49" t="s">
        <v>128</v>
      </c>
      <c r="B92" s="57">
        <f>(B90+B91)</f>
        <v>12759.869879687711</v>
      </c>
      <c r="C92" s="28"/>
      <c r="D92" s="28"/>
      <c r="E92" s="21"/>
      <c r="F92" s="49" t="s">
        <v>128</v>
      </c>
      <c r="G92" s="57">
        <f>(G90+G91)</f>
        <v>11110.444262191906</v>
      </c>
      <c r="H92" s="29"/>
    </row>
    <row r="93" spans="1:29">
      <c r="A93" s="27"/>
      <c r="B93" s="28"/>
      <c r="C93" s="28"/>
      <c r="D93" s="28"/>
      <c r="E93" s="21"/>
      <c r="F93" s="27"/>
      <c r="G93" s="28"/>
      <c r="H93" s="29"/>
    </row>
    <row r="94" spans="1:29">
      <c r="A94" s="76" t="s">
        <v>129</v>
      </c>
      <c r="B94" s="80">
        <f>IF(B38="YES",((H36/B85)*(1+A108)*1.2),"0")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</row>
    <row r="95" spans="1:29">
      <c r="A95" s="81" t="s">
        <v>130</v>
      </c>
      <c r="B95" s="82">
        <f>B92/(B85)</f>
        <v>398.74593374024096</v>
      </c>
      <c r="C95" s="28"/>
      <c r="D95" s="28"/>
      <c r="E95" s="21"/>
      <c r="F95" s="81" t="s">
        <v>130</v>
      </c>
      <c r="G95" s="82">
        <f>G92/(G85)</f>
        <v>347.20138319349707</v>
      </c>
      <c r="H95" s="29"/>
    </row>
    <row r="96" spans="1:29">
      <c r="A96" s="83" t="s">
        <v>131</v>
      </c>
      <c r="B96" s="84">
        <f>B94+B95</f>
        <v>398.74593374024096</v>
      </c>
      <c r="C96" s="28"/>
      <c r="D96" s="28"/>
      <c r="E96" s="21"/>
      <c r="F96" s="83" t="s">
        <v>131</v>
      </c>
      <c r="G96" s="84">
        <f>G94+G95</f>
        <v>347.20138319349707</v>
      </c>
      <c r="H96" s="29"/>
    </row>
    <row r="97" spans="1:42">
      <c r="A97" s="49"/>
      <c r="B97" s="50"/>
      <c r="C97" s="50"/>
      <c r="D97" s="50"/>
      <c r="E97" s="85"/>
      <c r="F97" s="85"/>
      <c r="G97" s="85"/>
      <c r="H97" s="57"/>
    </row>
    <row r="98" spans="1:42">
      <c r="A98" s="21"/>
      <c r="B98" s="21"/>
      <c r="C98" s="21"/>
      <c r="D98" s="21"/>
      <c r="E98" s="21"/>
      <c r="F98" s="21"/>
      <c r="G98" s="21"/>
      <c r="H98" s="21"/>
    </row>
    <row r="99" spans="1:42">
      <c r="A99" s="21"/>
      <c r="B99" s="21"/>
      <c r="C99" s="21"/>
      <c r="D99" s="21"/>
      <c r="E99" s="21"/>
      <c r="F99" s="21"/>
      <c r="G99" s="21"/>
      <c r="H99" s="21"/>
    </row>
    <row r="100" spans="1:42" ht="47.25" customHeight="1">
      <c r="A100" s="344" t="s">
        <v>134</v>
      </c>
      <c r="B100" s="344"/>
      <c r="C100" s="344"/>
      <c r="D100" s="344"/>
      <c r="E100" s="344"/>
      <c r="F100" s="344"/>
      <c r="G100" s="344"/>
      <c r="H100" s="344"/>
      <c r="J100" s="382"/>
      <c r="K100" s="382"/>
      <c r="L100" s="382"/>
      <c r="M100" s="382"/>
      <c r="N100" s="382"/>
      <c r="O100" s="382"/>
      <c r="P100" s="382"/>
      <c r="Q100" s="382"/>
      <c r="S100" s="382"/>
      <c r="T100" s="382"/>
      <c r="U100" s="382"/>
      <c r="V100" s="382"/>
      <c r="W100" s="382"/>
      <c r="X100" s="382"/>
      <c r="Y100" s="382"/>
      <c r="Z100" s="382"/>
      <c r="AB100" s="382"/>
      <c r="AC100" s="382"/>
      <c r="AD100" s="382"/>
      <c r="AE100" s="382"/>
      <c r="AF100" s="382"/>
      <c r="AG100" s="382"/>
      <c r="AH100" s="382"/>
      <c r="AI100" s="382"/>
    </row>
    <row r="101" spans="1:42">
      <c r="A101" s="22"/>
      <c r="B101" s="23"/>
      <c r="C101" s="23"/>
      <c r="D101" s="23"/>
      <c r="E101" s="63"/>
      <c r="F101" s="63"/>
      <c r="G101" s="63"/>
      <c r="H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82"/>
      <c r="K102" s="382"/>
      <c r="L102" s="382"/>
      <c r="M102" s="382"/>
      <c r="N102" s="382"/>
      <c r="O102" s="382"/>
      <c r="P102" s="382"/>
      <c r="Q102" s="382"/>
      <c r="S102" s="382"/>
      <c r="T102" s="382"/>
      <c r="U102" s="382"/>
      <c r="V102" s="382"/>
      <c r="W102" s="382"/>
      <c r="X102" s="382"/>
      <c r="Y102" s="382"/>
      <c r="Z102" s="382"/>
      <c r="AB102" s="382"/>
      <c r="AC102" s="382"/>
      <c r="AD102" s="382"/>
      <c r="AE102" s="382"/>
      <c r="AF102" s="382"/>
      <c r="AG102" s="382"/>
      <c r="AH102" s="382"/>
      <c r="AI102" s="382"/>
    </row>
    <row r="103" spans="1:42">
      <c r="A103" s="27"/>
      <c r="B103" s="28"/>
      <c r="C103" s="28"/>
      <c r="D103" s="28"/>
      <c r="E103" s="21"/>
      <c r="F103" s="21"/>
      <c r="G103" s="21"/>
      <c r="H103" s="88"/>
      <c r="Z103" s="55" t="s">
        <v>140</v>
      </c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Z104" s="55" t="s">
        <v>270</v>
      </c>
    </row>
    <row r="105" spans="1:42">
      <c r="A105" s="32" t="s">
        <v>139</v>
      </c>
      <c r="B105" s="345" t="s">
        <v>140</v>
      </c>
      <c r="C105" s="345"/>
      <c r="D105" s="345"/>
      <c r="E105" s="346" t="s">
        <v>385</v>
      </c>
      <c r="F105" s="346"/>
      <c r="G105" s="346"/>
      <c r="H105" s="88"/>
      <c r="K105" s="382"/>
      <c r="L105" s="382"/>
      <c r="M105" s="382"/>
      <c r="N105" s="382"/>
      <c r="O105" s="382"/>
      <c r="P105" s="382"/>
      <c r="T105" s="382"/>
      <c r="U105" s="382"/>
      <c r="V105" s="382"/>
      <c r="W105" s="382"/>
      <c r="X105" s="382"/>
      <c r="Y105" s="382"/>
      <c r="Z105" s="55" t="s">
        <v>271</v>
      </c>
      <c r="AC105" s="382"/>
      <c r="AD105" s="382"/>
      <c r="AE105" s="382"/>
      <c r="AF105" s="382"/>
      <c r="AG105" s="382"/>
      <c r="AH105" s="382"/>
    </row>
    <row r="106" spans="1:42">
      <c r="A106" s="27"/>
      <c r="B106" s="28"/>
      <c r="C106" s="28"/>
      <c r="D106" s="21"/>
      <c r="E106" s="28"/>
      <c r="F106" s="28"/>
      <c r="G106" s="21"/>
      <c r="H106" s="29"/>
      <c r="Z106" s="55" t="s">
        <v>272</v>
      </c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Z107" s="55" t="s">
        <v>273</v>
      </c>
    </row>
    <row r="108" spans="1:42">
      <c r="A108" s="188">
        <v>0.2</v>
      </c>
      <c r="B108" s="348" t="s">
        <v>400</v>
      </c>
      <c r="C108" s="348"/>
      <c r="D108" s="348">
        <v>0</v>
      </c>
      <c r="E108" s="349">
        <f>B83</f>
        <v>0.115</v>
      </c>
      <c r="F108" s="349"/>
      <c r="G108" s="349"/>
      <c r="H108" s="42"/>
      <c r="J108" s="10"/>
      <c r="K108" s="382"/>
      <c r="L108" s="382"/>
      <c r="M108" s="382"/>
      <c r="N108" s="390"/>
      <c r="O108" s="390"/>
      <c r="P108" s="390"/>
      <c r="S108" s="10"/>
      <c r="T108" s="382"/>
      <c r="U108" s="382"/>
      <c r="V108" s="382"/>
      <c r="W108" s="390"/>
      <c r="X108" s="390"/>
      <c r="Y108" s="390"/>
      <c r="Z108" s="55" t="s">
        <v>274</v>
      </c>
      <c r="AB108" s="10"/>
      <c r="AC108" s="382"/>
      <c r="AD108" s="382"/>
      <c r="AE108" s="382"/>
      <c r="AF108" s="390"/>
      <c r="AG108" s="390"/>
      <c r="AH108" s="390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Z109" s="55" t="s">
        <v>275</v>
      </c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Z110" s="55" t="s">
        <v>276</v>
      </c>
    </row>
    <row r="111" spans="1:42">
      <c r="A111" s="36" t="s">
        <v>385</v>
      </c>
      <c r="B111" s="348">
        <v>0</v>
      </c>
      <c r="C111" s="348"/>
      <c r="D111" s="348"/>
      <c r="E111" s="348">
        <v>0</v>
      </c>
      <c r="F111" s="348"/>
      <c r="G111" s="348"/>
      <c r="H111" s="88"/>
      <c r="K111" s="382"/>
      <c r="L111" s="382"/>
      <c r="M111" s="382"/>
      <c r="N111" s="382"/>
      <c r="O111" s="382"/>
      <c r="P111" s="382"/>
      <c r="T111" s="382"/>
      <c r="U111" s="382"/>
      <c r="V111" s="382"/>
      <c r="W111" s="382"/>
      <c r="X111" s="382"/>
      <c r="Y111" s="382"/>
      <c r="Z111" s="55" t="s">
        <v>277</v>
      </c>
      <c r="AC111" s="382"/>
      <c r="AD111" s="382"/>
      <c r="AE111" s="382"/>
      <c r="AF111" s="382"/>
      <c r="AG111" s="382"/>
      <c r="AH111" s="382"/>
    </row>
    <row r="112" spans="1:42">
      <c r="A112" s="27"/>
      <c r="B112" s="28"/>
      <c r="C112" s="28"/>
      <c r="D112" s="28"/>
      <c r="E112" s="28"/>
      <c r="F112" s="28"/>
      <c r="G112" s="21"/>
      <c r="H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</row>
    <row r="114" spans="1:35">
      <c r="A114" s="94">
        <f>B111+E111</f>
        <v>0</v>
      </c>
      <c r="B114" s="348">
        <v>1000</v>
      </c>
      <c r="C114" s="348"/>
      <c r="D114" s="348"/>
      <c r="E114" s="348">
        <v>0</v>
      </c>
      <c r="F114" s="348"/>
      <c r="G114" s="348"/>
      <c r="H114" s="88"/>
      <c r="K114" s="382"/>
      <c r="L114" s="382"/>
      <c r="M114" s="382"/>
      <c r="N114" s="382"/>
      <c r="O114" s="382"/>
      <c r="P114" s="382"/>
      <c r="T114" s="382"/>
      <c r="U114" s="382"/>
      <c r="V114" s="382"/>
      <c r="W114" s="382"/>
      <c r="X114" s="382"/>
      <c r="Y114" s="382"/>
      <c r="AC114" s="382"/>
      <c r="AD114" s="382"/>
      <c r="AE114" s="382"/>
      <c r="AF114" s="382"/>
      <c r="AG114" s="382"/>
      <c r="AH114" s="382"/>
    </row>
    <row r="115" spans="1:35">
      <c r="A115" s="95"/>
      <c r="B115" s="21"/>
      <c r="C115" s="21"/>
      <c r="D115" s="21"/>
      <c r="E115" s="21"/>
      <c r="F115" s="21"/>
      <c r="G115" s="21"/>
      <c r="H115" s="88"/>
    </row>
    <row r="116" spans="1:35">
      <c r="A116" s="95"/>
      <c r="B116" s="21"/>
      <c r="C116" s="21"/>
      <c r="D116" s="21"/>
      <c r="E116" s="21"/>
      <c r="F116" s="21"/>
      <c r="G116" s="21"/>
      <c r="H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82"/>
      <c r="K117" s="382"/>
      <c r="L117" s="382"/>
      <c r="M117" s="382"/>
      <c r="N117" s="382"/>
      <c r="O117" s="382"/>
      <c r="P117" s="382"/>
      <c r="Q117" s="382"/>
      <c r="S117" s="382"/>
      <c r="T117" s="382"/>
      <c r="U117" s="382"/>
      <c r="V117" s="382"/>
      <c r="W117" s="382"/>
      <c r="X117" s="382"/>
      <c r="Y117" s="382"/>
      <c r="Z117" s="382"/>
      <c r="AB117" s="382"/>
      <c r="AC117" s="382"/>
      <c r="AD117" s="382"/>
      <c r="AE117" s="382"/>
      <c r="AF117" s="382"/>
      <c r="AG117" s="382"/>
      <c r="AH117" s="382"/>
      <c r="AI117" s="382"/>
    </row>
    <row r="118" spans="1:35">
      <c r="A118" s="95"/>
      <c r="B118" s="21"/>
      <c r="C118" s="21"/>
      <c r="D118" s="21"/>
      <c r="E118" s="21"/>
      <c r="F118" s="21"/>
      <c r="G118" s="21"/>
      <c r="H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K119" s="382"/>
      <c r="L119" s="382"/>
      <c r="M119" s="382"/>
      <c r="N119" s="382"/>
      <c r="O119" s="382"/>
      <c r="P119" s="382"/>
      <c r="T119" s="382"/>
      <c r="U119" s="382"/>
      <c r="V119" s="382"/>
      <c r="W119" s="382"/>
      <c r="X119" s="382"/>
      <c r="Y119" s="382"/>
      <c r="AC119" s="382"/>
      <c r="AD119" s="382"/>
      <c r="AE119" s="382"/>
      <c r="AF119" s="382"/>
      <c r="AG119" s="382"/>
      <c r="AH119" s="382"/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</row>
    <row r="121" spans="1:35">
      <c r="A121" s="22" t="s">
        <v>160</v>
      </c>
      <c r="B121" s="22">
        <f>E19</f>
        <v>17199.995999999999</v>
      </c>
      <c r="C121" s="36">
        <v>16412.5</v>
      </c>
      <c r="D121" s="22">
        <f>D3</f>
        <v>0</v>
      </c>
      <c r="E121" s="36">
        <f>D121</f>
        <v>0</v>
      </c>
      <c r="F121" s="22">
        <v>0</v>
      </c>
      <c r="G121" s="36">
        <f>F121</f>
        <v>0</v>
      </c>
      <c r="H121" s="101">
        <f>H3</f>
        <v>0</v>
      </c>
    </row>
    <row r="122" spans="1:35">
      <c r="A122" s="27" t="s">
        <v>161</v>
      </c>
      <c r="B122" s="102">
        <v>0</v>
      </c>
      <c r="C122" s="103">
        <f>B122</f>
        <v>0</v>
      </c>
      <c r="D122" s="102">
        <v>0</v>
      </c>
      <c r="E122" s="103">
        <f>D122</f>
        <v>0</v>
      </c>
      <c r="F122" s="102">
        <v>0</v>
      </c>
      <c r="G122" s="104">
        <f>F122</f>
        <v>0</v>
      </c>
      <c r="H122" s="105"/>
      <c r="K122" s="10"/>
      <c r="L122" s="10"/>
      <c r="M122" s="10"/>
      <c r="N122" s="10"/>
      <c r="O122" s="10"/>
      <c r="P122" s="10"/>
      <c r="Q122" s="10"/>
      <c r="T122" s="10"/>
      <c r="U122" s="10"/>
      <c r="V122" s="10"/>
      <c r="W122" s="10"/>
      <c r="X122" s="10"/>
      <c r="Y122" s="10"/>
      <c r="Z122" s="10"/>
      <c r="AC122" s="10"/>
      <c r="AD122" s="10"/>
      <c r="AE122" s="10"/>
      <c r="AF122" s="10"/>
      <c r="AG122" s="10"/>
      <c r="AH122" s="10"/>
      <c r="AI122" s="10"/>
    </row>
    <row r="123" spans="1:35">
      <c r="A123" s="27" t="s">
        <v>162</v>
      </c>
      <c r="B123" s="27">
        <v>0</v>
      </c>
      <c r="C123" s="36">
        <f>B123</f>
        <v>0</v>
      </c>
      <c r="D123" s="27">
        <v>0</v>
      </c>
      <c r="E123" s="36">
        <f>D123</f>
        <v>0</v>
      </c>
      <c r="F123" s="27">
        <v>0</v>
      </c>
      <c r="G123" s="36">
        <f>F123</f>
        <v>0</v>
      </c>
      <c r="H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</row>
    <row r="125" spans="1:35">
      <c r="A125" s="49" t="s">
        <v>164</v>
      </c>
      <c r="B125" s="49">
        <f t="shared" ref="B125:G125" si="0">B121-B124</f>
        <v>17199.995999999999</v>
      </c>
      <c r="C125" s="57">
        <f t="shared" si="0"/>
        <v>16412.5</v>
      </c>
      <c r="D125" s="49">
        <f t="shared" si="0"/>
        <v>0</v>
      </c>
      <c r="E125" s="57">
        <f t="shared" si="0"/>
        <v>0</v>
      </c>
      <c r="F125" s="49">
        <f t="shared" si="0"/>
        <v>0</v>
      </c>
      <c r="G125" s="57">
        <f t="shared" si="0"/>
        <v>0</v>
      </c>
      <c r="H125" s="57"/>
    </row>
    <row r="126" spans="1:35">
      <c r="A126" s="27"/>
      <c r="B126" s="28"/>
      <c r="C126" s="28"/>
      <c r="D126" s="28"/>
      <c r="E126" s="28"/>
      <c r="F126" s="28"/>
      <c r="G126" s="28"/>
      <c r="H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</row>
    <row r="129" spans="1:34">
      <c r="A129" s="27"/>
      <c r="B129" s="28"/>
      <c r="C129" s="28"/>
      <c r="D129" s="28"/>
      <c r="E129" s="28"/>
      <c r="F129" s="28"/>
      <c r="G129" s="115"/>
      <c r="H129" s="116"/>
    </row>
    <row r="130" spans="1:34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K130" s="382"/>
      <c r="L130" s="382"/>
      <c r="M130" s="382"/>
      <c r="N130" s="382"/>
      <c r="O130" s="382"/>
      <c r="P130" s="382"/>
      <c r="T130" s="382"/>
      <c r="U130" s="382"/>
      <c r="V130" s="382"/>
      <c r="W130" s="382"/>
      <c r="X130" s="382"/>
      <c r="Y130" s="382"/>
      <c r="AC130" s="382"/>
      <c r="AD130" s="382"/>
      <c r="AE130" s="382"/>
      <c r="AF130" s="382"/>
      <c r="AG130" s="382"/>
      <c r="AH130" s="382"/>
    </row>
    <row r="131" spans="1:34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K131" s="382"/>
      <c r="L131" s="382"/>
      <c r="M131" s="390"/>
      <c r="N131" s="390"/>
      <c r="O131" s="382"/>
      <c r="P131" s="382"/>
      <c r="T131" s="382"/>
      <c r="U131" s="382"/>
      <c r="V131" s="390"/>
      <c r="W131" s="390"/>
      <c r="X131" s="382"/>
      <c r="Y131" s="382"/>
      <c r="AC131" s="382"/>
      <c r="AD131" s="382"/>
      <c r="AE131" s="390"/>
      <c r="AF131" s="390"/>
      <c r="AG131" s="382"/>
      <c r="AH131" s="382"/>
    </row>
    <row r="132" spans="1:34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K132" s="382"/>
      <c r="L132" s="382"/>
      <c r="M132" s="390"/>
      <c r="N132" s="390"/>
      <c r="O132" s="382"/>
      <c r="P132" s="382"/>
      <c r="T132" s="382"/>
      <c r="U132" s="382"/>
      <c r="V132" s="390"/>
      <c r="W132" s="390"/>
      <c r="X132" s="382"/>
      <c r="Y132" s="382"/>
      <c r="AC132" s="382"/>
      <c r="AD132" s="382"/>
      <c r="AE132" s="390"/>
      <c r="AF132" s="390"/>
      <c r="AG132" s="382"/>
      <c r="AH132" s="382"/>
    </row>
    <row r="133" spans="1:34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K133" s="382"/>
      <c r="L133" s="382"/>
      <c r="M133" s="390"/>
      <c r="N133" s="390"/>
      <c r="O133" s="382"/>
      <c r="P133" s="382"/>
      <c r="T133" s="382"/>
      <c r="U133" s="382"/>
      <c r="V133" s="390"/>
      <c r="W133" s="390"/>
      <c r="X133" s="382"/>
      <c r="Y133" s="382"/>
      <c r="AC133" s="382"/>
      <c r="AD133" s="382"/>
      <c r="AE133" s="390"/>
      <c r="AF133" s="390"/>
      <c r="AG133" s="382"/>
      <c r="AH133" s="382"/>
    </row>
    <row r="134" spans="1:34">
      <c r="A134" s="27"/>
      <c r="B134" s="28"/>
      <c r="C134" s="28"/>
      <c r="D134" s="28"/>
      <c r="E134" s="28"/>
      <c r="F134" s="28"/>
      <c r="G134" s="115"/>
      <c r="H134" s="116"/>
    </row>
    <row r="135" spans="1:34" ht="21">
      <c r="A135" s="356" t="s">
        <v>172</v>
      </c>
      <c r="B135" s="356"/>
      <c r="C135" s="356"/>
      <c r="D135" s="356"/>
      <c r="E135" s="356"/>
      <c r="F135" s="356"/>
      <c r="G135" s="109">
        <f>E21</f>
        <v>14333.33</v>
      </c>
      <c r="H135" s="120">
        <f>C125+E125+G125+H128</f>
        <v>16412.5</v>
      </c>
      <c r="J135" s="382"/>
      <c r="K135" s="382"/>
      <c r="L135" s="382"/>
      <c r="M135" s="382"/>
      <c r="N135" s="382"/>
      <c r="O135" s="382"/>
      <c r="S135" s="382"/>
      <c r="T135" s="382"/>
      <c r="U135" s="382"/>
      <c r="V135" s="382"/>
      <c r="W135" s="382"/>
      <c r="X135" s="382"/>
      <c r="AB135" s="382"/>
      <c r="AC135" s="382"/>
      <c r="AD135" s="382"/>
      <c r="AE135" s="382"/>
      <c r="AF135" s="382"/>
      <c r="AG135" s="382"/>
    </row>
    <row r="136" spans="1:34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82"/>
      <c r="K136" s="382"/>
      <c r="L136" s="382"/>
      <c r="M136" s="382"/>
      <c r="N136" s="382"/>
      <c r="O136" s="382"/>
      <c r="S136" s="382"/>
      <c r="T136" s="382"/>
      <c r="U136" s="382"/>
      <c r="V136" s="382"/>
      <c r="W136" s="382"/>
      <c r="X136" s="382"/>
      <c r="AB136" s="382"/>
      <c r="AC136" s="382"/>
      <c r="AD136" s="382"/>
      <c r="AE136" s="382"/>
      <c r="AF136" s="382"/>
      <c r="AG136" s="382"/>
    </row>
    <row r="137" spans="1:34">
      <c r="A137" s="357" t="s">
        <v>174</v>
      </c>
      <c r="B137" s="357"/>
      <c r="C137" s="357"/>
      <c r="D137" s="357"/>
      <c r="E137" s="357"/>
      <c r="F137" s="357"/>
      <c r="G137" s="29">
        <f>(G135+G136)*20%</f>
        <v>2866.6660000000002</v>
      </c>
      <c r="H137" s="29">
        <f>(H135+H136)*20%</f>
        <v>3282.5</v>
      </c>
      <c r="J137" s="382"/>
      <c r="K137" s="382"/>
      <c r="L137" s="382"/>
      <c r="M137" s="382"/>
      <c r="N137" s="382"/>
      <c r="O137" s="382"/>
      <c r="S137" s="382"/>
      <c r="T137" s="382"/>
      <c r="U137" s="382"/>
      <c r="V137" s="382"/>
      <c r="W137" s="382"/>
      <c r="X137" s="382"/>
      <c r="AB137" s="382"/>
      <c r="AC137" s="382"/>
      <c r="AD137" s="382"/>
      <c r="AE137" s="382"/>
      <c r="AF137" s="382"/>
      <c r="AG137" s="382"/>
    </row>
    <row r="138" spans="1:34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82"/>
      <c r="K138" s="382"/>
      <c r="L138" s="382"/>
      <c r="M138" s="382"/>
      <c r="N138" s="382"/>
      <c r="O138" s="382"/>
      <c r="S138" s="382"/>
      <c r="T138" s="382"/>
      <c r="U138" s="382"/>
      <c r="V138" s="382"/>
      <c r="W138" s="382"/>
      <c r="X138" s="382"/>
      <c r="AB138" s="382"/>
      <c r="AC138" s="382"/>
      <c r="AD138" s="382"/>
      <c r="AE138" s="382"/>
      <c r="AF138" s="382"/>
      <c r="AG138" s="382"/>
    </row>
    <row r="139" spans="1:34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82"/>
      <c r="K139" s="382"/>
      <c r="L139" s="382"/>
      <c r="M139" s="382"/>
      <c r="N139" s="382"/>
      <c r="O139" s="382"/>
      <c r="S139" s="382"/>
      <c r="T139" s="382"/>
      <c r="U139" s="382"/>
      <c r="V139" s="382"/>
      <c r="W139" s="382"/>
      <c r="X139" s="382"/>
      <c r="AB139" s="382"/>
      <c r="AC139" s="382"/>
      <c r="AD139" s="382"/>
      <c r="AE139" s="382"/>
      <c r="AF139" s="382"/>
      <c r="AG139" s="382"/>
    </row>
    <row r="140" spans="1:34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82"/>
      <c r="K140" s="382"/>
      <c r="L140" s="382"/>
      <c r="M140" s="382"/>
      <c r="N140" s="382"/>
      <c r="O140" s="382"/>
      <c r="S140" s="382"/>
      <c r="T140" s="382"/>
      <c r="U140" s="382"/>
      <c r="V140" s="382"/>
      <c r="W140" s="382"/>
      <c r="X140" s="382"/>
      <c r="AB140" s="382"/>
      <c r="AC140" s="382"/>
      <c r="AD140" s="382"/>
      <c r="AE140" s="382"/>
      <c r="AF140" s="382"/>
      <c r="AG140" s="382"/>
    </row>
    <row r="141" spans="1:34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17199.995999999999</v>
      </c>
      <c r="H141" s="122">
        <f>(H135+H136+H139+H140+H137)-H138</f>
        <v>19695</v>
      </c>
      <c r="J141" s="382"/>
      <c r="K141" s="382"/>
      <c r="L141" s="382"/>
      <c r="M141" s="382"/>
      <c r="N141" s="382"/>
      <c r="O141" s="382"/>
      <c r="S141" s="382"/>
      <c r="T141" s="382"/>
      <c r="U141" s="382"/>
      <c r="V141" s="382"/>
      <c r="W141" s="382"/>
      <c r="X141" s="382"/>
      <c r="AB141" s="382"/>
      <c r="AC141" s="382"/>
      <c r="AD141" s="382"/>
      <c r="AE141" s="382"/>
      <c r="AF141" s="382"/>
      <c r="AG141" s="382"/>
    </row>
    <row r="142" spans="1:34">
      <c r="A142" s="357" t="s">
        <v>179</v>
      </c>
      <c r="B142" s="357"/>
      <c r="C142" s="357"/>
      <c r="D142" s="357"/>
      <c r="E142" s="357"/>
      <c r="F142" s="357"/>
      <c r="G142" s="36">
        <f>F142</f>
        <v>0</v>
      </c>
      <c r="H142" s="36">
        <f>G142</f>
        <v>0</v>
      </c>
      <c r="J142" s="382"/>
      <c r="K142" s="382"/>
      <c r="L142" s="382"/>
      <c r="M142" s="382"/>
      <c r="N142" s="382"/>
      <c r="O142" s="382"/>
      <c r="S142" s="382"/>
      <c r="T142" s="382"/>
      <c r="U142" s="382"/>
      <c r="V142" s="382"/>
      <c r="W142" s="382"/>
      <c r="X142" s="382"/>
      <c r="AB142" s="382"/>
      <c r="AC142" s="382"/>
      <c r="AD142" s="382"/>
      <c r="AE142" s="382"/>
      <c r="AF142" s="382"/>
      <c r="AG142" s="382"/>
    </row>
    <row r="143" spans="1:34">
      <c r="A143" s="358" t="s">
        <v>180</v>
      </c>
      <c r="B143" s="358"/>
      <c r="C143" s="358"/>
      <c r="D143" s="358"/>
      <c r="E143" s="358"/>
      <c r="F143" s="358"/>
      <c r="G143" s="29"/>
      <c r="H143" s="29"/>
      <c r="J143" s="382"/>
      <c r="K143" s="382"/>
      <c r="L143" s="382"/>
      <c r="M143" s="382"/>
      <c r="N143" s="382"/>
      <c r="O143" s="382"/>
      <c r="S143" s="382"/>
      <c r="T143" s="382"/>
      <c r="U143" s="382"/>
      <c r="V143" s="382"/>
      <c r="W143" s="382"/>
      <c r="X143" s="382"/>
      <c r="AB143" s="382"/>
      <c r="AC143" s="382"/>
      <c r="AD143" s="382"/>
      <c r="AE143" s="382"/>
      <c r="AF143" s="382"/>
      <c r="AG143" s="382"/>
    </row>
    <row r="144" spans="1:34">
      <c r="A144" s="124" t="s">
        <v>26</v>
      </c>
      <c r="B144" s="360">
        <v>0</v>
      </c>
      <c r="C144" s="360"/>
      <c r="D144" s="360"/>
      <c r="E144" s="360"/>
      <c r="F144" s="360"/>
      <c r="G144" s="36">
        <v>0</v>
      </c>
      <c r="H144" s="36">
        <v>0</v>
      </c>
      <c r="K144" s="382"/>
      <c r="L144" s="382"/>
      <c r="M144" s="382"/>
      <c r="N144" s="382"/>
      <c r="O144" s="382"/>
      <c r="T144" s="382"/>
      <c r="U144" s="382"/>
      <c r="V144" s="382"/>
      <c r="W144" s="382"/>
      <c r="X144" s="382"/>
      <c r="AC144" s="382"/>
      <c r="AD144" s="382"/>
      <c r="AE144" s="382"/>
      <c r="AF144" s="382"/>
      <c r="AG144" s="382"/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36">
        <v>0</v>
      </c>
      <c r="H145" s="36">
        <v>0</v>
      </c>
      <c r="I145" s="4">
        <f>(G142+G145+G146+G144)</f>
        <v>0</v>
      </c>
      <c r="K145" s="382"/>
      <c r="L145" s="382"/>
      <c r="M145" s="382"/>
      <c r="N145" s="382"/>
      <c r="O145" s="382"/>
      <c r="T145" s="382"/>
      <c r="U145" s="382"/>
      <c r="V145" s="382"/>
      <c r="W145" s="382"/>
      <c r="X145" s="382"/>
      <c r="AC145" s="382"/>
      <c r="AD145" s="382"/>
      <c r="AE145" s="382"/>
      <c r="AF145" s="382"/>
      <c r="AG145" s="382"/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36">
        <v>0</v>
      </c>
      <c r="H146" s="36">
        <v>0</v>
      </c>
      <c r="I146" s="4">
        <f>(H142+H144+H145+H146)</f>
        <v>0</v>
      </c>
      <c r="K146" s="382"/>
      <c r="L146" s="382"/>
      <c r="M146" s="382"/>
      <c r="N146" s="382"/>
      <c r="O146" s="382"/>
      <c r="T146" s="382"/>
      <c r="U146" s="382"/>
      <c r="V146" s="382"/>
      <c r="W146" s="382"/>
      <c r="X146" s="382"/>
      <c r="AC146" s="382"/>
      <c r="AD146" s="382"/>
      <c r="AE146" s="382"/>
      <c r="AF146" s="382"/>
      <c r="AG146" s="382"/>
    </row>
    <row r="147" spans="1:35" ht="21">
      <c r="A147" s="357" t="s">
        <v>182</v>
      </c>
      <c r="B147" s="357"/>
      <c r="C147" s="357"/>
      <c r="D147" s="357"/>
      <c r="E147" s="357"/>
      <c r="F147" s="357"/>
      <c r="G147" s="126">
        <f>G141-((G144*1.2)+(G145*1.2)+(G146*1.2)+(G142*1.2))</f>
        <v>17199.995999999999</v>
      </c>
      <c r="H147" s="126">
        <f>H141-((H144*1.2)+(H145*1.2)+(H146*1.2)+(H142*1.2))</f>
        <v>19695</v>
      </c>
      <c r="J147" s="382"/>
      <c r="K147" s="382"/>
      <c r="L147" s="382"/>
      <c r="M147" s="382"/>
      <c r="N147" s="382"/>
      <c r="O147" s="382"/>
      <c r="S147" s="382"/>
      <c r="T147" s="382"/>
      <c r="U147" s="382"/>
      <c r="V147" s="382"/>
      <c r="W147" s="382"/>
      <c r="X147" s="382"/>
      <c r="AB147" s="382"/>
      <c r="AC147" s="382"/>
      <c r="AD147" s="382"/>
      <c r="AE147" s="382"/>
      <c r="AF147" s="382"/>
      <c r="AG147" s="382"/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2079.170000000001</v>
      </c>
      <c r="I148" s="4">
        <f>(H148-G81)/1.2</f>
        <v>-11767.358333333332</v>
      </c>
      <c r="J148" s="382"/>
      <c r="K148" s="382"/>
      <c r="L148" s="382"/>
      <c r="M148" s="382"/>
      <c r="N148" s="382"/>
      <c r="O148" s="382"/>
      <c r="S148" s="382"/>
      <c r="T148" s="382"/>
      <c r="U148" s="382"/>
      <c r="V148" s="382"/>
      <c r="W148" s="382"/>
      <c r="X148" s="382"/>
      <c r="AB148" s="382"/>
      <c r="AC148" s="382"/>
      <c r="AD148" s="382"/>
      <c r="AE148" s="382"/>
      <c r="AF148" s="382"/>
      <c r="AG148" s="382"/>
    </row>
    <row r="149" spans="1:35">
      <c r="A149" s="27"/>
      <c r="B149" s="28"/>
      <c r="C149" s="28"/>
      <c r="D149" s="28"/>
      <c r="E149" s="21"/>
      <c r="F149" s="21"/>
      <c r="G149" s="21"/>
      <c r="H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82"/>
      <c r="K150" s="382"/>
      <c r="L150" s="382"/>
      <c r="M150" s="382"/>
      <c r="N150" s="382"/>
      <c r="O150" s="382"/>
      <c r="P150" s="382"/>
      <c r="Q150" s="382"/>
      <c r="S150" s="382"/>
      <c r="T150" s="382"/>
      <c r="U150" s="382"/>
      <c r="V150" s="382"/>
      <c r="W150" s="382"/>
      <c r="X150" s="382"/>
      <c r="Y150" s="382"/>
      <c r="Z150" s="382"/>
      <c r="AB150" s="382"/>
      <c r="AC150" s="382"/>
      <c r="AD150" s="382"/>
      <c r="AE150" s="382"/>
      <c r="AF150" s="382"/>
      <c r="AG150" s="382"/>
      <c r="AH150" s="382"/>
      <c r="AI150" s="382"/>
    </row>
    <row r="151" spans="1:35">
      <c r="A151" s="27"/>
      <c r="B151" s="28"/>
      <c r="C151" s="28"/>
      <c r="D151" s="28"/>
      <c r="E151" s="21"/>
      <c r="F151" s="21"/>
      <c r="G151" s="21"/>
      <c r="H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N152" s="382"/>
      <c r="O152" s="382"/>
      <c r="P152" s="382"/>
      <c r="Q152" s="382"/>
      <c r="W152" s="382"/>
      <c r="X152" s="382"/>
      <c r="Y152" s="382"/>
      <c r="Z152" s="382"/>
      <c r="AF152" s="382"/>
      <c r="AG152" s="382"/>
      <c r="AH152" s="382"/>
      <c r="AI152" s="382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N153" s="382"/>
      <c r="O153" s="382"/>
      <c r="P153" s="382"/>
      <c r="Q153" s="382"/>
      <c r="W153" s="382"/>
      <c r="X153" s="382"/>
      <c r="Y153" s="382"/>
      <c r="Z153" s="382"/>
      <c r="AF153" s="382"/>
      <c r="AG153" s="382"/>
      <c r="AH153" s="382"/>
      <c r="AI153" s="382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N154" s="382"/>
      <c r="O154" s="382"/>
      <c r="P154" s="382"/>
      <c r="Q154" s="382"/>
      <c r="W154" s="382"/>
      <c r="X154" s="382"/>
      <c r="Y154" s="382"/>
      <c r="Z154" s="382"/>
      <c r="AF154" s="382"/>
      <c r="AG154" s="382"/>
      <c r="AH154" s="382"/>
      <c r="AI154" s="382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N155" s="382"/>
      <c r="O155" s="382"/>
      <c r="W155" s="382"/>
      <c r="X155" s="382"/>
      <c r="AF155" s="382"/>
      <c r="AG155" s="382"/>
    </row>
    <row r="156" spans="1:35">
      <c r="A156" s="27" t="s">
        <v>189</v>
      </c>
      <c r="B156" s="28"/>
      <c r="C156" s="28"/>
      <c r="D156" s="21"/>
      <c r="E156" s="28"/>
      <c r="F156" s="21"/>
      <c r="G156" s="21"/>
      <c r="H156" s="36">
        <v>1150</v>
      </c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0</v>
      </c>
      <c r="H157" s="365"/>
      <c r="P157" s="382"/>
      <c r="Q157" s="382"/>
      <c r="Y157" s="382"/>
      <c r="Z157" s="382"/>
      <c r="AH157" s="382"/>
      <c r="AI157" s="382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20845</v>
      </c>
      <c r="H158" s="366"/>
      <c r="P158" s="382"/>
      <c r="Q158" s="382"/>
      <c r="Y158" s="382"/>
      <c r="Z158" s="382"/>
      <c r="AH158" s="382"/>
      <c r="AI158" s="382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1000</v>
      </c>
      <c r="H159" s="367"/>
      <c r="P159" s="382"/>
      <c r="Q159" s="382"/>
      <c r="Y159" s="382"/>
      <c r="Z159" s="382"/>
      <c r="AH159" s="382"/>
      <c r="AI159" s="382"/>
    </row>
    <row r="160" spans="1:35">
      <c r="A160" s="27"/>
      <c r="B160" s="28"/>
      <c r="C160" s="28"/>
      <c r="D160" s="28"/>
      <c r="E160" s="21"/>
      <c r="F160" s="21"/>
      <c r="G160" s="21"/>
      <c r="H160" s="29"/>
    </row>
    <row r="161" spans="1:35">
      <c r="A161" s="27"/>
      <c r="B161" s="28"/>
      <c r="C161" s="28"/>
      <c r="D161" s="28"/>
      <c r="E161" s="21"/>
      <c r="F161" s="21"/>
      <c r="G161" s="21"/>
      <c r="H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82"/>
      <c r="K162" s="382"/>
      <c r="L162" s="382"/>
      <c r="M162" s="382"/>
      <c r="N162" s="382"/>
      <c r="O162" s="382"/>
      <c r="P162" s="382"/>
      <c r="Q162" s="382"/>
      <c r="S162" s="382"/>
      <c r="T162" s="382"/>
      <c r="U162" s="382"/>
      <c r="V162" s="382"/>
      <c r="W162" s="382"/>
      <c r="X162" s="382"/>
      <c r="Y162" s="382"/>
      <c r="Z162" s="382"/>
      <c r="AB162" s="382"/>
      <c r="AC162" s="382"/>
      <c r="AD162" s="382"/>
      <c r="AE162" s="382"/>
      <c r="AF162" s="382"/>
      <c r="AG162" s="382"/>
      <c r="AH162" s="382"/>
      <c r="AI162" s="382"/>
    </row>
    <row r="163" spans="1:35">
      <c r="A163" s="27"/>
      <c r="B163" s="28"/>
      <c r="C163" s="28"/>
      <c r="D163" s="28"/>
      <c r="E163" s="21"/>
      <c r="F163" s="21"/>
      <c r="G163" s="21"/>
      <c r="H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K164" s="382"/>
      <c r="L164" s="382"/>
      <c r="T164" s="382"/>
      <c r="U164" s="382"/>
      <c r="AC164" s="382"/>
      <c r="AD164" s="382"/>
    </row>
    <row r="165" spans="1:35">
      <c r="A165" s="27"/>
      <c r="B165" s="28"/>
      <c r="C165" s="28"/>
      <c r="D165" s="28"/>
      <c r="E165" s="21"/>
      <c r="F165" s="21"/>
      <c r="G165" s="21"/>
      <c r="H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</row>
    <row r="167" spans="1:35">
      <c r="A167" s="132">
        <f>B95</f>
        <v>398.74593374024096</v>
      </c>
      <c r="B167" s="133">
        <f>B94</f>
        <v>0</v>
      </c>
      <c r="C167" s="131"/>
      <c r="D167" s="131"/>
      <c r="E167" s="133">
        <f>B96</f>
        <v>398.74593374024096</v>
      </c>
      <c r="F167" s="21"/>
      <c r="G167" s="21">
        <f>ROUND(G95,2)</f>
        <v>347.2</v>
      </c>
      <c r="H167" s="29"/>
    </row>
    <row r="168" spans="1:35">
      <c r="A168" s="27"/>
      <c r="B168" s="28"/>
      <c r="C168" s="28"/>
      <c r="D168" s="28"/>
      <c r="E168" s="21"/>
      <c r="F168" s="21"/>
      <c r="G168" s="21"/>
      <c r="H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</row>
    <row r="170" spans="1:35">
      <c r="A170" s="134">
        <f>B29</f>
        <v>12345</v>
      </c>
      <c r="B170" s="135">
        <f>B30</f>
        <v>0</v>
      </c>
      <c r="C170" s="136"/>
      <c r="D170" s="21"/>
      <c r="E170" s="137">
        <v>7200</v>
      </c>
      <c r="F170" s="21"/>
      <c r="G170" s="21"/>
      <c r="H170" s="29"/>
    </row>
    <row r="171" spans="1:35">
      <c r="A171" s="27"/>
      <c r="B171" s="28"/>
      <c r="C171" s="28"/>
      <c r="D171" s="21"/>
      <c r="E171" s="28"/>
      <c r="F171" s="21"/>
      <c r="G171" s="21"/>
      <c r="H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</row>
    <row r="173" spans="1:35">
      <c r="A173" s="138">
        <f>H141-H137-H139-H140</f>
        <v>16412.5</v>
      </c>
      <c r="B173" s="34">
        <f>H137</f>
        <v>3282.5</v>
      </c>
      <c r="C173" s="38"/>
      <c r="D173" s="21"/>
      <c r="E173" s="137">
        <f>H139+H140</f>
        <v>0</v>
      </c>
      <c r="F173" s="21"/>
      <c r="G173" s="21"/>
      <c r="H173" s="29"/>
    </row>
    <row r="174" spans="1:35">
      <c r="A174" s="27"/>
      <c r="B174" s="28"/>
      <c r="C174" s="28"/>
      <c r="D174" s="21"/>
      <c r="E174" s="28"/>
      <c r="F174" s="21"/>
      <c r="G174" s="21"/>
      <c r="H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</row>
    <row r="176" spans="1:35">
      <c r="A176" s="138">
        <f>H141</f>
        <v>19695</v>
      </c>
      <c r="B176" s="34">
        <f>B111</f>
        <v>0</v>
      </c>
      <c r="C176" s="34"/>
      <c r="D176" s="21"/>
      <c r="E176" s="34">
        <f>E111</f>
        <v>0</v>
      </c>
      <c r="F176" s="21"/>
      <c r="G176" s="21"/>
      <c r="H176" s="90"/>
    </row>
    <row r="177" spans="1:8">
      <c r="A177" s="27"/>
      <c r="B177" s="28"/>
      <c r="C177" s="28"/>
      <c r="D177" s="21"/>
      <c r="E177" s="28"/>
      <c r="F177" s="21"/>
      <c r="G177" s="21"/>
      <c r="H177" s="29"/>
    </row>
    <row r="178" spans="1:8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</row>
    <row r="179" spans="1:8">
      <c r="A179" s="94">
        <f>B176+E176</f>
        <v>0</v>
      </c>
      <c r="B179" s="34">
        <f>G154</f>
        <v>0</v>
      </c>
      <c r="C179" s="34"/>
      <c r="D179" s="21"/>
      <c r="E179" s="34">
        <f>G158</f>
        <v>20845</v>
      </c>
      <c r="F179" s="21"/>
      <c r="G179" s="21"/>
      <c r="H179" s="90"/>
    </row>
    <row r="180" spans="1:8">
      <c r="A180" s="27"/>
      <c r="B180" s="28"/>
      <c r="C180" s="28"/>
      <c r="D180" s="21"/>
      <c r="E180" s="28"/>
      <c r="F180" s="21"/>
      <c r="G180" s="21"/>
      <c r="H180" s="29"/>
    </row>
    <row r="181" spans="1:8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</row>
    <row r="182" spans="1:8">
      <c r="A182" s="94">
        <f>(A167*B59)+E185-E179-A185</f>
        <v>-885.13012031228936</v>
      </c>
      <c r="B182" s="34">
        <f>B114</f>
        <v>1000</v>
      </c>
      <c r="C182" s="34"/>
      <c r="D182" s="21"/>
      <c r="E182" s="34">
        <f>E179+A182+B182+A185</f>
        <v>20969.869879687711</v>
      </c>
      <c r="F182" s="21"/>
      <c r="G182" s="21"/>
      <c r="H182" s="90"/>
    </row>
    <row r="183" spans="1:8">
      <c r="A183" s="27"/>
      <c r="B183" s="28"/>
      <c r="C183" s="28"/>
      <c r="D183" s="21"/>
      <c r="E183" s="28"/>
      <c r="F183" s="21"/>
      <c r="G183" s="21"/>
      <c r="H183" s="29"/>
    </row>
    <row r="184" spans="1:8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</row>
    <row r="185" spans="1:8">
      <c r="A185" s="94">
        <f>B60</f>
        <v>10</v>
      </c>
      <c r="B185" s="34">
        <f>A179+B182</f>
        <v>1000</v>
      </c>
      <c r="C185" s="34"/>
      <c r="D185" s="21"/>
      <c r="E185" s="34">
        <f>IF( E170=0, A185+E167, E170+A185)</f>
        <v>7210</v>
      </c>
      <c r="F185" s="21"/>
      <c r="G185" s="21"/>
      <c r="H185" s="90"/>
    </row>
    <row r="186" spans="1:8">
      <c r="A186" s="27"/>
      <c r="B186" s="28"/>
      <c r="C186" s="28"/>
      <c r="D186" s="28"/>
      <c r="E186" s="21"/>
      <c r="F186" s="21"/>
      <c r="G186" s="21"/>
      <c r="H186" s="29"/>
    </row>
    <row r="187" spans="1:8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</row>
    <row r="188" spans="1:8">
      <c r="A188" s="94">
        <f>J18*0.000002*100*1.2</f>
        <v>9.7262399999999989</v>
      </c>
      <c r="B188" s="34">
        <f>(G158*B67)</f>
        <v>625.35</v>
      </c>
      <c r="C188" s="28"/>
      <c r="D188" s="28"/>
      <c r="E188" s="34">
        <f>IF(E105="YES",(H36*A108)*0.1,0)</f>
        <v>0</v>
      </c>
      <c r="F188" s="21"/>
      <c r="G188" s="21"/>
      <c r="H188" s="29"/>
    </row>
    <row r="189" spans="1:8">
      <c r="A189" s="94"/>
      <c r="B189" s="34"/>
      <c r="C189" s="28"/>
      <c r="D189" s="28"/>
      <c r="E189" s="21"/>
      <c r="F189" s="21"/>
      <c r="G189" s="21"/>
      <c r="H189" s="29"/>
    </row>
    <row r="190" spans="1:8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</row>
    <row r="191" spans="1:8">
      <c r="A191" s="94">
        <v>10</v>
      </c>
      <c r="B191" s="34">
        <f>B188+E188+A191</f>
        <v>635.35</v>
      </c>
      <c r="C191" s="28"/>
      <c r="D191" s="28"/>
      <c r="E191" s="34">
        <f>H148</f>
        <v>2079.170000000001</v>
      </c>
      <c r="F191" s="21"/>
      <c r="G191" s="21"/>
      <c r="H191" s="29"/>
    </row>
    <row r="192" spans="1:8">
      <c r="A192" s="27"/>
      <c r="B192" s="28"/>
      <c r="C192" s="28"/>
      <c r="D192" s="28"/>
      <c r="E192" s="21"/>
      <c r="F192" s="21"/>
      <c r="G192" s="21"/>
      <c r="H192" s="29"/>
    </row>
    <row r="193" spans="1:31">
      <c r="A193" s="58" t="s">
        <v>214</v>
      </c>
      <c r="B193" s="28"/>
      <c r="C193" s="28"/>
      <c r="D193" s="59"/>
      <c r="E193" s="59"/>
      <c r="F193" s="59"/>
      <c r="G193" s="59"/>
      <c r="H193" s="60"/>
    </row>
    <row r="194" spans="1:31">
      <c r="A194" s="27"/>
      <c r="B194" s="61"/>
      <c r="C194" s="61"/>
      <c r="D194" s="28"/>
      <c r="E194" s="21"/>
      <c r="F194" s="21"/>
      <c r="G194" s="21"/>
      <c r="H194" s="29"/>
    </row>
    <row r="195" spans="1:31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82"/>
      <c r="K195" s="382"/>
      <c r="L195" s="382"/>
      <c r="M195" s="382"/>
      <c r="S195" s="382"/>
      <c r="T195" s="382"/>
      <c r="U195" s="382"/>
      <c r="V195" s="382"/>
      <c r="AB195" s="382"/>
      <c r="AC195" s="382"/>
      <c r="AD195" s="382"/>
      <c r="AE195" s="382"/>
    </row>
    <row r="196" spans="1:31" ht="19.5" customHeight="1">
      <c r="A196" s="369"/>
      <c r="B196" s="342" t="str">
        <f>H30</f>
        <v>5000</v>
      </c>
      <c r="C196" s="342"/>
      <c r="D196" s="342"/>
      <c r="E196" s="21"/>
      <c r="F196" s="21"/>
      <c r="G196" s="21"/>
      <c r="H196" s="29"/>
      <c r="J196" s="382"/>
      <c r="K196" s="382"/>
      <c r="L196" s="382"/>
      <c r="M196" s="382"/>
      <c r="S196" s="382"/>
      <c r="T196" s="382"/>
      <c r="U196" s="382"/>
      <c r="V196" s="382"/>
      <c r="AB196" s="382"/>
      <c r="AC196" s="382"/>
      <c r="AD196" s="382"/>
      <c r="AE196" s="382"/>
    </row>
    <row r="197" spans="1:31">
      <c r="A197" s="62" t="str">
        <f>H29</f>
        <v>33</v>
      </c>
      <c r="B197" s="343">
        <f>B96</f>
        <v>398.74593374024096</v>
      </c>
      <c r="C197" s="343"/>
      <c r="D197" s="343"/>
      <c r="E197" s="21"/>
      <c r="F197" s="21"/>
      <c r="G197" s="21"/>
      <c r="H197" s="29"/>
      <c r="K197" s="382"/>
      <c r="L197" s="382"/>
      <c r="M197" s="382"/>
      <c r="T197" s="382"/>
      <c r="U197" s="382"/>
      <c r="V197" s="382"/>
      <c r="AC197" s="382"/>
      <c r="AD197" s="382"/>
      <c r="AE197" s="382"/>
    </row>
    <row r="198" spans="1:31">
      <c r="A198" s="27"/>
      <c r="B198" s="28"/>
      <c r="C198" s="28"/>
      <c r="D198" s="28"/>
      <c r="E198" s="21"/>
      <c r="F198" s="21"/>
      <c r="G198" s="21"/>
      <c r="H198" s="29"/>
    </row>
    <row r="199" spans="1:31">
      <c r="A199" s="27"/>
      <c r="B199" s="28"/>
      <c r="C199" s="28"/>
      <c r="D199" s="28"/>
      <c r="E199" s="21"/>
      <c r="F199" s="21"/>
      <c r="G199" s="21"/>
      <c r="H199" s="29"/>
    </row>
    <row r="200" spans="1:31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</row>
    <row r="201" spans="1:31">
      <c r="A201" s="32">
        <f>IF(A40=0,((G167*(B59+1))-E179),((G167*B59)+E185-E179-A185))</f>
        <v>-2534.5999999999985</v>
      </c>
      <c r="B201" s="38">
        <f>E179+A201+B182+A185</f>
        <v>19320.400000000001</v>
      </c>
      <c r="C201" s="28"/>
      <c r="D201" s="28"/>
      <c r="E201" s="21"/>
      <c r="F201" s="21"/>
      <c r="G201" s="21"/>
      <c r="H201" s="29"/>
    </row>
    <row r="202" spans="1:31">
      <c r="A202" s="49"/>
      <c r="B202" s="50"/>
      <c r="C202" s="50"/>
      <c r="D202" s="50"/>
      <c r="E202" s="50"/>
      <c r="F202" s="50"/>
      <c r="G202" s="50"/>
      <c r="H202" s="57"/>
    </row>
    <row r="206" spans="1:31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1">
      <c r="A207" s="27"/>
      <c r="B207" s="28"/>
      <c r="C207" s="28"/>
      <c r="D207" s="28"/>
      <c r="E207" s="21"/>
      <c r="F207" s="21"/>
      <c r="G207" s="21"/>
      <c r="H207" s="29"/>
    </row>
    <row r="208" spans="1:31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42" t="s">
        <v>217</v>
      </c>
      <c r="B209" s="131" t="str">
        <f>A197</f>
        <v>33</v>
      </c>
      <c r="C209" s="131"/>
      <c r="D209" s="131"/>
      <c r="E209" s="131" t="str">
        <f>B196</f>
        <v>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398.74593374024096</v>
      </c>
      <c r="B212" s="133">
        <f>B167</f>
        <v>0</v>
      </c>
      <c r="C212" s="131"/>
      <c r="D212" s="131"/>
      <c r="E212" s="133">
        <f>E167</f>
        <v>398.74593374024096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16412.5</v>
      </c>
      <c r="B215" s="34">
        <f>B173</f>
        <v>3282.5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19695</v>
      </c>
      <c r="B218" s="34">
        <f>B176</f>
        <v>0</v>
      </c>
      <c r="C218" s="34"/>
      <c r="D218" s="21"/>
      <c r="E218" s="34">
        <f>E176</f>
        <v>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0</v>
      </c>
      <c r="B221" s="34">
        <f>B179</f>
        <v>0</v>
      </c>
      <c r="C221" s="34"/>
      <c r="D221" s="21"/>
      <c r="E221" s="34">
        <f>E179</f>
        <v>20845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-885.13012031228936</v>
      </c>
      <c r="B224" s="34">
        <f>B182</f>
        <v>1000</v>
      </c>
      <c r="C224" s="34"/>
      <c r="D224" s="21"/>
      <c r="E224" s="34">
        <f>E182</f>
        <v>20969.869879687711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1000</v>
      </c>
      <c r="C227" s="34"/>
      <c r="D227" s="21"/>
      <c r="E227" s="34">
        <f>B59</f>
        <v>32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398.74593374024096</v>
      </c>
      <c r="B230" s="34">
        <f>B167</f>
        <v>0</v>
      </c>
      <c r="C230" s="38"/>
      <c r="D230" s="38"/>
      <c r="E230" s="34">
        <f>E167</f>
        <v>398.74593374024096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219</v>
      </c>
      <c r="B232" s="28" t="s">
        <v>220</v>
      </c>
      <c r="C232" s="28"/>
      <c r="D232" s="28"/>
      <c r="E232" s="28" t="s">
        <v>80</v>
      </c>
      <c r="F232" s="21"/>
      <c r="G232" s="21"/>
      <c r="H232" s="29"/>
    </row>
    <row r="233" spans="1:8">
      <c r="A233" s="94">
        <f>E170</f>
        <v>7200</v>
      </c>
      <c r="B233" s="34">
        <f>E185</f>
        <v>7210</v>
      </c>
      <c r="C233" s="28"/>
      <c r="D233" s="28"/>
      <c r="E233" s="34">
        <f>J18*0.000006*100*1.2</f>
        <v>29.178719999999998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221</v>
      </c>
      <c r="B235" s="35" t="s">
        <v>85</v>
      </c>
      <c r="C235" s="28"/>
      <c r="D235" s="28"/>
      <c r="E235" s="35" t="s">
        <v>142</v>
      </c>
      <c r="F235" s="21"/>
      <c r="G235" s="21"/>
      <c r="H235" s="29"/>
    </row>
    <row r="236" spans="1:8">
      <c r="A236" s="94">
        <f>A188</f>
        <v>9.7262399999999989</v>
      </c>
      <c r="B236" s="34">
        <f>E233+A236</f>
        <v>38.904959999999996</v>
      </c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2079.170000000001</v>
      </c>
      <c r="B240" s="34">
        <f>B188</f>
        <v>625.35</v>
      </c>
      <c r="C240" s="28"/>
      <c r="D240" s="28"/>
      <c r="E240" s="34">
        <f>IF(E105="YES",(H36*A108)*0.1,0)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1564.5200000000009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B63</f>
        <v>6.5000000000000002E-2</v>
      </c>
      <c r="C253" s="144"/>
      <c r="D253" s="374" t="s">
        <v>226</v>
      </c>
      <c r="E253" s="374"/>
      <c r="F253" s="143">
        <f>B83</f>
        <v>0.115</v>
      </c>
      <c r="G253" s="21"/>
      <c r="H253" s="29"/>
    </row>
    <row r="254" spans="1:8">
      <c r="A254" s="139" t="s">
        <v>227</v>
      </c>
      <c r="B254" s="145">
        <f>(E182-B182)-(B201-B182-A185)</f>
        <v>1659.4698796877092</v>
      </c>
      <c r="C254" s="144"/>
      <c r="D254" s="374" t="s">
        <v>228</v>
      </c>
      <c r="E254" s="374"/>
      <c r="F254" s="146">
        <f>F261+F267+F269+B270+B271</f>
        <v>625.35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1044.1198796877093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0.115</v>
      </c>
      <c r="C260" s="38"/>
      <c r="D260" s="363" t="s">
        <v>227</v>
      </c>
      <c r="E260" s="363"/>
      <c r="F260" s="115">
        <f>(B89*B59)-(C89*B59)</f>
        <v>0</v>
      </c>
      <c r="G260" s="21"/>
      <c r="H260" s="29"/>
    </row>
    <row r="261" spans="1:8">
      <c r="A261" s="27" t="s">
        <v>233</v>
      </c>
      <c r="B261" s="155">
        <f>B67</f>
        <v>0.03</v>
      </c>
      <c r="C261" s="28"/>
      <c r="D261" s="363" t="s">
        <v>233</v>
      </c>
      <c r="E261" s="363"/>
      <c r="F261" s="119">
        <f>B68</f>
        <v>625.35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1044.1198796877093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71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A100:H100"/>
    <mergeCell ref="J100:Q100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G42:H42"/>
    <mergeCell ref="B44:C44"/>
    <mergeCell ref="D44:E44"/>
    <mergeCell ref="B47:C47"/>
    <mergeCell ref="D47:E47"/>
    <mergeCell ref="A51:A52"/>
    <mergeCell ref="B51:C51"/>
    <mergeCell ref="B52:C52"/>
    <mergeCell ref="B53:C53"/>
    <mergeCell ref="B30:C30"/>
    <mergeCell ref="B32:C32"/>
    <mergeCell ref="D32:E32"/>
    <mergeCell ref="B35:C35"/>
    <mergeCell ref="D35:E35"/>
    <mergeCell ref="B38:C38"/>
    <mergeCell ref="D38:E38"/>
    <mergeCell ref="J38:K38"/>
    <mergeCell ref="B41:C41"/>
    <mergeCell ref="D41:E41"/>
    <mergeCell ref="A1:F1"/>
    <mergeCell ref="D7:E18"/>
    <mergeCell ref="A16:C18"/>
    <mergeCell ref="A19:D19"/>
    <mergeCell ref="A21:D21"/>
    <mergeCell ref="A24:E24"/>
    <mergeCell ref="A26:E26"/>
    <mergeCell ref="B29:C29"/>
    <mergeCell ref="D29:E29"/>
  </mergeCells>
  <dataValidations count="4">
    <dataValidation type="list" allowBlank="1" showErrorMessage="1" sqref="B38" xr:uid="{00000000-0002-0000-0400-000001000000}">
      <formula1>$Z$19:$Z$20</formula1>
      <formula2>0</formula2>
    </dataValidation>
    <dataValidation type="list" allowBlank="1" showInputMessage="1" showErrorMessage="1" sqref="B105 C108:D108 A144:A146" xr:uid="{00000000-0002-0000-0400-000002000000}">
      <formula1>#REF!</formula1>
      <formula2>0</formula2>
    </dataValidation>
    <dataValidation type="list" allowBlank="1" showInputMessage="1" showErrorMessage="1" sqref="E105 A111" xr:uid="{00000000-0002-0000-0400-000003000000}">
      <formula1>"YES,NO"</formula1>
      <formula2>0</formula2>
    </dataValidation>
    <dataValidation type="list" allowBlank="1" showInputMessage="1" showErrorMessage="1" sqref="B108" xr:uid="{00000000-0002-0000-0400-000004000000}">
      <formula1>"A1 Credit,Limited Credit"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4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272"/>
  <sheetViews>
    <sheetView topLeftCell="A243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6" customWidth="true" style="4" width="18.875"/>
    <col min="7" max="7" customWidth="true" style="4" width="23.125"/>
    <col min="8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30" t="s">
        <v>14</v>
      </c>
      <c r="B1" s="330"/>
      <c r="C1" s="330"/>
      <c r="D1" s="330"/>
      <c r="E1" s="330"/>
      <c r="F1" s="330"/>
      <c r="J1" s="5"/>
    </row>
    <row r="2" spans="1:25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J2" s="5"/>
    </row>
    <row r="3" spans="1:25">
      <c r="A3" s="9"/>
      <c r="B3" s="9"/>
      <c r="C3" s="9"/>
      <c r="D3" s="9"/>
      <c r="E3" s="9"/>
      <c r="F3" s="6" t="s">
        <v>10</v>
      </c>
      <c r="J3" s="5"/>
    </row>
    <row r="4" spans="1:25">
      <c r="A4" s="6" t="s">
        <v>18</v>
      </c>
      <c r="B4" s="7">
        <f>B15+C15</f>
        <v>17199.995999999999</v>
      </c>
      <c r="C4" s="9"/>
      <c r="D4" s="9"/>
      <c r="E4" s="9"/>
      <c r="F4" s="6" t="s">
        <v>10</v>
      </c>
      <c r="H4" s="10"/>
      <c r="J4" s="5"/>
    </row>
    <row r="5" spans="1:25">
      <c r="A5" s="11"/>
      <c r="B5" s="11"/>
      <c r="C5" s="11"/>
      <c r="D5" s="11"/>
      <c r="E5" s="11"/>
      <c r="F5" s="11" t="s">
        <v>10</v>
      </c>
      <c r="J5" s="5"/>
    </row>
    <row r="6" spans="1:25">
      <c r="A6" s="11"/>
      <c r="B6" s="11"/>
      <c r="C6" s="11"/>
      <c r="D6" s="11"/>
      <c r="E6" s="11"/>
      <c r="F6" s="11"/>
      <c r="J6" s="5"/>
    </row>
    <row r="7" spans="1:25">
      <c r="A7" s="12" t="s">
        <v>19</v>
      </c>
      <c r="B7" s="12" t="s">
        <v>20</v>
      </c>
      <c r="C7" s="12" t="s">
        <v>16</v>
      </c>
      <c r="D7" s="331"/>
      <c r="E7" s="331"/>
      <c r="F7" s="11"/>
      <c r="J7" s="5"/>
    </row>
    <row r="8" spans="1:25">
      <c r="A8" s="13"/>
      <c r="B8" s="11"/>
      <c r="C8" s="11"/>
      <c r="D8" s="331"/>
      <c r="E8" s="331"/>
      <c r="F8" s="11"/>
      <c r="J8" s="5"/>
      <c r="L8" s="14" t="s">
        <v>17</v>
      </c>
      <c r="M8" s="11">
        <f>H13+H14</f>
        <v>0</v>
      </c>
    </row>
    <row r="9" spans="1:25">
      <c r="A9" s="12" t="s">
        <v>21</v>
      </c>
      <c r="B9" s="15">
        <v>14333.33</v>
      </c>
      <c r="C9" s="11">
        <f>B9*0.2</f>
        <v>2866.6660000000002</v>
      </c>
      <c r="D9" s="331"/>
      <c r="E9" s="331"/>
      <c r="F9" s="11"/>
      <c r="J9" s="5"/>
      <c r="L9" s="11"/>
      <c r="M9" s="11"/>
    </row>
    <row r="10" spans="1:25">
      <c r="A10" s="12"/>
      <c r="B10" s="11"/>
      <c r="C10" s="11"/>
      <c r="D10" s="331"/>
      <c r="E10" s="331"/>
      <c r="F10" s="11"/>
      <c r="J10" s="5"/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31"/>
      <c r="E11" s="331"/>
      <c r="F11" s="11"/>
      <c r="J11" s="5"/>
      <c r="L11" s="11"/>
      <c r="M11" s="11"/>
    </row>
    <row r="12" spans="1:25">
      <c r="A12" s="12"/>
      <c r="B12" s="11"/>
      <c r="C12" s="11"/>
      <c r="D12" s="331"/>
      <c r="E12" s="331"/>
      <c r="F12" s="11"/>
      <c r="J12" s="5"/>
    </row>
    <row r="13" spans="1:25">
      <c r="A13" s="12" t="s">
        <v>23</v>
      </c>
      <c r="B13" s="15">
        <v>0</v>
      </c>
      <c r="C13" s="11"/>
      <c r="D13" s="331"/>
      <c r="E13" s="331"/>
      <c r="F13" s="11"/>
      <c r="J13" s="5"/>
    </row>
    <row r="14" spans="1:25">
      <c r="A14" s="12"/>
      <c r="B14" s="11"/>
      <c r="C14" s="11"/>
      <c r="D14" s="331"/>
      <c r="E14" s="331"/>
      <c r="F14" s="11"/>
      <c r="J14" s="5" t="s">
        <v>24</v>
      </c>
    </row>
    <row r="15" spans="1:25">
      <c r="A15" s="12" t="s">
        <v>25</v>
      </c>
      <c r="B15" s="11">
        <f>SUM(B9:B13)</f>
        <v>14333.33</v>
      </c>
      <c r="C15" s="11">
        <f>SUM(C9:C13)</f>
        <v>2866.6660000000002</v>
      </c>
      <c r="D15" s="331"/>
      <c r="E15" s="331"/>
      <c r="F15" s="11"/>
      <c r="J15" s="17">
        <f>H15</f>
        <v>0</v>
      </c>
    </row>
    <row r="16" spans="1:25">
      <c r="A16" s="332"/>
      <c r="B16" s="332"/>
      <c r="C16" s="332"/>
      <c r="D16" s="331"/>
      <c r="E16" s="331"/>
      <c r="F16" s="11"/>
      <c r="J16" s="5"/>
      <c r="Y16" s="18" t="s">
        <v>26</v>
      </c>
    </row>
    <row r="17" spans="1:26">
      <c r="A17" s="332"/>
      <c r="B17" s="332"/>
      <c r="C17" s="332"/>
      <c r="D17" s="331"/>
      <c r="E17" s="331"/>
      <c r="F17" s="11"/>
      <c r="J17" s="19" t="s">
        <v>27</v>
      </c>
      <c r="Y17" s="18" t="s">
        <v>28</v>
      </c>
    </row>
    <row r="18" spans="1:26">
      <c r="A18" s="332"/>
      <c r="B18" s="332"/>
      <c r="C18" s="332"/>
      <c r="D18" s="331"/>
      <c r="E18" s="331"/>
      <c r="F18" s="11"/>
      <c r="J18" s="20">
        <v>40526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17199.995999999999</v>
      </c>
      <c r="F19" s="11"/>
      <c r="J19" s="5"/>
      <c r="Z19" s="5" t="s">
        <v>31</v>
      </c>
    </row>
    <row r="20" spans="1:26">
      <c r="A20" s="11"/>
      <c r="B20" s="11"/>
      <c r="C20" s="11"/>
      <c r="D20" s="11"/>
      <c r="E20" s="11"/>
      <c r="F20" s="11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14333.33</v>
      </c>
      <c r="F21" s="11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76" t="s">
        <v>246</v>
      </c>
      <c r="B24" s="376"/>
      <c r="C24" s="376"/>
      <c r="D24" s="376"/>
      <c r="E24" s="376"/>
      <c r="F24" s="55"/>
      <c r="G24" s="55"/>
      <c r="H24" s="55"/>
    </row>
    <row r="25" spans="1:26">
      <c r="A25" s="157"/>
      <c r="B25" s="158"/>
      <c r="C25" s="158"/>
      <c r="D25" s="158"/>
      <c r="E25" s="159"/>
      <c r="F25" s="55"/>
      <c r="G25" s="55"/>
      <c r="H25" s="55"/>
    </row>
    <row r="26" spans="1:26" ht="23.25">
      <c r="A26" s="377" t="s">
        <v>247</v>
      </c>
      <c r="B26" s="377"/>
      <c r="C26" s="377"/>
      <c r="D26" s="377"/>
      <c r="E26" s="377"/>
      <c r="F26" s="55"/>
      <c r="G26" s="160"/>
      <c r="H26" s="160"/>
    </row>
    <row r="27" spans="1:26">
      <c r="A27" s="157"/>
      <c r="B27" s="158"/>
      <c r="C27" s="158"/>
      <c r="D27" s="158"/>
      <c r="E27" s="159"/>
      <c r="F27" s="55"/>
      <c r="G27" s="161" t="s">
        <v>96</v>
      </c>
      <c r="H27" s="161">
        <f>IF(A32=Y104,1,IF(A32=Y105,1,IF(A32=Y106,3,IF(A32=Y107,6,IF(A32=Y108,9,IF(A32=Y109,12,IF(A32=Y110,3,IF(A32=Y111,6,IF(A32=Y112,9,0)))))))))</f>
        <v>0</v>
      </c>
    </row>
    <row r="28" spans="1:26" ht="37.5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IF(A32=Y104,H29-H37,IF(A32=Y105,H29-H37,IF(A32=Y106,H29-1,IF(A32=Y107,H29-1,IF(A32=Y108,H29-1,IF(A32=Y109,H29-1,IF(A32=Y110,H29-H37,IF(A32=Y111,H29-H37,IF(A32=Y112,H29-H37,0)))))))))</f>
        <v>0</v>
      </c>
    </row>
    <row r="29" spans="1:26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 t="str">
        <f>B35</f>
        <v>12</v>
      </c>
    </row>
    <row r="30" spans="1:26">
      <c r="A30" s="157"/>
      <c r="B30" s="380"/>
      <c r="C30" s="380"/>
      <c r="D30" s="158"/>
      <c r="E30" s="159"/>
      <c r="F30" s="55"/>
      <c r="G30" s="160" t="s">
        <v>45</v>
      </c>
      <c r="H30" s="160" t="str">
        <f>D35</f>
        <v>5000</v>
      </c>
    </row>
    <row r="31" spans="1:26" ht="37.5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</row>
    <row r="32" spans="1:26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>
        <f>A41</f>
        <v>0</v>
      </c>
      <c r="J32" s="39" t="s">
        <v>50</v>
      </c>
      <c r="K32" s="40" t="s">
        <v>409</v>
      </c>
    </row>
    <row r="33" spans="1:16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J33" s="39"/>
      <c r="K33" s="13"/>
    </row>
    <row r="34" spans="1:16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J34" s="39" t="s">
        <v>57</v>
      </c>
      <c r="K34" s="44" t="s">
        <v>398</v>
      </c>
    </row>
    <row r="35" spans="1:16">
      <c r="A35" s="167">
        <f>B32+D32</f>
        <v>500</v>
      </c>
      <c r="B35" s="378" t="s">
        <v>393</v>
      </c>
      <c r="C35" s="378"/>
      <c r="D35" s="378" t="s">
        <v>397</v>
      </c>
      <c r="E35" s="378"/>
      <c r="F35" s="55"/>
      <c r="G35" s="46"/>
      <c r="H35" s="174"/>
      <c r="J35" s="39"/>
      <c r="K35" s="13">
        <v>6.5000000000000002E-2</v>
      </c>
    </row>
    <row r="36" spans="1:16">
      <c r="A36" s="157"/>
      <c r="B36" s="158"/>
      <c r="C36" s="158"/>
      <c r="D36" s="158"/>
      <c r="E36" s="159"/>
      <c r="F36" s="55"/>
      <c r="G36" s="55" t="s">
        <v>91</v>
      </c>
      <c r="H36" s="56">
        <v>0</v>
      </c>
      <c r="J36" s="39" t="s">
        <v>64</v>
      </c>
      <c r="K36" s="47">
        <f>K32-K34</f>
        <v>16200</v>
      </c>
    </row>
    <row r="37" spans="1:16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</row>
    <row r="38" spans="1:16">
      <c r="A38" s="175">
        <f>(B35/12)*D35</f>
        <v>5000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J38" s="382"/>
      <c r="K38" s="382"/>
      <c r="L38" s="5"/>
      <c r="N38" s="4">
        <f>80.88*36</f>
        <v>2911.68</v>
      </c>
    </row>
    <row r="39" spans="1:16">
      <c r="A39" s="176"/>
      <c r="B39" s="171"/>
      <c r="C39" s="171"/>
      <c r="D39" s="158"/>
      <c r="E39" s="159"/>
      <c r="F39" s="55"/>
      <c r="G39" s="55"/>
      <c r="H39" s="5"/>
      <c r="L39" s="5"/>
      <c r="N39" s="4">
        <f>K39-L39</f>
        <v>0</v>
      </c>
    </row>
    <row r="40" spans="1:16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L40" s="5"/>
      <c r="N40" s="4">
        <f>N38-N39</f>
        <v>2911.68</v>
      </c>
    </row>
    <row r="41" spans="1:16">
      <c r="A41" s="89">
        <f>H36/B35</f>
        <v>0</v>
      </c>
      <c r="B41" s="383" t="str">
        <f>IF(B38="YES",D38+A41,D38)</f>
        <v>500</v>
      </c>
      <c r="C41" s="383"/>
      <c r="D41" s="346">
        <v>6000</v>
      </c>
      <c r="E41" s="346"/>
      <c r="F41" s="55"/>
      <c r="G41" s="55"/>
      <c r="H41" s="180"/>
      <c r="J41" s="5"/>
      <c r="K41" s="5"/>
      <c r="L41" s="5"/>
    </row>
    <row r="42" spans="1:16">
      <c r="A42" s="176"/>
      <c r="B42" s="171"/>
      <c r="C42" s="171"/>
      <c r="D42" s="171"/>
      <c r="E42" s="181"/>
      <c r="F42" s="55"/>
      <c r="G42" s="384" t="s">
        <v>65</v>
      </c>
      <c r="H42" s="384"/>
      <c r="J42" s="5"/>
      <c r="K42" s="5"/>
      <c r="L42" s="5"/>
    </row>
    <row r="43" spans="1:16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J43" s="5"/>
      <c r="K43" s="5"/>
      <c r="L43" s="5"/>
    </row>
    <row r="44" spans="1:16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0</v>
      </c>
      <c r="J44" s="5"/>
      <c r="K44" s="5"/>
      <c r="L44" s="5"/>
    </row>
    <row r="45" spans="1:16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J45" s="5"/>
      <c r="K45" s="5"/>
      <c r="L45" s="5"/>
    </row>
    <row r="46" spans="1:16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J46" s="5"/>
      <c r="K46" s="5"/>
      <c r="L46" s="5"/>
    </row>
    <row r="47" spans="1:16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J47" s="5"/>
      <c r="K47" s="5"/>
      <c r="L47" s="5"/>
    </row>
    <row r="48" spans="1:16">
      <c r="B48" s="171"/>
      <c r="C48" s="171"/>
      <c r="D48" s="171"/>
      <c r="E48" s="181"/>
      <c r="F48" s="55"/>
      <c r="G48" s="55"/>
      <c r="H48" s="5"/>
      <c r="J48" s="48"/>
      <c r="K48" s="5"/>
      <c r="L48" s="5"/>
    </row>
    <row r="49" spans="1:29">
      <c r="A49" s="176"/>
      <c r="B49" s="171"/>
      <c r="C49" s="171"/>
      <c r="D49" s="171"/>
      <c r="E49" s="181"/>
      <c r="F49" s="55"/>
      <c r="G49" s="55"/>
      <c r="H49" s="5"/>
      <c r="J49" s="5"/>
      <c r="K49" s="5"/>
      <c r="L49" s="5"/>
    </row>
    <row r="50" spans="1:29">
      <c r="A50" s="157"/>
      <c r="B50" s="183"/>
      <c r="C50" s="183"/>
      <c r="D50" s="158"/>
      <c r="E50" s="159"/>
      <c r="I50" s="5"/>
      <c r="J50" s="5"/>
      <c r="K50" s="5"/>
    </row>
    <row r="51" spans="1:29" ht="19.5" customHeight="1">
      <c r="A51" s="387" t="s">
        <v>94</v>
      </c>
      <c r="B51" s="388" t="s">
        <v>95</v>
      </c>
      <c r="C51" s="388"/>
      <c r="D51" s="158"/>
      <c r="E51" s="159"/>
      <c r="I51" s="5"/>
      <c r="J51" s="5"/>
      <c r="K51" s="5"/>
    </row>
    <row r="52" spans="1:29">
      <c r="A52" s="387"/>
      <c r="B52" s="389" t="str">
        <f>H30</f>
        <v>5000</v>
      </c>
      <c r="C52" s="389"/>
      <c r="D52" s="158"/>
      <c r="E52" s="159"/>
      <c r="I52" s="5"/>
      <c r="J52" s="5"/>
      <c r="K52" s="5"/>
    </row>
    <row r="53" spans="1:29">
      <c r="A53" s="185" t="str">
        <f>H29</f>
        <v>12</v>
      </c>
      <c r="B53" s="343">
        <f>H45</f>
        <v>501</v>
      </c>
      <c r="C53" s="343"/>
      <c r="D53" s="158"/>
      <c r="E53" s="159"/>
      <c r="I53" s="5"/>
      <c r="J53" s="5"/>
      <c r="K53" s="5"/>
    </row>
    <row r="54" spans="1:29">
      <c r="I54" s="5"/>
      <c r="J54" s="5"/>
      <c r="K54" s="5"/>
    </row>
    <row r="55" spans="1:29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29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29">
      <c r="A57" s="22"/>
      <c r="B57" s="23"/>
      <c r="C57" s="23"/>
      <c r="D57" s="23"/>
      <c r="E57" s="63"/>
      <c r="F57" s="63"/>
      <c r="G57" s="63"/>
      <c r="H57" s="24"/>
    </row>
    <row r="58" spans="1:29">
      <c r="A58" s="27" t="s">
        <v>96</v>
      </c>
      <c r="B58" s="28">
        <v>1</v>
      </c>
      <c r="C58" s="186"/>
      <c r="D58" s="28"/>
      <c r="E58" s="21"/>
      <c r="F58" s="21"/>
      <c r="G58" s="21"/>
      <c r="H58" s="29"/>
    </row>
    <row r="59" spans="1:29">
      <c r="A59" s="27" t="s">
        <v>97</v>
      </c>
      <c r="B59" s="28">
        <f>B35-B58</f>
        <v>11</v>
      </c>
      <c r="C59" s="186"/>
      <c r="D59" s="28"/>
      <c r="E59" s="21"/>
      <c r="F59" s="21"/>
      <c r="G59" s="21"/>
      <c r="H59" s="29"/>
    </row>
    <row r="60" spans="1:29">
      <c r="A60" s="64" t="s">
        <v>98</v>
      </c>
      <c r="B60" s="65">
        <v>10</v>
      </c>
      <c r="C60" s="186"/>
      <c r="D60" s="28"/>
      <c r="E60" s="21"/>
      <c r="F60" s="21"/>
      <c r="G60" s="21"/>
      <c r="H60" s="29"/>
    </row>
    <row r="61" spans="1:29">
      <c r="A61" s="27" t="s">
        <v>27</v>
      </c>
      <c r="B61" s="28">
        <f>J18</f>
        <v>40526</v>
      </c>
      <c r="C61" s="186"/>
      <c r="D61" s="28"/>
      <c r="E61" s="21"/>
      <c r="F61" s="21"/>
      <c r="G61" s="21"/>
      <c r="H61" s="29"/>
    </row>
    <row r="62" spans="1:29">
      <c r="A62" s="66" t="s">
        <v>99</v>
      </c>
      <c r="B62" s="67">
        <v>1.0500000000000001E-2</v>
      </c>
      <c r="C62" s="186"/>
      <c r="D62" s="28"/>
      <c r="E62" s="21"/>
      <c r="F62" s="21"/>
      <c r="G62" s="21"/>
      <c r="H62" s="29"/>
      <c r="K62" s="10"/>
      <c r="T62" s="10"/>
      <c r="AC62" s="10"/>
    </row>
    <row r="63" spans="1:29">
      <c r="A63" s="68" t="s">
        <v>100</v>
      </c>
      <c r="B63" s="69">
        <v>6.5000000000000002E-2</v>
      </c>
      <c r="C63" s="186"/>
      <c r="D63" s="28"/>
      <c r="E63" s="21"/>
      <c r="F63" s="21"/>
      <c r="G63" s="21"/>
      <c r="H63" s="29"/>
      <c r="K63" s="10"/>
      <c r="T63" s="10"/>
      <c r="AC63" s="10"/>
    </row>
    <row r="64" spans="1:29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K64" s="10"/>
      <c r="T64" s="10"/>
      <c r="AC64" s="10"/>
    </row>
    <row r="65" spans="1:29">
      <c r="A65" s="49" t="s">
        <v>102</v>
      </c>
      <c r="B65" s="57">
        <f>(B89*B59)-B53</f>
        <v>9972.5455293280247</v>
      </c>
      <c r="C65" s="28"/>
      <c r="D65" s="28"/>
      <c r="E65" s="21"/>
      <c r="F65" s="21"/>
      <c r="G65" s="21"/>
      <c r="H65" s="29"/>
    </row>
    <row r="66" spans="1:29">
      <c r="A66" s="66" t="s">
        <v>103</v>
      </c>
      <c r="B66" s="67">
        <v>0.02</v>
      </c>
      <c r="C66" s="28"/>
      <c r="D66" s="28"/>
      <c r="E66" s="21"/>
      <c r="F66" s="21"/>
      <c r="G66" s="21"/>
      <c r="H66" s="29"/>
      <c r="K66" s="10"/>
      <c r="T66" s="10"/>
      <c r="AC66" s="10"/>
    </row>
    <row r="67" spans="1:29">
      <c r="A67" s="27"/>
      <c r="B67" s="72">
        <f>B66</f>
        <v>0.02</v>
      </c>
      <c r="C67" s="28"/>
      <c r="D67" s="28"/>
      <c r="E67" s="21"/>
      <c r="F67" s="21"/>
      <c r="G67" s="21"/>
      <c r="H67" s="29"/>
      <c r="K67" s="10"/>
      <c r="T67" s="10"/>
      <c r="AC67" s="10"/>
    </row>
    <row r="68" spans="1:29">
      <c r="A68" s="49" t="s">
        <v>105</v>
      </c>
      <c r="B68" s="57">
        <f>(G158*B67)</f>
        <v>416.90000000000003</v>
      </c>
      <c r="C68" s="28"/>
      <c r="D68" s="28"/>
      <c r="E68" s="21"/>
      <c r="F68" s="21"/>
      <c r="G68" s="21"/>
      <c r="H68" s="29"/>
    </row>
    <row r="69" spans="1:29">
      <c r="A69" s="66" t="s">
        <v>106</v>
      </c>
      <c r="B69" s="67">
        <v>0</v>
      </c>
      <c r="C69" s="187"/>
      <c r="D69" s="28"/>
      <c r="E69" s="21"/>
      <c r="F69" s="21"/>
      <c r="G69" s="21"/>
      <c r="H69" s="29"/>
      <c r="K69" s="10"/>
      <c r="T69" s="10"/>
      <c r="AC69" s="10"/>
    </row>
    <row r="70" spans="1:29">
      <c r="A70" s="68" t="s">
        <v>107</v>
      </c>
      <c r="B70" s="69">
        <v>0</v>
      </c>
      <c r="C70" s="187"/>
      <c r="D70" s="28"/>
      <c r="E70" s="21"/>
      <c r="F70" s="21"/>
      <c r="G70" s="21"/>
      <c r="H70" s="29"/>
      <c r="K70" s="10"/>
      <c r="T70" s="10"/>
      <c r="AC70" s="10"/>
    </row>
    <row r="71" spans="1:29">
      <c r="A71" s="49" t="s">
        <v>108</v>
      </c>
      <c r="B71" s="73">
        <f>B69*(1+B70)</f>
        <v>0</v>
      </c>
      <c r="C71" s="187"/>
      <c r="D71" s="28"/>
      <c r="E71" s="21"/>
      <c r="F71" s="21"/>
      <c r="G71" s="21"/>
      <c r="H71" s="29"/>
      <c r="K71" s="10"/>
      <c r="T71" s="10"/>
      <c r="AC71" s="10"/>
    </row>
    <row r="72" spans="1:29">
      <c r="A72" s="66" t="s">
        <v>109</v>
      </c>
      <c r="B72" s="74">
        <v>0</v>
      </c>
      <c r="C72" s="187"/>
      <c r="D72" s="28"/>
      <c r="E72" s="21"/>
      <c r="F72" s="21"/>
      <c r="G72" s="21"/>
      <c r="H72" s="29"/>
    </row>
    <row r="73" spans="1:29">
      <c r="A73" s="68" t="s">
        <v>110</v>
      </c>
      <c r="B73" s="65">
        <v>0</v>
      </c>
      <c r="C73" s="187"/>
      <c r="D73" s="28"/>
      <c r="E73" s="21"/>
      <c r="F73" s="21"/>
      <c r="G73" s="21"/>
      <c r="H73" s="29"/>
    </row>
    <row r="74" spans="1:29">
      <c r="A74" s="49" t="s">
        <v>111</v>
      </c>
      <c r="B74" s="57">
        <f>B73*B35</f>
        <v>0</v>
      </c>
      <c r="C74" s="187"/>
      <c r="D74" s="28">
        <f>B74+B72</f>
        <v>0</v>
      </c>
      <c r="E74" s="21"/>
      <c r="F74" s="21"/>
      <c r="G74" s="21"/>
      <c r="H74" s="29"/>
    </row>
    <row r="75" spans="1:29">
      <c r="A75" s="68" t="s">
        <v>112</v>
      </c>
      <c r="B75" s="65">
        <v>0</v>
      </c>
      <c r="C75" s="187"/>
      <c r="D75" s="28">
        <f>B75</f>
        <v>0</v>
      </c>
      <c r="E75" s="21"/>
      <c r="F75" s="21"/>
      <c r="G75" s="21"/>
      <c r="H75" s="29"/>
    </row>
    <row r="76" spans="1:29">
      <c r="A76" s="70" t="s">
        <v>113</v>
      </c>
      <c r="B76" s="75">
        <v>0</v>
      </c>
      <c r="C76" s="187"/>
      <c r="D76" s="28">
        <f>B76</f>
        <v>0</v>
      </c>
      <c r="E76" s="21"/>
      <c r="F76" s="28"/>
      <c r="G76" s="21"/>
      <c r="H76" s="29"/>
    </row>
    <row r="77" spans="1:29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</row>
    <row r="78" spans="1:29">
      <c r="A78" s="27" t="s">
        <v>115</v>
      </c>
      <c r="B78" s="29">
        <f>B77/B35</f>
        <v>0</v>
      </c>
      <c r="C78" s="28"/>
      <c r="D78" s="28"/>
      <c r="E78" s="21"/>
      <c r="F78" s="21"/>
      <c r="G78" s="21"/>
      <c r="H78" s="29"/>
    </row>
    <row r="79" spans="1:29">
      <c r="A79" s="78" t="s">
        <v>116</v>
      </c>
      <c r="B79" s="52">
        <f>H46</f>
        <v>501</v>
      </c>
      <c r="C79" s="28"/>
      <c r="D79" s="28"/>
      <c r="E79" s="21"/>
      <c r="F79" s="21"/>
      <c r="G79" s="21"/>
      <c r="H79" s="29"/>
    </row>
    <row r="80" spans="1:29">
      <c r="A80" s="27"/>
      <c r="B80" s="28"/>
      <c r="C80" s="28"/>
      <c r="D80" s="28"/>
      <c r="E80" s="21"/>
      <c r="F80" s="21"/>
      <c r="G80" s="21"/>
      <c r="H80" s="29"/>
    </row>
    <row r="81" spans="1:29">
      <c r="A81" s="22" t="s">
        <v>117</v>
      </c>
      <c r="B81" s="24">
        <f>K36</f>
        <v>16200</v>
      </c>
      <c r="C81" s="28"/>
      <c r="D81" s="28"/>
      <c r="E81" s="21"/>
      <c r="F81" s="22" t="s">
        <v>117</v>
      </c>
      <c r="G81" s="24">
        <f>B81</f>
        <v>16200</v>
      </c>
      <c r="H81" s="29"/>
    </row>
    <row r="82" spans="1:29">
      <c r="A82" s="27" t="s">
        <v>118</v>
      </c>
      <c r="B82" s="29">
        <f>IF(A111="YES",D41,0)*1.2</f>
        <v>7200</v>
      </c>
      <c r="C82" s="28"/>
      <c r="D82" s="28"/>
      <c r="E82" s="21"/>
      <c r="F82" s="27" t="s">
        <v>118</v>
      </c>
      <c r="G82" s="29">
        <f>IF(A111="YES",D41,0)*1.2</f>
        <v>7200</v>
      </c>
      <c r="H82" s="29"/>
    </row>
    <row r="83" spans="1:29">
      <c r="A83" s="27" t="s">
        <v>119</v>
      </c>
      <c r="B83" s="79">
        <f>B62+B63+B64</f>
        <v>0.1255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K83" s="10"/>
      <c r="T83" s="10"/>
      <c r="AC83" s="10"/>
    </row>
    <row r="84" spans="1:29">
      <c r="A84" s="27" t="s">
        <v>120</v>
      </c>
      <c r="B84" s="72">
        <f>B83/12</f>
        <v>1.0458333333333333E-2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K84" s="10"/>
      <c r="T84" s="10"/>
      <c r="AC84" s="10"/>
    </row>
    <row r="85" spans="1:29">
      <c r="A85" s="27" t="s">
        <v>121</v>
      </c>
      <c r="B85" s="29">
        <f>IF(B82=0,(B59+B58),(B59))</f>
        <v>11</v>
      </c>
      <c r="C85" s="28"/>
      <c r="D85" s="28"/>
      <c r="E85" s="21"/>
      <c r="F85" s="27" t="s">
        <v>121</v>
      </c>
      <c r="G85" s="29">
        <f>IF(G82=0,(B59+B58),(B59))</f>
        <v>11</v>
      </c>
      <c r="H85" s="29"/>
    </row>
    <row r="86" spans="1:29">
      <c r="A86" s="27" t="s">
        <v>122</v>
      </c>
      <c r="B86" s="29">
        <f>(B82/((1+B84)^(B85+1)))</f>
        <v>6354.9417998796171</v>
      </c>
      <c r="C86" s="28">
        <f>(B82/((1+B84)^(B85+1)))</f>
        <v>6354.9417998796171</v>
      </c>
      <c r="D86" s="28"/>
      <c r="E86" s="21"/>
      <c r="F86" s="27" t="s">
        <v>122</v>
      </c>
      <c r="G86" s="29">
        <f>(G82/((1+G84)^(G85+1)))</f>
        <v>6748.0693014409899</v>
      </c>
      <c r="H86" s="29"/>
    </row>
    <row r="87" spans="1:29">
      <c r="A87" s="27" t="s">
        <v>123</v>
      </c>
      <c r="B87" s="29">
        <f>((1-(1/((1+B84)^B85)))/B84)</f>
        <v>10.339921652899179</v>
      </c>
      <c r="C87" s="28">
        <f>((1-(1/((1+B84)^B85)))/B84)</f>
        <v>10.339921652899179</v>
      </c>
      <c r="D87" s="28"/>
      <c r="E87" s="21"/>
      <c r="F87" s="27" t="s">
        <v>123</v>
      </c>
      <c r="G87" s="29">
        <f>((1-(1/((1+G84)^G85)))/G84)</f>
        <v>10.65073478229589</v>
      </c>
      <c r="H87" s="29"/>
    </row>
    <row r="88" spans="1:29">
      <c r="A88" s="27" t="s">
        <v>124</v>
      </c>
      <c r="B88" s="29">
        <f>B81-B86</f>
        <v>9845.0582001203838</v>
      </c>
      <c r="C88" s="28">
        <f>B81-B86</f>
        <v>9845.0582001203838</v>
      </c>
      <c r="D88" s="28"/>
      <c r="E88" s="21"/>
      <c r="F88" s="27" t="s">
        <v>124</v>
      </c>
      <c r="G88" s="29">
        <f>G81-G86</f>
        <v>9451.9306985590101</v>
      </c>
      <c r="H88" s="29"/>
    </row>
    <row r="89" spans="1:29">
      <c r="A89" s="27" t="s">
        <v>125</v>
      </c>
      <c r="B89" s="29">
        <f>(B88/B87)</f>
        <v>952.14050266618403</v>
      </c>
      <c r="C89" s="28">
        <f>(B88/B87)</f>
        <v>952.14050266618403</v>
      </c>
      <c r="D89" s="28"/>
      <c r="E89" s="21"/>
      <c r="F89" s="27" t="s">
        <v>125</v>
      </c>
      <c r="G89" s="29">
        <f>(G88/G87)</f>
        <v>887.444001917165</v>
      </c>
      <c r="H89" s="29"/>
    </row>
    <row r="90" spans="1:29">
      <c r="A90" s="27" t="s">
        <v>126</v>
      </c>
      <c r="B90" s="29">
        <f>((B89*(B85))+B77)</f>
        <v>10473.545529328025</v>
      </c>
      <c r="C90" s="28"/>
      <c r="D90" s="28"/>
      <c r="E90" s="21"/>
      <c r="F90" s="27" t="s">
        <v>126</v>
      </c>
      <c r="G90" s="29">
        <f>((G89*(G85))+G77)</f>
        <v>9761.8840210888156</v>
      </c>
      <c r="H90" s="29"/>
    </row>
    <row r="91" spans="1:29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</row>
    <row r="92" spans="1:29">
      <c r="A92" s="49" t="s">
        <v>128</v>
      </c>
      <c r="B92" s="57">
        <f>(B90+B91)</f>
        <v>10473.545529328025</v>
      </c>
      <c r="C92" s="28"/>
      <c r="D92" s="28"/>
      <c r="E92" s="21"/>
      <c r="F92" s="49" t="s">
        <v>128</v>
      </c>
      <c r="G92" s="57">
        <f>(G90+G91)</f>
        <v>9761.8840210888156</v>
      </c>
      <c r="H92" s="29"/>
    </row>
    <row r="93" spans="1:29">
      <c r="A93" s="27"/>
      <c r="B93" s="28"/>
      <c r="C93" s="28"/>
      <c r="D93" s="28"/>
      <c r="E93" s="21"/>
      <c r="F93" s="27"/>
      <c r="G93" s="28"/>
      <c r="H93" s="29"/>
    </row>
    <row r="94" spans="1:29">
      <c r="A94" s="76" t="s">
        <v>129</v>
      </c>
      <c r="B94" s="80" t="str">
        <f>IF(B38="YES",((H36/B85)*(1+A108)),"0")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</row>
    <row r="95" spans="1:29">
      <c r="A95" s="81" t="s">
        <v>130</v>
      </c>
      <c r="B95" s="82">
        <f>B92/(B85)</f>
        <v>952.14050266618403</v>
      </c>
      <c r="C95" s="28"/>
      <c r="D95" s="28"/>
      <c r="E95" s="21"/>
      <c r="F95" s="81" t="s">
        <v>130</v>
      </c>
      <c r="G95" s="82">
        <f>G92/(G85)</f>
        <v>887.44400191716511</v>
      </c>
      <c r="H95" s="29"/>
    </row>
    <row r="96" spans="1:29">
      <c r="A96" s="83" t="s">
        <v>131</v>
      </c>
      <c r="B96" s="84">
        <f>B94+B95</f>
        <v>952.14050266618403</v>
      </c>
      <c r="C96" s="28"/>
      <c r="D96" s="28"/>
      <c r="E96" s="21"/>
      <c r="F96" s="83" t="s">
        <v>131</v>
      </c>
      <c r="G96" s="84">
        <f>G94+G95</f>
        <v>887.44400191716511</v>
      </c>
      <c r="H96" s="29"/>
    </row>
    <row r="97" spans="1:42">
      <c r="A97" s="49"/>
      <c r="B97" s="50"/>
      <c r="C97" s="50"/>
      <c r="D97" s="50"/>
      <c r="E97" s="85"/>
      <c r="F97" s="85"/>
      <c r="G97" s="85"/>
      <c r="H97" s="57"/>
    </row>
    <row r="98" spans="1:42">
      <c r="A98" s="21"/>
      <c r="B98" s="21"/>
      <c r="C98" s="21"/>
      <c r="D98" s="21"/>
      <c r="E98" s="21"/>
      <c r="F98" s="21"/>
      <c r="G98" s="21"/>
      <c r="H98" s="21"/>
    </row>
    <row r="99" spans="1:42">
      <c r="A99" s="21"/>
      <c r="B99" s="21"/>
      <c r="C99" s="21"/>
      <c r="D99" s="21"/>
      <c r="E99" s="21"/>
      <c r="F99" s="21"/>
      <c r="G99" s="21"/>
      <c r="H99" s="21"/>
    </row>
    <row r="100" spans="1:42" ht="47.25" customHeight="1">
      <c r="A100" s="344" t="s">
        <v>134</v>
      </c>
      <c r="B100" s="344"/>
      <c r="C100" s="344"/>
      <c r="D100" s="344"/>
      <c r="E100" s="344"/>
      <c r="F100" s="344"/>
      <c r="G100" s="344"/>
      <c r="H100" s="344"/>
      <c r="J100" s="382"/>
      <c r="K100" s="382"/>
      <c r="L100" s="382"/>
      <c r="M100" s="382"/>
      <c r="N100" s="382"/>
      <c r="O100" s="382"/>
      <c r="P100" s="382"/>
      <c r="Q100" s="382"/>
      <c r="S100" s="382"/>
      <c r="T100" s="382"/>
      <c r="U100" s="382"/>
      <c r="V100" s="382"/>
      <c r="W100" s="382"/>
      <c r="X100" s="382"/>
      <c r="Y100" s="382"/>
      <c r="Z100" s="382"/>
      <c r="AB100" s="382"/>
      <c r="AC100" s="382"/>
      <c r="AD100" s="382"/>
      <c r="AE100" s="382"/>
      <c r="AF100" s="382"/>
      <c r="AG100" s="382"/>
      <c r="AH100" s="382"/>
      <c r="AI100" s="382"/>
    </row>
    <row r="101" spans="1:42">
      <c r="A101" s="22"/>
      <c r="B101" s="23"/>
      <c r="C101" s="23"/>
      <c r="D101" s="23"/>
      <c r="E101" s="63"/>
      <c r="F101" s="63"/>
      <c r="G101" s="63"/>
      <c r="H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82"/>
      <c r="K102" s="382"/>
      <c r="L102" s="382"/>
      <c r="M102" s="382"/>
      <c r="N102" s="382"/>
      <c r="O102" s="382"/>
      <c r="P102" s="382"/>
      <c r="Q102" s="382"/>
      <c r="S102" s="382"/>
      <c r="T102" s="382"/>
      <c r="U102" s="382"/>
      <c r="V102" s="382"/>
      <c r="W102" s="382"/>
      <c r="X102" s="382"/>
      <c r="Y102" s="382"/>
      <c r="Z102" s="382"/>
      <c r="AB102" s="382"/>
      <c r="AC102" s="382"/>
      <c r="AD102" s="382"/>
      <c r="AE102" s="382"/>
      <c r="AF102" s="382"/>
      <c r="AG102" s="382"/>
      <c r="AH102" s="382"/>
      <c r="AI102" s="382"/>
    </row>
    <row r="103" spans="1:42">
      <c r="A103" s="27"/>
      <c r="B103" s="28"/>
      <c r="C103" s="28"/>
      <c r="D103" s="28"/>
      <c r="E103" s="21"/>
      <c r="F103" s="21"/>
      <c r="G103" s="21"/>
      <c r="H103" s="88"/>
      <c r="Z103" s="55" t="s">
        <v>140</v>
      </c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Z104" s="55" t="s">
        <v>270</v>
      </c>
    </row>
    <row r="105" spans="1:42">
      <c r="A105" s="32" t="s">
        <v>139</v>
      </c>
      <c r="B105" s="345" t="s">
        <v>140</v>
      </c>
      <c r="C105" s="345"/>
      <c r="D105" s="345"/>
      <c r="E105" s="346" t="s">
        <v>386</v>
      </c>
      <c r="F105" s="346"/>
      <c r="G105" s="346"/>
      <c r="H105" s="88"/>
      <c r="K105" s="382"/>
      <c r="L105" s="382"/>
      <c r="M105" s="382"/>
      <c r="N105" s="382"/>
      <c r="O105" s="382"/>
      <c r="P105" s="382"/>
      <c r="T105" s="382"/>
      <c r="U105" s="382"/>
      <c r="V105" s="382"/>
      <c r="W105" s="382"/>
      <c r="X105" s="382"/>
      <c r="Y105" s="382"/>
      <c r="Z105" s="55" t="s">
        <v>271</v>
      </c>
      <c r="AC105" s="382"/>
      <c r="AD105" s="382"/>
      <c r="AE105" s="382"/>
      <c r="AF105" s="382"/>
      <c r="AG105" s="382"/>
      <c r="AH105" s="382"/>
    </row>
    <row r="106" spans="1:42">
      <c r="A106" s="27"/>
      <c r="B106" s="28"/>
      <c r="C106" s="28"/>
      <c r="D106" s="21"/>
      <c r="E106" s="28"/>
      <c r="F106" s="28"/>
      <c r="G106" s="21"/>
      <c r="H106" s="29"/>
      <c r="Z106" s="55" t="s">
        <v>272</v>
      </c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Z107" s="55" t="s">
        <v>273</v>
      </c>
    </row>
    <row r="108" spans="1:42">
      <c r="A108" s="188">
        <v>0.2</v>
      </c>
      <c r="B108" s="348" t="s">
        <v>400</v>
      </c>
      <c r="C108" s="348"/>
      <c r="D108" s="348">
        <v>0</v>
      </c>
      <c r="E108" s="349">
        <f>B83</f>
        <v>0.1255</v>
      </c>
      <c r="F108" s="349"/>
      <c r="G108" s="349"/>
      <c r="H108" s="42"/>
      <c r="J108" s="10"/>
      <c r="K108" s="382"/>
      <c r="L108" s="382"/>
      <c r="M108" s="382"/>
      <c r="N108" s="390"/>
      <c r="O108" s="390"/>
      <c r="P108" s="390"/>
      <c r="S108" s="10"/>
      <c r="T108" s="382"/>
      <c r="U108" s="382"/>
      <c r="V108" s="382"/>
      <c r="W108" s="390"/>
      <c r="X108" s="390"/>
      <c r="Y108" s="390"/>
      <c r="Z108" s="55" t="s">
        <v>274</v>
      </c>
      <c r="AB108" s="10"/>
      <c r="AC108" s="382"/>
      <c r="AD108" s="382"/>
      <c r="AE108" s="382"/>
      <c r="AF108" s="390"/>
      <c r="AG108" s="390"/>
      <c r="AH108" s="390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Z109" s="55" t="s">
        <v>275</v>
      </c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Z110" s="55" t="s">
        <v>276</v>
      </c>
    </row>
    <row r="111" spans="1:42">
      <c r="A111" s="36" t="s">
        <v>385</v>
      </c>
      <c r="B111" s="348">
        <v>0</v>
      </c>
      <c r="C111" s="348"/>
      <c r="D111" s="348"/>
      <c r="E111" s="348">
        <v>0</v>
      </c>
      <c r="F111" s="348"/>
      <c r="G111" s="348"/>
      <c r="H111" s="88"/>
      <c r="K111" s="382"/>
      <c r="L111" s="382"/>
      <c r="M111" s="382"/>
      <c r="N111" s="382"/>
      <c r="O111" s="382"/>
      <c r="P111" s="382"/>
      <c r="T111" s="382"/>
      <c r="U111" s="382"/>
      <c r="V111" s="382"/>
      <c r="W111" s="382"/>
      <c r="X111" s="382"/>
      <c r="Y111" s="382"/>
      <c r="Z111" s="55" t="s">
        <v>277</v>
      </c>
      <c r="AC111" s="382"/>
      <c r="AD111" s="382"/>
      <c r="AE111" s="382"/>
      <c r="AF111" s="382"/>
      <c r="AG111" s="382"/>
      <c r="AH111" s="382"/>
    </row>
    <row r="112" spans="1:42">
      <c r="A112" s="27"/>
      <c r="B112" s="28"/>
      <c r="C112" s="28"/>
      <c r="D112" s="28"/>
      <c r="E112" s="28"/>
      <c r="F112" s="28"/>
      <c r="G112" s="21"/>
      <c r="H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</row>
    <row r="114" spans="1:35">
      <c r="A114" s="94">
        <f>B111+E111</f>
        <v>0</v>
      </c>
      <c r="B114" s="348">
        <v>833.33333333333337</v>
      </c>
      <c r="C114" s="348"/>
      <c r="D114" s="348"/>
      <c r="E114" s="348" t="s">
        <v>31</v>
      </c>
      <c r="F114" s="348"/>
      <c r="G114" s="348"/>
      <c r="H114" s="88"/>
      <c r="K114" s="382"/>
      <c r="L114" s="382"/>
      <c r="M114" s="382"/>
      <c r="N114" s="382"/>
      <c r="O114" s="382"/>
      <c r="P114" s="382"/>
      <c r="T114" s="382"/>
      <c r="U114" s="382"/>
      <c r="V114" s="382"/>
      <c r="W114" s="382"/>
      <c r="X114" s="382"/>
      <c r="Y114" s="382"/>
      <c r="AC114" s="382"/>
      <c r="AD114" s="382"/>
      <c r="AE114" s="382"/>
      <c r="AF114" s="382"/>
      <c r="AG114" s="382"/>
      <c r="AH114" s="382"/>
    </row>
    <row r="115" spans="1:35">
      <c r="A115" s="95"/>
      <c r="B115" s="21"/>
      <c r="C115" s="21"/>
      <c r="D115" s="21"/>
      <c r="E115" s="21"/>
      <c r="F115" s="21"/>
      <c r="G115" s="21"/>
      <c r="H115" s="88"/>
    </row>
    <row r="116" spans="1:35">
      <c r="A116" s="95"/>
      <c r="B116" s="21"/>
      <c r="C116" s="21"/>
      <c r="D116" s="21"/>
      <c r="E116" s="21"/>
      <c r="F116" s="21"/>
      <c r="G116" s="21"/>
      <c r="H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82"/>
      <c r="K117" s="382"/>
      <c r="L117" s="382"/>
      <c r="M117" s="382"/>
      <c r="N117" s="382"/>
      <c r="O117" s="382"/>
      <c r="P117" s="382"/>
      <c r="Q117" s="382"/>
      <c r="S117" s="382"/>
      <c r="T117" s="382"/>
      <c r="U117" s="382"/>
      <c r="V117" s="382"/>
      <c r="W117" s="382"/>
      <c r="X117" s="382"/>
      <c r="Y117" s="382"/>
      <c r="Z117" s="382"/>
      <c r="AB117" s="382"/>
      <c r="AC117" s="382"/>
      <c r="AD117" s="382"/>
      <c r="AE117" s="382"/>
      <c r="AF117" s="382"/>
      <c r="AG117" s="382"/>
      <c r="AH117" s="382"/>
      <c r="AI117" s="382"/>
    </row>
    <row r="118" spans="1:35">
      <c r="A118" s="95"/>
      <c r="B118" s="21"/>
      <c r="C118" s="21"/>
      <c r="D118" s="21"/>
      <c r="E118" s="21"/>
      <c r="F118" s="21"/>
      <c r="G118" s="21"/>
      <c r="H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K119" s="382"/>
      <c r="L119" s="382"/>
      <c r="M119" s="382"/>
      <c r="N119" s="382"/>
      <c r="O119" s="382"/>
      <c r="P119" s="382"/>
      <c r="T119" s="382"/>
      <c r="U119" s="382"/>
      <c r="V119" s="382"/>
      <c r="W119" s="382"/>
      <c r="X119" s="382"/>
      <c r="Y119" s="382"/>
      <c r="AC119" s="382"/>
      <c r="AD119" s="382"/>
      <c r="AE119" s="382"/>
      <c r="AF119" s="382"/>
      <c r="AG119" s="382"/>
      <c r="AH119" s="382"/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</row>
    <row r="121" spans="1:35">
      <c r="A121" s="22" t="s">
        <v>160</v>
      </c>
      <c r="B121" s="22">
        <f>E19</f>
        <v>17199.995999999999</v>
      </c>
      <c r="C121" s="36">
        <v>16412.5</v>
      </c>
      <c r="D121" s="22">
        <f>D3</f>
        <v>0</v>
      </c>
      <c r="E121" s="36">
        <f>D121</f>
        <v>0</v>
      </c>
      <c r="F121" s="22">
        <v>0</v>
      </c>
      <c r="G121" s="36">
        <f>F121</f>
        <v>0</v>
      </c>
      <c r="H121" s="101">
        <f>H3</f>
        <v>0</v>
      </c>
    </row>
    <row r="122" spans="1:35">
      <c r="A122" s="27" t="s">
        <v>161</v>
      </c>
      <c r="B122" s="102">
        <v>0</v>
      </c>
      <c r="C122" s="103">
        <f>B122</f>
        <v>0</v>
      </c>
      <c r="D122" s="102">
        <v>0</v>
      </c>
      <c r="E122" s="103">
        <f>D122</f>
        <v>0</v>
      </c>
      <c r="F122" s="102">
        <v>0</v>
      </c>
      <c r="G122" s="104">
        <f>F122</f>
        <v>0</v>
      </c>
      <c r="H122" s="105"/>
      <c r="K122" s="10"/>
      <c r="L122" s="10"/>
      <c r="M122" s="10"/>
      <c r="N122" s="10"/>
      <c r="O122" s="10"/>
      <c r="P122" s="10"/>
      <c r="Q122" s="10"/>
      <c r="T122" s="10"/>
      <c r="U122" s="10"/>
      <c r="V122" s="10"/>
      <c r="W122" s="10"/>
      <c r="X122" s="10"/>
      <c r="Y122" s="10"/>
      <c r="Z122" s="10"/>
      <c r="AC122" s="10"/>
      <c r="AD122" s="10"/>
      <c r="AE122" s="10"/>
      <c r="AF122" s="10"/>
      <c r="AG122" s="10"/>
      <c r="AH122" s="10"/>
      <c r="AI122" s="10"/>
    </row>
    <row r="123" spans="1:35">
      <c r="A123" s="27" t="s">
        <v>162</v>
      </c>
      <c r="B123" s="27">
        <v>0</v>
      </c>
      <c r="C123" s="36">
        <f>B123</f>
        <v>0</v>
      </c>
      <c r="D123" s="27">
        <v>0</v>
      </c>
      <c r="E123" s="36">
        <f>D123</f>
        <v>0</v>
      </c>
      <c r="F123" s="27">
        <v>0</v>
      </c>
      <c r="G123" s="36">
        <f>F123</f>
        <v>0</v>
      </c>
      <c r="H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</row>
    <row r="125" spans="1:35">
      <c r="A125" s="49" t="s">
        <v>164</v>
      </c>
      <c r="B125" s="49">
        <f t="shared" ref="B125:G125" si="0">B121-B124</f>
        <v>17199.995999999999</v>
      </c>
      <c r="C125" s="57">
        <f t="shared" si="0"/>
        <v>16412.5</v>
      </c>
      <c r="D125" s="49">
        <f t="shared" si="0"/>
        <v>0</v>
      </c>
      <c r="E125" s="57">
        <f t="shared" si="0"/>
        <v>0</v>
      </c>
      <c r="F125" s="49">
        <f t="shared" si="0"/>
        <v>0</v>
      </c>
      <c r="G125" s="57">
        <f t="shared" si="0"/>
        <v>0</v>
      </c>
      <c r="H125" s="57"/>
    </row>
    <row r="126" spans="1:35">
      <c r="A126" s="27"/>
      <c r="B126" s="28"/>
      <c r="C126" s="28"/>
      <c r="D126" s="28"/>
      <c r="E126" s="28"/>
      <c r="F126" s="28"/>
      <c r="G126" s="28"/>
      <c r="H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</row>
    <row r="129" spans="1:34">
      <c r="A129" s="27"/>
      <c r="B129" s="28"/>
      <c r="C129" s="28"/>
      <c r="D129" s="28"/>
      <c r="E129" s="28"/>
      <c r="F129" s="28"/>
      <c r="G129" s="115"/>
      <c r="H129" s="116"/>
    </row>
    <row r="130" spans="1:34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K130" s="382"/>
      <c r="L130" s="382"/>
      <c r="M130" s="382"/>
      <c r="N130" s="382"/>
      <c r="O130" s="382"/>
      <c r="P130" s="382"/>
      <c r="T130" s="382"/>
      <c r="U130" s="382"/>
      <c r="V130" s="382"/>
      <c r="W130" s="382"/>
      <c r="X130" s="382"/>
      <c r="Y130" s="382"/>
      <c r="AC130" s="382"/>
      <c r="AD130" s="382"/>
      <c r="AE130" s="382"/>
      <c r="AF130" s="382"/>
      <c r="AG130" s="382"/>
      <c r="AH130" s="382"/>
    </row>
    <row r="131" spans="1:34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K131" s="382"/>
      <c r="L131" s="382"/>
      <c r="M131" s="390"/>
      <c r="N131" s="390"/>
      <c r="O131" s="382"/>
      <c r="P131" s="382"/>
      <c r="T131" s="382"/>
      <c r="U131" s="382"/>
      <c r="V131" s="390"/>
      <c r="W131" s="390"/>
      <c r="X131" s="382"/>
      <c r="Y131" s="382"/>
      <c r="AC131" s="382"/>
      <c r="AD131" s="382"/>
      <c r="AE131" s="390"/>
      <c r="AF131" s="390"/>
      <c r="AG131" s="382"/>
      <c r="AH131" s="382"/>
    </row>
    <row r="132" spans="1:34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K132" s="382"/>
      <c r="L132" s="382"/>
      <c r="M132" s="390"/>
      <c r="N132" s="390"/>
      <c r="O132" s="382"/>
      <c r="P132" s="382"/>
      <c r="T132" s="382"/>
      <c r="U132" s="382"/>
      <c r="V132" s="390"/>
      <c r="W132" s="390"/>
      <c r="X132" s="382"/>
      <c r="Y132" s="382"/>
      <c r="AC132" s="382"/>
      <c r="AD132" s="382"/>
      <c r="AE132" s="390"/>
      <c r="AF132" s="390"/>
      <c r="AG132" s="382"/>
      <c r="AH132" s="382"/>
    </row>
    <row r="133" spans="1:34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K133" s="382"/>
      <c r="L133" s="382"/>
      <c r="M133" s="390"/>
      <c r="N133" s="390"/>
      <c r="O133" s="382"/>
      <c r="P133" s="382"/>
      <c r="T133" s="382"/>
      <c r="U133" s="382"/>
      <c r="V133" s="390"/>
      <c r="W133" s="390"/>
      <c r="X133" s="382"/>
      <c r="Y133" s="382"/>
      <c r="AC133" s="382"/>
      <c r="AD133" s="382"/>
      <c r="AE133" s="390"/>
      <c r="AF133" s="390"/>
      <c r="AG133" s="382"/>
      <c r="AH133" s="382"/>
    </row>
    <row r="134" spans="1:34">
      <c r="A134" s="27"/>
      <c r="B134" s="28"/>
      <c r="C134" s="28"/>
      <c r="D134" s="28"/>
      <c r="E134" s="28"/>
      <c r="F134" s="28"/>
      <c r="G134" s="115"/>
      <c r="H134" s="116"/>
    </row>
    <row r="135" spans="1:34" ht="21">
      <c r="A135" s="356" t="s">
        <v>172</v>
      </c>
      <c r="B135" s="356"/>
      <c r="C135" s="356"/>
      <c r="D135" s="356"/>
      <c r="E135" s="356"/>
      <c r="F135" s="356"/>
      <c r="G135" s="109">
        <f>E21</f>
        <v>14333.33</v>
      </c>
      <c r="H135" s="120">
        <f>C125+E125+G125+H128</f>
        <v>16412.5</v>
      </c>
      <c r="J135" s="382"/>
      <c r="K135" s="382"/>
      <c r="L135" s="382"/>
      <c r="M135" s="382"/>
      <c r="N135" s="382"/>
      <c r="O135" s="382"/>
      <c r="S135" s="382"/>
      <c r="T135" s="382"/>
      <c r="U135" s="382"/>
      <c r="V135" s="382"/>
      <c r="W135" s="382"/>
      <c r="X135" s="382"/>
      <c r="AB135" s="382"/>
      <c r="AC135" s="382"/>
      <c r="AD135" s="382"/>
      <c r="AE135" s="382"/>
      <c r="AF135" s="382"/>
      <c r="AG135" s="382"/>
    </row>
    <row r="136" spans="1:34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82"/>
      <c r="K136" s="382"/>
      <c r="L136" s="382"/>
      <c r="M136" s="382"/>
      <c r="N136" s="382"/>
      <c r="O136" s="382"/>
      <c r="S136" s="382"/>
      <c r="T136" s="382"/>
      <c r="U136" s="382"/>
      <c r="V136" s="382"/>
      <c r="W136" s="382"/>
      <c r="X136" s="382"/>
      <c r="AB136" s="382"/>
      <c r="AC136" s="382"/>
      <c r="AD136" s="382"/>
      <c r="AE136" s="382"/>
      <c r="AF136" s="382"/>
      <c r="AG136" s="382"/>
    </row>
    <row r="137" spans="1:34">
      <c r="A137" s="357" t="s">
        <v>174</v>
      </c>
      <c r="B137" s="357"/>
      <c r="C137" s="357"/>
      <c r="D137" s="357"/>
      <c r="E137" s="357"/>
      <c r="F137" s="357"/>
      <c r="G137" s="29">
        <f>(G135+G136)*20%</f>
        <v>2866.6660000000002</v>
      </c>
      <c r="H137" s="29">
        <f>(H135+H136)*20%</f>
        <v>3282.5</v>
      </c>
      <c r="J137" s="382"/>
      <c r="K137" s="382"/>
      <c r="L137" s="382"/>
      <c r="M137" s="382"/>
      <c r="N137" s="382"/>
      <c r="O137" s="382"/>
      <c r="S137" s="382"/>
      <c r="T137" s="382"/>
      <c r="U137" s="382"/>
      <c r="V137" s="382"/>
      <c r="W137" s="382"/>
      <c r="X137" s="382"/>
      <c r="AB137" s="382"/>
      <c r="AC137" s="382"/>
      <c r="AD137" s="382"/>
      <c r="AE137" s="382"/>
      <c r="AF137" s="382"/>
      <c r="AG137" s="382"/>
    </row>
    <row r="138" spans="1:34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82"/>
      <c r="K138" s="382"/>
      <c r="L138" s="382"/>
      <c r="M138" s="382"/>
      <c r="N138" s="382"/>
      <c r="O138" s="382"/>
      <c r="S138" s="382"/>
      <c r="T138" s="382"/>
      <c r="U138" s="382"/>
      <c r="V138" s="382"/>
      <c r="W138" s="382"/>
      <c r="X138" s="382"/>
      <c r="AB138" s="382"/>
      <c r="AC138" s="382"/>
      <c r="AD138" s="382"/>
      <c r="AE138" s="382"/>
      <c r="AF138" s="382"/>
      <c r="AG138" s="382"/>
    </row>
    <row r="139" spans="1:34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82"/>
      <c r="K139" s="382"/>
      <c r="L139" s="382"/>
      <c r="M139" s="382"/>
      <c r="N139" s="382"/>
      <c r="O139" s="382"/>
      <c r="S139" s="382"/>
      <c r="T139" s="382"/>
      <c r="U139" s="382"/>
      <c r="V139" s="382"/>
      <c r="W139" s="382"/>
      <c r="X139" s="382"/>
      <c r="AB139" s="382"/>
      <c r="AC139" s="382"/>
      <c r="AD139" s="382"/>
      <c r="AE139" s="382"/>
      <c r="AF139" s="382"/>
      <c r="AG139" s="382"/>
    </row>
    <row r="140" spans="1:34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82"/>
      <c r="K140" s="382"/>
      <c r="L140" s="382"/>
      <c r="M140" s="382"/>
      <c r="N140" s="382"/>
      <c r="O140" s="382"/>
      <c r="S140" s="382"/>
      <c r="T140" s="382"/>
      <c r="U140" s="382"/>
      <c r="V140" s="382"/>
      <c r="W140" s="382"/>
      <c r="X140" s="382"/>
      <c r="AB140" s="382"/>
      <c r="AC140" s="382"/>
      <c r="AD140" s="382"/>
      <c r="AE140" s="382"/>
      <c r="AF140" s="382"/>
      <c r="AG140" s="382"/>
    </row>
    <row r="141" spans="1:34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17199.995999999999</v>
      </c>
      <c r="H141" s="122">
        <f>(H135+H136+H139+H140+H137)-H138</f>
        <v>19695</v>
      </c>
      <c r="J141" s="382"/>
      <c r="K141" s="382"/>
      <c r="L141" s="382"/>
      <c r="M141" s="382"/>
      <c r="N141" s="382"/>
      <c r="O141" s="382"/>
      <c r="S141" s="382"/>
      <c r="T141" s="382"/>
      <c r="U141" s="382"/>
      <c r="V141" s="382"/>
      <c r="W141" s="382"/>
      <c r="X141" s="382"/>
      <c r="AB141" s="382"/>
      <c r="AC141" s="382"/>
      <c r="AD141" s="382"/>
      <c r="AE141" s="382"/>
      <c r="AF141" s="382"/>
      <c r="AG141" s="382"/>
    </row>
    <row r="142" spans="1:34">
      <c r="A142" s="357" t="s">
        <v>179</v>
      </c>
      <c r="B142" s="357"/>
      <c r="C142" s="357"/>
      <c r="D142" s="357"/>
      <c r="E142" s="357"/>
      <c r="F142" s="357"/>
      <c r="G142" s="36">
        <f>F142</f>
        <v>0</v>
      </c>
      <c r="H142" s="36">
        <f>G142</f>
        <v>0</v>
      </c>
      <c r="J142" s="382"/>
      <c r="K142" s="382"/>
      <c r="L142" s="382"/>
      <c r="M142" s="382"/>
      <c r="N142" s="382"/>
      <c r="O142" s="382"/>
      <c r="S142" s="382"/>
      <c r="T142" s="382"/>
      <c r="U142" s="382"/>
      <c r="V142" s="382"/>
      <c r="W142" s="382"/>
      <c r="X142" s="382"/>
      <c r="AB142" s="382"/>
      <c r="AC142" s="382"/>
      <c r="AD142" s="382"/>
      <c r="AE142" s="382"/>
      <c r="AF142" s="382"/>
      <c r="AG142" s="382"/>
    </row>
    <row r="143" spans="1:34">
      <c r="A143" s="358" t="s">
        <v>180</v>
      </c>
      <c r="B143" s="358"/>
      <c r="C143" s="358"/>
      <c r="D143" s="358"/>
      <c r="E143" s="358"/>
      <c r="F143" s="358"/>
      <c r="G143" s="29"/>
      <c r="H143" s="29"/>
      <c r="J143" s="382"/>
      <c r="K143" s="382"/>
      <c r="L143" s="382"/>
      <c r="M143" s="382"/>
      <c r="N143" s="382"/>
      <c r="O143" s="382"/>
      <c r="S143" s="382"/>
      <c r="T143" s="382"/>
      <c r="U143" s="382"/>
      <c r="V143" s="382"/>
      <c r="W143" s="382"/>
      <c r="X143" s="382"/>
      <c r="AB143" s="382"/>
      <c r="AC143" s="382"/>
      <c r="AD143" s="382"/>
      <c r="AE143" s="382"/>
      <c r="AF143" s="382"/>
      <c r="AG143" s="382"/>
    </row>
    <row r="144" spans="1:34">
      <c r="A144" s="124" t="s">
        <v>26</v>
      </c>
      <c r="B144" s="360">
        <v>0</v>
      </c>
      <c r="C144" s="360"/>
      <c r="D144" s="360"/>
      <c r="E144" s="360"/>
      <c r="F144" s="360"/>
      <c r="G144" s="36">
        <v>0</v>
      </c>
      <c r="H144" s="36">
        <v>0</v>
      </c>
      <c r="K144" s="382"/>
      <c r="L144" s="382"/>
      <c r="M144" s="382"/>
      <c r="N144" s="382"/>
      <c r="O144" s="382"/>
      <c r="T144" s="382"/>
      <c r="U144" s="382"/>
      <c r="V144" s="382"/>
      <c r="W144" s="382"/>
      <c r="X144" s="382"/>
      <c r="AC144" s="382"/>
      <c r="AD144" s="382"/>
      <c r="AE144" s="382"/>
      <c r="AF144" s="382"/>
      <c r="AG144" s="382"/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36">
        <v>0</v>
      </c>
      <c r="H145" s="36">
        <v>0</v>
      </c>
      <c r="I145" s="4">
        <f>(G142+G145+G146+G144)</f>
        <v>0</v>
      </c>
      <c r="K145" s="382"/>
      <c r="L145" s="382"/>
      <c r="M145" s="382"/>
      <c r="N145" s="382"/>
      <c r="O145" s="382"/>
      <c r="T145" s="382"/>
      <c r="U145" s="382"/>
      <c r="V145" s="382"/>
      <c r="W145" s="382"/>
      <c r="X145" s="382"/>
      <c r="AC145" s="382"/>
      <c r="AD145" s="382"/>
      <c r="AE145" s="382"/>
      <c r="AF145" s="382"/>
      <c r="AG145" s="382"/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36">
        <v>0</v>
      </c>
      <c r="H146" s="36">
        <v>0</v>
      </c>
      <c r="I146" s="4">
        <f>(H142+H144+H145+H146)</f>
        <v>0</v>
      </c>
      <c r="K146" s="382"/>
      <c r="L146" s="382"/>
      <c r="M146" s="382"/>
      <c r="N146" s="382"/>
      <c r="O146" s="382"/>
      <c r="T146" s="382"/>
      <c r="U146" s="382"/>
      <c r="V146" s="382"/>
      <c r="W146" s="382"/>
      <c r="X146" s="382"/>
      <c r="AC146" s="382"/>
      <c r="AD146" s="382"/>
      <c r="AE146" s="382"/>
      <c r="AF146" s="382"/>
      <c r="AG146" s="382"/>
    </row>
    <row r="147" spans="1:35" ht="21">
      <c r="A147" s="357" t="s">
        <v>182</v>
      </c>
      <c r="B147" s="357"/>
      <c r="C147" s="357"/>
      <c r="D147" s="357"/>
      <c r="E147" s="357"/>
      <c r="F147" s="357"/>
      <c r="G147" s="126">
        <f>G141-((G144*1.2)+(G145*1.2)+(G146*1.2)+(G142*1.2))</f>
        <v>17199.995999999999</v>
      </c>
      <c r="H147" s="126">
        <f>H141-((H144*1.2)+(H145*1.2)+(H146*1.2)+(H142*1.2))</f>
        <v>19695</v>
      </c>
      <c r="J147" s="382"/>
      <c r="K147" s="382"/>
      <c r="L147" s="382"/>
      <c r="M147" s="382"/>
      <c r="N147" s="382"/>
      <c r="O147" s="382"/>
      <c r="S147" s="382"/>
      <c r="T147" s="382"/>
      <c r="U147" s="382"/>
      <c r="V147" s="382"/>
      <c r="W147" s="382"/>
      <c r="X147" s="382"/>
      <c r="AB147" s="382"/>
      <c r="AC147" s="382"/>
      <c r="AD147" s="382"/>
      <c r="AE147" s="382"/>
      <c r="AF147" s="382"/>
      <c r="AG147" s="382"/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2079.170000000001</v>
      </c>
      <c r="I148" s="4">
        <f>(H148-G81)/1.2</f>
        <v>-11767.358333333332</v>
      </c>
      <c r="J148" s="382"/>
      <c r="K148" s="382"/>
      <c r="L148" s="382"/>
      <c r="M148" s="382"/>
      <c r="N148" s="382"/>
      <c r="O148" s="382"/>
      <c r="S148" s="382"/>
      <c r="T148" s="382"/>
      <c r="U148" s="382"/>
      <c r="V148" s="382"/>
      <c r="W148" s="382"/>
      <c r="X148" s="382"/>
      <c r="AB148" s="382"/>
      <c r="AC148" s="382"/>
      <c r="AD148" s="382"/>
      <c r="AE148" s="382"/>
      <c r="AF148" s="382"/>
      <c r="AG148" s="382"/>
    </row>
    <row r="149" spans="1:35">
      <c r="A149" s="27"/>
      <c r="B149" s="28"/>
      <c r="C149" s="28"/>
      <c r="D149" s="28"/>
      <c r="E149" s="21"/>
      <c r="F149" s="21"/>
      <c r="G149" s="21"/>
      <c r="H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82"/>
      <c r="K150" s="382"/>
      <c r="L150" s="382"/>
      <c r="M150" s="382"/>
      <c r="N150" s="382"/>
      <c r="O150" s="382"/>
      <c r="P150" s="382"/>
      <c r="Q150" s="382"/>
      <c r="S150" s="382"/>
      <c r="T150" s="382"/>
      <c r="U150" s="382"/>
      <c r="V150" s="382"/>
      <c r="W150" s="382"/>
      <c r="X150" s="382"/>
      <c r="Y150" s="382"/>
      <c r="Z150" s="382"/>
      <c r="AB150" s="382"/>
      <c r="AC150" s="382"/>
      <c r="AD150" s="382"/>
      <c r="AE150" s="382"/>
      <c r="AF150" s="382"/>
      <c r="AG150" s="382"/>
      <c r="AH150" s="382"/>
      <c r="AI150" s="382"/>
    </row>
    <row r="151" spans="1:35">
      <c r="A151" s="27"/>
      <c r="B151" s="28"/>
      <c r="C151" s="28"/>
      <c r="D151" s="28"/>
      <c r="E151" s="21"/>
      <c r="F151" s="21"/>
      <c r="G151" s="21"/>
      <c r="H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N152" s="382"/>
      <c r="O152" s="382"/>
      <c r="P152" s="382"/>
      <c r="Q152" s="382"/>
      <c r="W152" s="382"/>
      <c r="X152" s="382"/>
      <c r="Y152" s="382"/>
      <c r="Z152" s="382"/>
      <c r="AF152" s="382"/>
      <c r="AG152" s="382"/>
      <c r="AH152" s="382"/>
      <c r="AI152" s="382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N153" s="382"/>
      <c r="O153" s="382"/>
      <c r="P153" s="382"/>
      <c r="Q153" s="382"/>
      <c r="W153" s="382"/>
      <c r="X153" s="382"/>
      <c r="Y153" s="382"/>
      <c r="Z153" s="382"/>
      <c r="AF153" s="382"/>
      <c r="AG153" s="382"/>
      <c r="AH153" s="382"/>
      <c r="AI153" s="382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N154" s="382"/>
      <c r="O154" s="382"/>
      <c r="P154" s="382"/>
      <c r="Q154" s="382"/>
      <c r="W154" s="382"/>
      <c r="X154" s="382"/>
      <c r="Y154" s="382"/>
      <c r="Z154" s="382"/>
      <c r="AF154" s="382"/>
      <c r="AG154" s="382"/>
      <c r="AH154" s="382"/>
      <c r="AI154" s="382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N155" s="382"/>
      <c r="O155" s="382"/>
      <c r="W155" s="382"/>
      <c r="X155" s="382"/>
      <c r="AF155" s="382"/>
      <c r="AG155" s="382"/>
    </row>
    <row r="156" spans="1:35">
      <c r="A156" s="27" t="s">
        <v>189</v>
      </c>
      <c r="B156" s="28"/>
      <c r="C156" s="28"/>
      <c r="D156" s="21"/>
      <c r="E156" s="28"/>
      <c r="F156" s="21"/>
      <c r="G156" s="21"/>
      <c r="H156" s="36">
        <v>1150</v>
      </c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0</v>
      </c>
      <c r="H157" s="365"/>
      <c r="P157" s="382"/>
      <c r="Q157" s="382"/>
      <c r="Y157" s="382"/>
      <c r="Z157" s="382"/>
      <c r="AH157" s="382"/>
      <c r="AI157" s="382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20845</v>
      </c>
      <c r="H158" s="366"/>
      <c r="P158" s="382"/>
      <c r="Q158" s="382"/>
      <c r="Y158" s="382"/>
      <c r="Z158" s="382"/>
      <c r="AH158" s="382"/>
      <c r="AI158" s="382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833.33333333333337</v>
      </c>
      <c r="H159" s="367"/>
      <c r="P159" s="382"/>
      <c r="Q159" s="382"/>
      <c r="Y159" s="382"/>
      <c r="Z159" s="382"/>
      <c r="AH159" s="382"/>
      <c r="AI159" s="382"/>
    </row>
    <row r="160" spans="1:35">
      <c r="A160" s="27"/>
      <c r="B160" s="28"/>
      <c r="C160" s="28"/>
      <c r="D160" s="28"/>
      <c r="E160" s="21"/>
      <c r="F160" s="21"/>
      <c r="G160" s="21"/>
      <c r="H160" s="29"/>
    </row>
    <row r="161" spans="1:35">
      <c r="A161" s="27"/>
      <c r="B161" s="28"/>
      <c r="C161" s="28"/>
      <c r="D161" s="28"/>
      <c r="E161" s="21">
        <v>0</v>
      </c>
      <c r="F161" s="21"/>
      <c r="G161" s="21">
        <v>0</v>
      </c>
      <c r="H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>
        <v>0</v>
      </c>
      <c r="H162" s="335"/>
      <c r="J162" s="382"/>
      <c r="K162" s="382"/>
      <c r="L162" s="382"/>
      <c r="M162" s="382"/>
      <c r="N162" s="382"/>
      <c r="O162" s="382"/>
      <c r="P162" s="382"/>
      <c r="Q162" s="382"/>
      <c r="S162" s="382"/>
      <c r="T162" s="382"/>
      <c r="U162" s="382"/>
      <c r="V162" s="382"/>
      <c r="W162" s="382"/>
      <c r="X162" s="382"/>
      <c r="Y162" s="382"/>
      <c r="Z162" s="382"/>
      <c r="AB162" s="382"/>
      <c r="AC162" s="382"/>
      <c r="AD162" s="382"/>
      <c r="AE162" s="382"/>
      <c r="AF162" s="382"/>
      <c r="AG162" s="382"/>
      <c r="AH162" s="382"/>
      <c r="AI162" s="382"/>
    </row>
    <row r="163" spans="1:35">
      <c r="A163" s="27"/>
      <c r="B163" s="28"/>
      <c r="C163" s="28"/>
      <c r="D163" s="28"/>
      <c r="E163" s="21"/>
      <c r="F163" s="21"/>
      <c r="G163" s="21"/>
      <c r="H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K164" s="382"/>
      <c r="L164" s="382"/>
      <c r="T164" s="382"/>
      <c r="U164" s="382"/>
      <c r="AC164" s="382"/>
      <c r="AD164" s="382"/>
    </row>
    <row r="165" spans="1:35">
      <c r="A165" s="27"/>
      <c r="B165" s="28"/>
      <c r="C165" s="28"/>
      <c r="D165" s="28"/>
      <c r="E165" s="21"/>
      <c r="F165" s="21"/>
      <c r="G165" s="21"/>
      <c r="H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</row>
    <row r="167" spans="1:35">
      <c r="A167" s="132">
        <f>B95</f>
        <v>952.14050266618403</v>
      </c>
      <c r="B167" s="133" t="str">
        <f>B94</f>
        <v>0</v>
      </c>
      <c r="C167" s="131"/>
      <c r="D167" s="131"/>
      <c r="E167" s="133">
        <f>B96</f>
        <v>952.14050266618403</v>
      </c>
      <c r="F167" s="21"/>
      <c r="G167" s="21">
        <f>ROUND(G95,2)</f>
        <v>887.44</v>
      </c>
      <c r="H167" s="29"/>
    </row>
    <row r="168" spans="1:35">
      <c r="A168" s="27"/>
      <c r="B168" s="28"/>
      <c r="C168" s="28"/>
      <c r="D168" s="28"/>
      <c r="E168" s="21"/>
      <c r="F168" s="21"/>
      <c r="G168" s="21"/>
      <c r="H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</row>
    <row r="170" spans="1:35">
      <c r="A170" s="134" t="str">
        <f>H29</f>
        <v>12</v>
      </c>
      <c r="B170" s="135" t="str">
        <f>H30</f>
        <v>5000</v>
      </c>
      <c r="C170" s="136"/>
      <c r="D170" s="21"/>
      <c r="E170" s="137">
        <v>7200</v>
      </c>
      <c r="F170" s="21"/>
      <c r="G170" s="21"/>
      <c r="H170" s="29"/>
    </row>
    <row r="171" spans="1:35">
      <c r="A171" s="27"/>
      <c r="B171" s="28"/>
      <c r="C171" s="28"/>
      <c r="D171" s="21"/>
      <c r="E171" s="28"/>
      <c r="F171" s="21"/>
      <c r="G171" s="21"/>
      <c r="H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</row>
    <row r="173" spans="1:35">
      <c r="A173" s="138">
        <f>H141-H137-H139-H140</f>
        <v>16412.5</v>
      </c>
      <c r="B173" s="34">
        <f>H137</f>
        <v>3282.5</v>
      </c>
      <c r="C173" s="38"/>
      <c r="D173" s="21"/>
      <c r="E173" s="137">
        <f>H139+H140</f>
        <v>0</v>
      </c>
      <c r="F173" s="21"/>
      <c r="G173" s="21"/>
      <c r="H173" s="29"/>
    </row>
    <row r="174" spans="1:35">
      <c r="A174" s="27"/>
      <c r="B174" s="28"/>
      <c r="C174" s="28"/>
      <c r="D174" s="21"/>
      <c r="E174" s="28"/>
      <c r="F174" s="21"/>
      <c r="G174" s="21"/>
      <c r="H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</row>
    <row r="176" spans="1:35">
      <c r="A176" s="138">
        <f>H141</f>
        <v>19695</v>
      </c>
      <c r="B176" s="34">
        <f>B111</f>
        <v>0</v>
      </c>
      <c r="C176" s="34"/>
      <c r="D176" s="21"/>
      <c r="E176" s="34">
        <f>E111</f>
        <v>0</v>
      </c>
      <c r="F176" s="21"/>
      <c r="G176" s="21"/>
      <c r="H176" s="90"/>
    </row>
    <row r="177" spans="1:8">
      <c r="A177" s="27"/>
      <c r="B177" s="28"/>
      <c r="C177" s="28"/>
      <c r="D177" s="21"/>
      <c r="E177" s="28"/>
      <c r="F177" s="21"/>
      <c r="G177" s="21"/>
      <c r="H177" s="29"/>
    </row>
    <row r="178" spans="1:8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</row>
    <row r="179" spans="1:8">
      <c r="A179" s="94">
        <f>B176+E176</f>
        <v>0</v>
      </c>
      <c r="B179" s="34">
        <f>G154</f>
        <v>0</v>
      </c>
      <c r="C179" s="34"/>
      <c r="D179" s="21"/>
      <c r="E179" s="34">
        <f>G158</f>
        <v>20845</v>
      </c>
      <c r="F179" s="21"/>
      <c r="G179" s="21"/>
      <c r="H179" s="90"/>
    </row>
    <row r="180" spans="1:8">
      <c r="A180" s="27"/>
      <c r="B180" s="28"/>
      <c r="C180" s="28"/>
      <c r="D180" s="21"/>
      <c r="E180" s="28"/>
      <c r="F180" s="21"/>
      <c r="G180" s="21"/>
      <c r="H180" s="29"/>
    </row>
    <row r="181" spans="1:8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</row>
    <row r="182" spans="1:8">
      <c r="A182" s="94">
        <f>(A167*B59)+E185-E179-A185</f>
        <v>-3171.4544706719753</v>
      </c>
      <c r="B182" s="34">
        <f>B114</f>
        <v>833.33333333333337</v>
      </c>
      <c r="C182" s="34"/>
      <c r="D182" s="21"/>
      <c r="E182" s="34">
        <f>E179+A182+(B182*1.2)+A185</f>
        <v>18683.545529328025</v>
      </c>
      <c r="F182" s="21"/>
      <c r="G182" s="21"/>
      <c r="H182" s="90"/>
    </row>
    <row r="183" spans="1:8">
      <c r="A183" s="27"/>
      <c r="B183" s="28"/>
      <c r="C183" s="28"/>
      <c r="D183" s="21"/>
      <c r="E183" s="28"/>
      <c r="F183" s="21"/>
      <c r="G183" s="21"/>
      <c r="H183" s="29"/>
    </row>
    <row r="184" spans="1:8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</row>
    <row r="185" spans="1:8">
      <c r="A185" s="94">
        <f>B60</f>
        <v>10</v>
      </c>
      <c r="B185" s="34">
        <f>A179+B182*1.2</f>
        <v>1000</v>
      </c>
      <c r="C185" s="34"/>
      <c r="D185" s="21"/>
      <c r="E185" s="34">
        <f>IF( E170=0, A185+E167, E170+A185)</f>
        <v>7210</v>
      </c>
      <c r="F185" s="21"/>
      <c r="G185" s="21"/>
      <c r="H185" s="90"/>
    </row>
    <row r="186" spans="1:8">
      <c r="A186" s="27"/>
      <c r="B186" s="28"/>
      <c r="C186" s="28"/>
      <c r="D186" s="28"/>
      <c r="E186" s="21"/>
      <c r="F186" s="21"/>
      <c r="G186" s="21"/>
      <c r="H186" s="29"/>
    </row>
    <row r="187" spans="1:8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</row>
    <row r="188" spans="1:8">
      <c r="A188" s="94">
        <f>J18*0.000002*100</f>
        <v>8.1052</v>
      </c>
      <c r="B188" s="34">
        <f>(G158*B67)</f>
        <v>416.90000000000003</v>
      </c>
      <c r="C188" s="28"/>
      <c r="D188" s="28"/>
      <c r="E188" s="34">
        <f>IF(E105="YES",(H36*A108)*0.1,0)</f>
        <v>0</v>
      </c>
      <c r="F188" s="21"/>
      <c r="G188" s="21"/>
      <c r="H188" s="29"/>
    </row>
    <row r="189" spans="1:8">
      <c r="A189" s="94"/>
      <c r="B189" s="34"/>
      <c r="C189" s="28"/>
      <c r="D189" s="28"/>
      <c r="E189" s="21"/>
      <c r="F189" s="21"/>
      <c r="G189" s="21"/>
      <c r="H189" s="29"/>
    </row>
    <row r="190" spans="1:8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</row>
    <row r="191" spans="1:8">
      <c r="A191" s="94">
        <v>10</v>
      </c>
      <c r="B191" s="34">
        <f>B188+E188+A191</f>
        <v>426.90000000000003</v>
      </c>
      <c r="C191" s="28"/>
      <c r="D191" s="28"/>
      <c r="E191" s="34">
        <f>H148</f>
        <v>2079.170000000001</v>
      </c>
      <c r="F191" s="21"/>
      <c r="G191" s="21"/>
      <c r="H191" s="29"/>
    </row>
    <row r="192" spans="1:8">
      <c r="A192" s="27"/>
      <c r="B192" s="28"/>
      <c r="C192" s="28"/>
      <c r="D192" s="28"/>
      <c r="E192" s="21"/>
      <c r="F192" s="21"/>
      <c r="G192" s="21"/>
      <c r="H192" s="29"/>
    </row>
    <row r="193" spans="1:31">
      <c r="A193" s="58" t="s">
        <v>214</v>
      </c>
      <c r="B193" s="28"/>
      <c r="C193" s="28"/>
      <c r="D193" s="59"/>
      <c r="E193" s="59"/>
      <c r="F193" s="59"/>
      <c r="G193" s="59"/>
      <c r="H193" s="60"/>
    </row>
    <row r="194" spans="1:31">
      <c r="A194" s="27"/>
      <c r="B194" s="61"/>
      <c r="C194" s="61"/>
      <c r="D194" s="28"/>
      <c r="E194" s="21"/>
      <c r="F194" s="21"/>
      <c r="G194" s="21"/>
      <c r="H194" s="29"/>
    </row>
    <row r="195" spans="1:31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82"/>
      <c r="K195" s="382"/>
      <c r="L195" s="382"/>
      <c r="M195" s="382"/>
      <c r="S195" s="382"/>
      <c r="T195" s="382"/>
      <c r="U195" s="382"/>
      <c r="V195" s="382"/>
      <c r="AB195" s="382"/>
      <c r="AC195" s="382"/>
      <c r="AD195" s="382"/>
      <c r="AE195" s="382"/>
    </row>
    <row r="196" spans="1:31" ht="19.5" customHeight="1">
      <c r="A196" s="369"/>
      <c r="B196" s="342" t="str">
        <f>H30</f>
        <v>5000</v>
      </c>
      <c r="C196" s="342"/>
      <c r="D196" s="342"/>
      <c r="E196" s="21"/>
      <c r="F196" s="21"/>
      <c r="G196" s="21"/>
      <c r="H196" s="29"/>
      <c r="J196" s="382"/>
      <c r="K196" s="382"/>
      <c r="L196" s="382"/>
      <c r="M196" s="382"/>
      <c r="S196" s="382"/>
      <c r="T196" s="382"/>
      <c r="U196" s="382"/>
      <c r="V196" s="382"/>
      <c r="AB196" s="382"/>
      <c r="AC196" s="382"/>
      <c r="AD196" s="382"/>
      <c r="AE196" s="382"/>
    </row>
    <row r="197" spans="1:31">
      <c r="A197" s="62" t="str">
        <f>H29</f>
        <v>12</v>
      </c>
      <c r="B197" s="343">
        <f>B96</f>
        <v>952.14050266618403</v>
      </c>
      <c r="C197" s="343"/>
      <c r="D197" s="343"/>
      <c r="E197" s="21"/>
      <c r="F197" s="21"/>
      <c r="G197" s="21"/>
      <c r="H197" s="29"/>
      <c r="K197" s="382"/>
      <c r="L197" s="382"/>
      <c r="M197" s="382"/>
      <c r="T197" s="382"/>
      <c r="U197" s="382"/>
      <c r="V197" s="382"/>
      <c r="AC197" s="382"/>
      <c r="AD197" s="382"/>
      <c r="AE197" s="382"/>
    </row>
    <row r="198" spans="1:31">
      <c r="A198" s="27"/>
      <c r="B198" s="28"/>
      <c r="C198" s="28"/>
      <c r="D198" s="28"/>
      <c r="E198" s="21"/>
      <c r="F198" s="21"/>
      <c r="G198" s="21"/>
      <c r="H198" s="29"/>
    </row>
    <row r="199" spans="1:31">
      <c r="A199" s="27"/>
      <c r="B199" s="28"/>
      <c r="C199" s="28"/>
      <c r="D199" s="28"/>
      <c r="E199" s="21"/>
      <c r="F199" s="21"/>
      <c r="G199" s="21"/>
      <c r="H199" s="29"/>
    </row>
    <row r="200" spans="1:31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</row>
    <row r="201" spans="1:31">
      <c r="A201" s="32">
        <f>IF(A40=0,((G167*(B59+1))-E179),((G167*B59)+E185-E179-A185))</f>
        <v>-3883.16</v>
      </c>
      <c r="B201" s="38">
        <f>E179+A201+(B182*1.2)+A185</f>
        <v>17971.84</v>
      </c>
      <c r="C201" s="28"/>
      <c r="D201" s="28"/>
      <c r="E201" s="21"/>
      <c r="F201" s="21"/>
      <c r="G201" s="21"/>
      <c r="H201" s="29"/>
    </row>
    <row r="202" spans="1:31">
      <c r="A202" s="49"/>
      <c r="B202" s="50"/>
      <c r="C202" s="50"/>
      <c r="D202" s="50"/>
      <c r="E202" s="50"/>
      <c r="F202" s="50"/>
      <c r="G202" s="50"/>
      <c r="H202" s="57"/>
    </row>
    <row r="206" spans="1:31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1">
      <c r="A207" s="27"/>
      <c r="B207" s="28"/>
      <c r="C207" s="28"/>
      <c r="D207" s="28"/>
      <c r="E207" s="21"/>
      <c r="F207" s="21"/>
      <c r="G207" s="21"/>
      <c r="H207" s="29"/>
    </row>
    <row r="208" spans="1:31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42" t="s">
        <v>217</v>
      </c>
      <c r="B209" s="131" t="str">
        <f>A197</f>
        <v>12</v>
      </c>
      <c r="C209" s="131"/>
      <c r="D209" s="131"/>
      <c r="E209" s="131" t="str">
        <f>B196</f>
        <v>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952.14050266618403</v>
      </c>
      <c r="B212" s="133" t="str">
        <f>B167</f>
        <v>0</v>
      </c>
      <c r="C212" s="131"/>
      <c r="D212" s="131"/>
      <c r="E212" s="133">
        <f>E167</f>
        <v>952.14050266618403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16412.5</v>
      </c>
      <c r="B215" s="34">
        <f>B173</f>
        <v>3282.5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19695</v>
      </c>
      <c r="B218" s="34">
        <f>B176</f>
        <v>0</v>
      </c>
      <c r="C218" s="34"/>
      <c r="D218" s="21"/>
      <c r="E218" s="34">
        <f>E176</f>
        <v>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0</v>
      </c>
      <c r="B221" s="34">
        <f>B179</f>
        <v>0</v>
      </c>
      <c r="C221" s="34"/>
      <c r="D221" s="21"/>
      <c r="E221" s="34">
        <f>E179</f>
        <v>20845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-3171.4544706719753</v>
      </c>
      <c r="B224" s="34">
        <f>B182</f>
        <v>833.33333333333337</v>
      </c>
      <c r="C224" s="34"/>
      <c r="D224" s="21"/>
      <c r="E224" s="34">
        <f>E182</f>
        <v>18683.545529328025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1000</v>
      </c>
      <c r="C227" s="34"/>
      <c r="D227" s="21"/>
      <c r="E227" s="34">
        <f>B59</f>
        <v>11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952.14050266618403</v>
      </c>
      <c r="B230" s="34" t="str">
        <f>B167</f>
        <v>0</v>
      </c>
      <c r="C230" s="38"/>
      <c r="D230" s="38"/>
      <c r="E230" s="34">
        <f>E167</f>
        <v>952.14050266618403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219</v>
      </c>
      <c r="B232" s="28" t="s">
        <v>220</v>
      </c>
      <c r="C232" s="28"/>
      <c r="D232" s="28"/>
      <c r="E232" s="28" t="s">
        <v>80</v>
      </c>
      <c r="F232" s="21"/>
      <c r="G232" s="21"/>
      <c r="H232" s="29"/>
    </row>
    <row r="233" spans="1:8">
      <c r="A233" s="94">
        <f>E170</f>
        <v>7200</v>
      </c>
      <c r="B233" s="34">
        <f>E185</f>
        <v>7210</v>
      </c>
      <c r="C233" s="28"/>
      <c r="D233" s="28"/>
      <c r="E233" s="34">
        <f>J18*0.000006*100</f>
        <v>24.3156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221</v>
      </c>
      <c r="B235" s="35" t="s">
        <v>85</v>
      </c>
      <c r="C235" s="28"/>
      <c r="D235" s="28"/>
      <c r="E235" s="35" t="s">
        <v>142</v>
      </c>
      <c r="F235" s="21"/>
      <c r="G235" s="21"/>
      <c r="H235" s="29"/>
    </row>
    <row r="236" spans="1:8">
      <c r="A236" s="94">
        <f>A188</f>
        <v>8.1052</v>
      </c>
      <c r="B236" s="34">
        <f>E233+A236</f>
        <v>32.4208</v>
      </c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2079.170000000001</v>
      </c>
      <c r="B240" s="34">
        <f>B188</f>
        <v>416.90000000000003</v>
      </c>
      <c r="C240" s="28"/>
      <c r="D240" s="28"/>
      <c r="E240" s="34">
        <f>IF(E105="YES",(H36*A108)*0.1,0)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1356.0700000000011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B63</f>
        <v>6.5000000000000002E-2</v>
      </c>
      <c r="C253" s="144"/>
      <c r="D253" s="374" t="s">
        <v>226</v>
      </c>
      <c r="E253" s="374"/>
      <c r="F253" s="143">
        <f>B83</f>
        <v>0.1255</v>
      </c>
      <c r="G253" s="21"/>
      <c r="H253" s="29"/>
    </row>
    <row r="254" spans="1:8">
      <c r="A254" s="139" t="s">
        <v>227</v>
      </c>
      <c r="B254" s="146">
        <f>(E182-B182)-(B201-B182-A185)</f>
        <v>721.70552932802457</v>
      </c>
      <c r="C254" s="144"/>
      <c r="D254" s="374" t="s">
        <v>228</v>
      </c>
      <c r="E254" s="374"/>
      <c r="F254" s="146">
        <f>F261+F267+F269+B270+B271</f>
        <v>416.90000000000003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314.80552932802453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0.1255</v>
      </c>
      <c r="C260" s="38"/>
      <c r="D260" s="363" t="s">
        <v>227</v>
      </c>
      <c r="E260" s="363"/>
      <c r="F260" s="115">
        <f>(B89*B59)-(C89*B59)</f>
        <v>0</v>
      </c>
      <c r="G260" s="21"/>
      <c r="H260" s="29"/>
    </row>
    <row r="261" spans="1:8">
      <c r="A261" s="27" t="s">
        <v>233</v>
      </c>
      <c r="B261" s="155">
        <f>B67</f>
        <v>0.02</v>
      </c>
      <c r="C261" s="28"/>
      <c r="D261" s="363" t="s">
        <v>233</v>
      </c>
      <c r="E261" s="363"/>
      <c r="F261" s="119">
        <f>B68</f>
        <v>416.90000000000003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314.80552932802453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71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A100:H100"/>
    <mergeCell ref="J100:Q100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G42:H42"/>
    <mergeCell ref="B44:C44"/>
    <mergeCell ref="D44:E44"/>
    <mergeCell ref="B47:C47"/>
    <mergeCell ref="D47:E47"/>
    <mergeCell ref="A51:A52"/>
    <mergeCell ref="B51:C51"/>
    <mergeCell ref="B52:C52"/>
    <mergeCell ref="B53:C53"/>
    <mergeCell ref="B30:C30"/>
    <mergeCell ref="B32:C32"/>
    <mergeCell ref="D32:E32"/>
    <mergeCell ref="B35:C35"/>
    <mergeCell ref="D35:E35"/>
    <mergeCell ref="B38:C38"/>
    <mergeCell ref="D38:E38"/>
    <mergeCell ref="J38:K38"/>
    <mergeCell ref="B41:C41"/>
    <mergeCell ref="D41:E41"/>
    <mergeCell ref="A1:F1"/>
    <mergeCell ref="D7:E18"/>
    <mergeCell ref="A16:C18"/>
    <mergeCell ref="A19:D19"/>
    <mergeCell ref="A21:D21"/>
    <mergeCell ref="A24:E24"/>
    <mergeCell ref="A26:E26"/>
    <mergeCell ref="B29:C29"/>
    <mergeCell ref="D29:E29"/>
  </mergeCells>
  <dataValidations count="4">
    <dataValidation type="list" allowBlank="1" showErrorMessage="1" sqref="B38" xr:uid="{00000000-0002-0000-0500-000001000000}">
      <formula1>$Z$19:$Z$20</formula1>
      <formula2>0</formula2>
    </dataValidation>
    <dataValidation type="list" allowBlank="1" showInputMessage="1" showErrorMessage="1" sqref="B105 C108:D108 A144:A146" xr:uid="{00000000-0002-0000-0500-000002000000}">
      <formula1>#REF!</formula1>
      <formula2>0</formula2>
    </dataValidation>
    <dataValidation type="list" allowBlank="1" showInputMessage="1" showErrorMessage="1" sqref="E105 A111" xr:uid="{00000000-0002-0000-0500-000003000000}">
      <formula1>"YES,NO"</formula1>
      <formula2>0</formula2>
    </dataValidation>
    <dataValidation type="list" allowBlank="1" showInputMessage="1" showErrorMessage="1" sqref="B108" xr:uid="{00000000-0002-0000-0500-000004000000}">
      <formula1>"A1 Credit,Limited Credit"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5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P272"/>
  <sheetViews>
    <sheetView topLeftCell="A244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6" customWidth="true" style="4" width="18.875"/>
    <col min="7" max="7" customWidth="true" style="4" width="23.125"/>
    <col min="8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30" t="s">
        <v>14</v>
      </c>
      <c r="B1" s="330"/>
      <c r="C1" s="330"/>
      <c r="D1" s="330"/>
      <c r="E1" s="330"/>
      <c r="F1" s="330"/>
      <c r="J1" s="5"/>
    </row>
    <row r="2" spans="1:25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J2" s="5"/>
    </row>
    <row r="3" spans="1:25">
      <c r="A3" s="9"/>
      <c r="B3" s="9"/>
      <c r="C3" s="9"/>
      <c r="D3" s="9"/>
      <c r="E3" s="9"/>
      <c r="F3" s="6" t="s">
        <v>10</v>
      </c>
      <c r="J3" s="5"/>
    </row>
    <row r="4" spans="1:25">
      <c r="A4" s="6" t="s">
        <v>18</v>
      </c>
      <c r="B4" s="7">
        <f>B15+C15</f>
        <v>17199.995999999999</v>
      </c>
      <c r="C4" s="9"/>
      <c r="D4" s="9"/>
      <c r="E4" s="9"/>
      <c r="F4" s="6" t="s">
        <v>10</v>
      </c>
      <c r="H4" s="10"/>
      <c r="J4" s="5"/>
    </row>
    <row r="5" spans="1:25">
      <c r="A5" s="11"/>
      <c r="B5" s="11"/>
      <c r="C5" s="11"/>
      <c r="D5" s="11"/>
      <c r="E5" s="11"/>
      <c r="F5" s="11" t="s">
        <v>10</v>
      </c>
      <c r="J5" s="5"/>
    </row>
    <row r="6" spans="1:25">
      <c r="A6" s="11"/>
      <c r="B6" s="11"/>
      <c r="C6" s="11"/>
      <c r="D6" s="11"/>
      <c r="E6" s="11"/>
      <c r="F6" s="11"/>
      <c r="J6" s="5"/>
    </row>
    <row r="7" spans="1:25">
      <c r="A7" s="12" t="s">
        <v>19</v>
      </c>
      <c r="B7" s="12" t="s">
        <v>20</v>
      </c>
      <c r="C7" s="12" t="s">
        <v>16</v>
      </c>
      <c r="D7" s="331"/>
      <c r="E7" s="331"/>
      <c r="F7" s="11"/>
      <c r="J7" s="5"/>
    </row>
    <row r="8" spans="1:25">
      <c r="A8" s="13"/>
      <c r="B8" s="11"/>
      <c r="C8" s="11"/>
      <c r="D8" s="331"/>
      <c r="E8" s="331"/>
      <c r="F8" s="11"/>
      <c r="J8" s="5"/>
      <c r="L8" s="14" t="s">
        <v>17</v>
      </c>
      <c r="M8" s="11">
        <f>H13+H14</f>
        <v>0</v>
      </c>
    </row>
    <row r="9" spans="1:25">
      <c r="A9" s="12" t="s">
        <v>21</v>
      </c>
      <c r="B9" s="15">
        <v>14333.33</v>
      </c>
      <c r="C9" s="11">
        <f>B9*0.2</f>
        <v>2866.6660000000002</v>
      </c>
      <c r="D9" s="331"/>
      <c r="E9" s="331"/>
      <c r="F9" s="11"/>
      <c r="J9" s="5"/>
      <c r="L9" s="11"/>
      <c r="M9" s="11"/>
    </row>
    <row r="10" spans="1:25">
      <c r="A10" s="12"/>
      <c r="B10" s="11"/>
      <c r="C10" s="11"/>
      <c r="D10" s="331"/>
      <c r="E10" s="331"/>
      <c r="F10" s="11"/>
      <c r="J10" s="5"/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31"/>
      <c r="E11" s="331"/>
      <c r="F11" s="11"/>
      <c r="J11" s="5"/>
      <c r="L11" s="11"/>
      <c r="M11" s="11"/>
    </row>
    <row r="12" spans="1:25">
      <c r="A12" s="12"/>
      <c r="B12" s="11"/>
      <c r="C12" s="11"/>
      <c r="D12" s="331"/>
      <c r="E12" s="331"/>
      <c r="F12" s="11"/>
      <c r="J12" s="5"/>
    </row>
    <row r="13" spans="1:25">
      <c r="A13" s="12" t="s">
        <v>23</v>
      </c>
      <c r="B13" s="15">
        <v>0</v>
      </c>
      <c r="C13" s="11"/>
      <c r="D13" s="331"/>
      <c r="E13" s="331"/>
      <c r="F13" s="11"/>
      <c r="J13" s="5"/>
    </row>
    <row r="14" spans="1:25">
      <c r="A14" s="12"/>
      <c r="B14" s="11"/>
      <c r="C14" s="11"/>
      <c r="D14" s="331"/>
      <c r="E14" s="331"/>
      <c r="F14" s="11"/>
      <c r="J14" s="5" t="s">
        <v>24</v>
      </c>
    </row>
    <row r="15" spans="1:25">
      <c r="A15" s="12" t="s">
        <v>25</v>
      </c>
      <c r="B15" s="11">
        <f>SUM(B9:B13)</f>
        <v>14333.33</v>
      </c>
      <c r="C15" s="11">
        <f>SUM(C9:C13)</f>
        <v>2866.6660000000002</v>
      </c>
      <c r="D15" s="331"/>
      <c r="E15" s="331"/>
      <c r="F15" s="11"/>
      <c r="J15" s="17">
        <f>H15</f>
        <v>0</v>
      </c>
    </row>
    <row r="16" spans="1:25">
      <c r="A16" s="332"/>
      <c r="B16" s="332"/>
      <c r="C16" s="332"/>
      <c r="D16" s="331"/>
      <c r="E16" s="331"/>
      <c r="F16" s="11"/>
      <c r="J16" s="5"/>
      <c r="Y16" s="18" t="s">
        <v>26</v>
      </c>
    </row>
    <row r="17" spans="1:26">
      <c r="A17" s="332"/>
      <c r="B17" s="332"/>
      <c r="C17" s="332"/>
      <c r="D17" s="331"/>
      <c r="E17" s="331"/>
      <c r="F17" s="11"/>
      <c r="J17" s="19" t="s">
        <v>27</v>
      </c>
      <c r="Y17" s="18" t="s">
        <v>28</v>
      </c>
    </row>
    <row r="18" spans="1:26">
      <c r="A18" s="332"/>
      <c r="B18" s="332"/>
      <c r="C18" s="332"/>
      <c r="D18" s="331"/>
      <c r="E18" s="331"/>
      <c r="F18" s="11"/>
      <c r="J18" s="20">
        <v>40526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17199.995999999999</v>
      </c>
      <c r="F19" s="11"/>
      <c r="J19" s="5"/>
      <c r="Z19" s="5" t="s">
        <v>31</v>
      </c>
    </row>
    <row r="20" spans="1:26">
      <c r="A20" s="11"/>
      <c r="B20" s="11"/>
      <c r="C20" s="11"/>
      <c r="D20" s="11"/>
      <c r="E20" s="11"/>
      <c r="F20" s="11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14333.33</v>
      </c>
      <c r="F21" s="11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76" t="s">
        <v>246</v>
      </c>
      <c r="B24" s="376"/>
      <c r="C24" s="376"/>
      <c r="D24" s="376"/>
      <c r="E24" s="376"/>
      <c r="F24" s="55"/>
      <c r="G24" s="55"/>
      <c r="H24" s="55"/>
    </row>
    <row r="25" spans="1:26">
      <c r="A25" s="157"/>
      <c r="B25" s="158"/>
      <c r="C25" s="158"/>
      <c r="D25" s="158"/>
      <c r="E25" s="159"/>
      <c r="F25" s="55"/>
      <c r="G25" s="55"/>
      <c r="H25" s="55"/>
    </row>
    <row r="26" spans="1:26" ht="23.25">
      <c r="A26" s="377" t="s">
        <v>247</v>
      </c>
      <c r="B26" s="377"/>
      <c r="C26" s="377"/>
      <c r="D26" s="377"/>
      <c r="E26" s="377"/>
      <c r="F26" s="55"/>
      <c r="G26" s="160"/>
      <c r="H26" s="160"/>
    </row>
    <row r="27" spans="1:26">
      <c r="A27" s="157"/>
      <c r="B27" s="158"/>
      <c r="C27" s="158"/>
      <c r="D27" s="158"/>
      <c r="E27" s="159"/>
      <c r="F27" s="55"/>
      <c r="G27" s="161" t="s">
        <v>96</v>
      </c>
      <c r="H27" s="161">
        <f>IF(A32=Y104,1,IF(A32=Y105,1,IF(A32=Y106,3,IF(A32=Y107,6,IF(A32=Y108,9,IF(A32=Y109,12,IF(A32=Y110,3,IF(A32=Y111,6,IF(A32=Y112,9,0)))))))))</f>
        <v>0</v>
      </c>
    </row>
    <row r="28" spans="1:26" ht="37.5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IF(A32=Y104,H29-H37,IF(A32=Y105,H29-H37,IF(A32=Y106,H29-1,IF(A32=Y107,H29-1,IF(A32=Y108,H29-1,IF(A32=Y109,H29-1,IF(A32=Y110,H29-H37,IF(A32=Y111,H29-H37,IF(A32=Y112,H29-H37,0)))))))))</f>
        <v>0</v>
      </c>
    </row>
    <row r="29" spans="1:26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 t="str">
        <f>B35</f>
        <v>12</v>
      </c>
    </row>
    <row r="30" spans="1:26">
      <c r="A30" s="157"/>
      <c r="B30" s="380"/>
      <c r="C30" s="380"/>
      <c r="D30" s="158"/>
      <c r="E30" s="159"/>
      <c r="F30" s="55"/>
      <c r="G30" s="160" t="s">
        <v>45</v>
      </c>
      <c r="H30" s="160" t="str">
        <f>D35</f>
        <v>5000</v>
      </c>
    </row>
    <row r="31" spans="1:26" ht="37.5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</row>
    <row r="32" spans="1:26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>
        <f>A41</f>
        <v>0</v>
      </c>
      <c r="J32" s="39" t="s">
        <v>50</v>
      </c>
      <c r="K32" s="40" t="s">
        <v>409</v>
      </c>
    </row>
    <row r="33" spans="1:16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J33" s="39"/>
      <c r="K33" s="13"/>
    </row>
    <row r="34" spans="1:16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J34" s="39" t="s">
        <v>57</v>
      </c>
      <c r="K34" s="44" t="s">
        <v>398</v>
      </c>
    </row>
    <row r="35" spans="1:16">
      <c r="A35" s="167">
        <f>B32+D32</f>
        <v>500</v>
      </c>
      <c r="B35" s="378" t="s">
        <v>393</v>
      </c>
      <c r="C35" s="378"/>
      <c r="D35" s="378" t="s">
        <v>397</v>
      </c>
      <c r="E35" s="378"/>
      <c r="F35" s="55"/>
      <c r="G35" s="46"/>
      <c r="H35" s="174"/>
      <c r="J35" s="39"/>
      <c r="K35" s="13">
        <v>6.5000000000000002E-2</v>
      </c>
    </row>
    <row r="36" spans="1:16">
      <c r="A36" s="157"/>
      <c r="B36" s="158"/>
      <c r="C36" s="158"/>
      <c r="D36" s="158"/>
      <c r="E36" s="159"/>
      <c r="F36" s="55"/>
      <c r="G36" s="55" t="s">
        <v>91</v>
      </c>
      <c r="H36" s="56">
        <v>0</v>
      </c>
      <c r="J36" s="39" t="s">
        <v>64</v>
      </c>
      <c r="K36" s="47">
        <f>K32-K34</f>
        <v>16200</v>
      </c>
    </row>
    <row r="37" spans="1:16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</row>
    <row r="38" spans="1:16">
      <c r="A38" s="175">
        <f>(B35/12)*D35</f>
        <v>5000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J38" s="382"/>
      <c r="K38" s="382"/>
      <c r="L38" s="5"/>
      <c r="N38" s="4">
        <f>80.88*36</f>
        <v>2911.68</v>
      </c>
    </row>
    <row r="39" spans="1:16">
      <c r="A39" s="176"/>
      <c r="B39" s="171"/>
      <c r="C39" s="171"/>
      <c r="D39" s="158"/>
      <c r="E39" s="159"/>
      <c r="F39" s="55"/>
      <c r="G39" s="55"/>
      <c r="H39" s="5"/>
      <c r="L39" s="5"/>
      <c r="N39" s="4">
        <f>K39-L39</f>
        <v>0</v>
      </c>
    </row>
    <row r="40" spans="1:16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L40" s="5"/>
      <c r="N40" s="4">
        <f>N38-N39</f>
        <v>2911.68</v>
      </c>
    </row>
    <row r="41" spans="1:16">
      <c r="A41" s="89">
        <f>H36/B35</f>
        <v>0</v>
      </c>
      <c r="B41" s="383" t="str">
        <f>IF(B38="YES",D38+A41,D38)</f>
        <v>500</v>
      </c>
      <c r="C41" s="383"/>
      <c r="D41" s="346">
        <v>6000</v>
      </c>
      <c r="E41" s="346"/>
      <c r="F41" s="55"/>
      <c r="G41" s="55"/>
      <c r="H41" s="180"/>
      <c r="J41" s="5"/>
      <c r="K41" s="5"/>
      <c r="L41" s="5"/>
    </row>
    <row r="42" spans="1:16">
      <c r="A42" s="176"/>
      <c r="B42" s="171"/>
      <c r="C42" s="171"/>
      <c r="D42" s="171"/>
      <c r="E42" s="181"/>
      <c r="F42" s="55"/>
      <c r="G42" s="384" t="s">
        <v>65</v>
      </c>
      <c r="H42" s="384"/>
      <c r="J42" s="5"/>
      <c r="K42" s="5"/>
      <c r="L42" s="5"/>
    </row>
    <row r="43" spans="1:16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J43" s="5"/>
      <c r="K43" s="5"/>
      <c r="L43" s="5"/>
    </row>
    <row r="44" spans="1:16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0</v>
      </c>
      <c r="J44" s="5"/>
      <c r="K44" s="5"/>
      <c r="L44" s="5"/>
    </row>
    <row r="45" spans="1:16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J45" s="5"/>
      <c r="K45" s="5"/>
      <c r="L45" s="5"/>
    </row>
    <row r="46" spans="1:16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J46" s="5"/>
      <c r="K46" s="5"/>
      <c r="L46" s="5"/>
    </row>
    <row r="47" spans="1:16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J47" s="5"/>
      <c r="K47" s="5"/>
      <c r="L47" s="5"/>
    </row>
    <row r="48" spans="1:16">
      <c r="B48" s="171"/>
      <c r="C48" s="171"/>
      <c r="D48" s="171"/>
      <c r="E48" s="181"/>
      <c r="F48" s="55"/>
      <c r="G48" s="55"/>
      <c r="H48" s="5"/>
      <c r="J48" s="48"/>
      <c r="K48" s="5"/>
      <c r="L48" s="5"/>
    </row>
    <row r="49" spans="1:29">
      <c r="A49" s="176"/>
      <c r="B49" s="171"/>
      <c r="C49" s="171"/>
      <c r="D49" s="171"/>
      <c r="E49" s="181"/>
      <c r="F49" s="55"/>
      <c r="G49" s="55"/>
      <c r="H49" s="5"/>
      <c r="J49" s="5"/>
      <c r="K49" s="5"/>
      <c r="L49" s="5"/>
    </row>
    <row r="50" spans="1:29">
      <c r="A50" s="157"/>
      <c r="B50" s="183"/>
      <c r="C50" s="183"/>
      <c r="D50" s="158"/>
      <c r="E50" s="159"/>
      <c r="I50" s="5"/>
      <c r="J50" s="5"/>
      <c r="K50" s="5"/>
    </row>
    <row r="51" spans="1:29" ht="19.5" customHeight="1">
      <c r="A51" s="387" t="s">
        <v>94</v>
      </c>
      <c r="B51" s="388" t="s">
        <v>95</v>
      </c>
      <c r="C51" s="388"/>
      <c r="D51" s="158"/>
      <c r="E51" s="159"/>
      <c r="I51" s="5"/>
      <c r="J51" s="5"/>
      <c r="K51" s="5"/>
    </row>
    <row r="52" spans="1:29">
      <c r="A52" s="387"/>
      <c r="B52" s="389" t="str">
        <f>H30</f>
        <v>5000</v>
      </c>
      <c r="C52" s="389"/>
      <c r="D52" s="158"/>
      <c r="E52" s="159"/>
      <c r="I52" s="5"/>
      <c r="J52" s="5"/>
      <c r="K52" s="5"/>
    </row>
    <row r="53" spans="1:29">
      <c r="A53" s="185" t="str">
        <f>H29</f>
        <v>12</v>
      </c>
      <c r="B53" s="343">
        <f>H45</f>
        <v>501</v>
      </c>
      <c r="C53" s="343"/>
      <c r="D53" s="158"/>
      <c r="E53" s="159"/>
      <c r="I53" s="5"/>
      <c r="J53" s="5"/>
      <c r="K53" s="5"/>
    </row>
    <row r="54" spans="1:29">
      <c r="I54" s="5"/>
      <c r="J54" s="5"/>
      <c r="K54" s="5"/>
    </row>
    <row r="55" spans="1:29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29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29">
      <c r="A57" s="22"/>
      <c r="B57" s="23"/>
      <c r="C57" s="23"/>
      <c r="D57" s="23"/>
      <c r="E57" s="63"/>
      <c r="F57" s="63"/>
      <c r="G57" s="63"/>
      <c r="H57" s="24"/>
    </row>
    <row r="58" spans="1:29">
      <c r="A58" s="27" t="s">
        <v>96</v>
      </c>
      <c r="B58" s="28">
        <v>1</v>
      </c>
      <c r="C58" s="186"/>
      <c r="D58" s="28"/>
      <c r="E58" s="21"/>
      <c r="F58" s="21"/>
      <c r="G58" s="21"/>
      <c r="H58" s="29"/>
    </row>
    <row r="59" spans="1:29">
      <c r="A59" s="27" t="s">
        <v>97</v>
      </c>
      <c r="B59" s="28">
        <f>B35-B58</f>
        <v>11</v>
      </c>
      <c r="C59" s="186"/>
      <c r="D59" s="28"/>
      <c r="E59" s="21"/>
      <c r="F59" s="21"/>
      <c r="G59" s="21"/>
      <c r="H59" s="29"/>
    </row>
    <row r="60" spans="1:29">
      <c r="A60" s="64" t="s">
        <v>98</v>
      </c>
      <c r="B60" s="65">
        <v>10</v>
      </c>
      <c r="C60" s="186"/>
      <c r="D60" s="28"/>
      <c r="E60" s="21"/>
      <c r="F60" s="21"/>
      <c r="G60" s="21"/>
      <c r="H60" s="29"/>
    </row>
    <row r="61" spans="1:29">
      <c r="A61" s="27" t="s">
        <v>27</v>
      </c>
      <c r="B61" s="28">
        <f>J18</f>
        <v>40526</v>
      </c>
      <c r="C61" s="186"/>
      <c r="D61" s="28"/>
      <c r="E61" s="21"/>
      <c r="F61" s="21"/>
      <c r="G61" s="21"/>
      <c r="H61" s="29"/>
    </row>
    <row r="62" spans="1:29">
      <c r="A62" s="66" t="s">
        <v>99</v>
      </c>
      <c r="B62" s="67">
        <v>1.0500000000000001E-2</v>
      </c>
      <c r="C62" s="186"/>
      <c r="D62" s="28"/>
      <c r="E62" s="21"/>
      <c r="F62" s="21"/>
      <c r="G62" s="21"/>
      <c r="H62" s="29"/>
      <c r="K62" s="10"/>
      <c r="T62" s="10"/>
      <c r="AC62" s="10"/>
    </row>
    <row r="63" spans="1:29">
      <c r="A63" s="68" t="s">
        <v>100</v>
      </c>
      <c r="B63" s="69">
        <v>6.5000000000000002E-2</v>
      </c>
      <c r="C63" s="186"/>
      <c r="D63" s="28"/>
      <c r="E63" s="21"/>
      <c r="F63" s="21"/>
      <c r="G63" s="21"/>
      <c r="H63" s="29"/>
      <c r="K63" s="10"/>
      <c r="T63" s="10"/>
      <c r="AC63" s="10"/>
    </row>
    <row r="64" spans="1:29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K64" s="10"/>
      <c r="T64" s="10"/>
      <c r="AC64" s="10"/>
    </row>
    <row r="65" spans="1:29">
      <c r="A65" s="49" t="s">
        <v>102</v>
      </c>
      <c r="B65" s="57">
        <f>(B89*B59)-B53</f>
        <v>9972.5455293280247</v>
      </c>
      <c r="C65" s="28"/>
      <c r="D65" s="28"/>
      <c r="E65" s="21"/>
      <c r="F65" s="21"/>
      <c r="G65" s="21"/>
      <c r="H65" s="29"/>
    </row>
    <row r="66" spans="1:29">
      <c r="A66" s="66" t="s">
        <v>103</v>
      </c>
      <c r="B66" s="67">
        <v>0.05</v>
      </c>
      <c r="C66" s="28"/>
      <c r="D66" s="28"/>
      <c r="E66" s="21"/>
      <c r="F66" s="21"/>
      <c r="G66" s="21"/>
      <c r="H66" s="29"/>
      <c r="K66" s="10"/>
      <c r="T66" s="10"/>
      <c r="AC66" s="10"/>
    </row>
    <row r="67" spans="1:29">
      <c r="A67" s="27"/>
      <c r="B67" s="72">
        <f>B66</f>
        <v>0.05</v>
      </c>
      <c r="C67" s="28"/>
      <c r="D67" s="28"/>
      <c r="E67" s="21"/>
      <c r="F67" s="21"/>
      <c r="G67" s="21"/>
      <c r="H67" s="29"/>
      <c r="K67" s="10"/>
      <c r="T67" s="10"/>
      <c r="AC67" s="10"/>
    </row>
    <row r="68" spans="1:29">
      <c r="A68" s="49" t="s">
        <v>105</v>
      </c>
      <c r="B68" s="57">
        <f>(G158*B67)</f>
        <v>1042.25</v>
      </c>
      <c r="C68" s="28"/>
      <c r="D68" s="28"/>
      <c r="E68" s="21"/>
      <c r="F68" s="21"/>
      <c r="G68" s="21"/>
      <c r="H68" s="29"/>
    </row>
    <row r="69" spans="1:29">
      <c r="A69" s="66" t="s">
        <v>106</v>
      </c>
      <c r="B69" s="67">
        <v>0</v>
      </c>
      <c r="C69" s="187"/>
      <c r="D69" s="28"/>
      <c r="E69" s="21"/>
      <c r="F69" s="21"/>
      <c r="G69" s="21"/>
      <c r="H69" s="29"/>
      <c r="K69" s="10"/>
      <c r="T69" s="10"/>
      <c r="AC69" s="10"/>
    </row>
    <row r="70" spans="1:29">
      <c r="A70" s="68" t="s">
        <v>107</v>
      </c>
      <c r="B70" s="69">
        <v>0</v>
      </c>
      <c r="C70" s="187"/>
      <c r="D70" s="28"/>
      <c r="E70" s="21"/>
      <c r="F70" s="21"/>
      <c r="G70" s="21"/>
      <c r="H70" s="29"/>
      <c r="K70" s="10"/>
      <c r="T70" s="10"/>
      <c r="AC70" s="10"/>
    </row>
    <row r="71" spans="1:29">
      <c r="A71" s="49" t="s">
        <v>108</v>
      </c>
      <c r="B71" s="73">
        <f>B69*(1+B70)</f>
        <v>0</v>
      </c>
      <c r="C71" s="187"/>
      <c r="D71" s="28"/>
      <c r="E71" s="21"/>
      <c r="F71" s="21"/>
      <c r="G71" s="21"/>
      <c r="H71" s="29"/>
      <c r="K71" s="10"/>
      <c r="T71" s="10"/>
      <c r="AC71" s="10"/>
    </row>
    <row r="72" spans="1:29">
      <c r="A72" s="66" t="s">
        <v>109</v>
      </c>
      <c r="B72" s="74">
        <v>0</v>
      </c>
      <c r="C72" s="187"/>
      <c r="D72" s="28"/>
      <c r="E72" s="21"/>
      <c r="F72" s="21"/>
      <c r="G72" s="21"/>
      <c r="H72" s="29"/>
    </row>
    <row r="73" spans="1:29">
      <c r="A73" s="68" t="s">
        <v>110</v>
      </c>
      <c r="B73" s="65">
        <v>0</v>
      </c>
      <c r="C73" s="187"/>
      <c r="D73" s="28"/>
      <c r="E73" s="21"/>
      <c r="F73" s="21"/>
      <c r="G73" s="21"/>
      <c r="H73" s="29"/>
    </row>
    <row r="74" spans="1:29">
      <c r="A74" s="49" t="s">
        <v>111</v>
      </c>
      <c r="B74" s="57">
        <f>B73*B35</f>
        <v>0</v>
      </c>
      <c r="C74" s="187"/>
      <c r="D74" s="28">
        <f>B74+B72</f>
        <v>0</v>
      </c>
      <c r="E74" s="21"/>
      <c r="F74" s="21"/>
      <c r="G74" s="21"/>
      <c r="H74" s="29"/>
    </row>
    <row r="75" spans="1:29">
      <c r="A75" s="68" t="s">
        <v>112</v>
      </c>
      <c r="B75" s="65">
        <v>0</v>
      </c>
      <c r="C75" s="187"/>
      <c r="D75" s="28">
        <f>B75</f>
        <v>0</v>
      </c>
      <c r="E75" s="21"/>
      <c r="F75" s="21"/>
      <c r="G75" s="21"/>
      <c r="H75" s="29"/>
    </row>
    <row r="76" spans="1:29">
      <c r="A76" s="70" t="s">
        <v>113</v>
      </c>
      <c r="B76" s="75">
        <v>0</v>
      </c>
      <c r="C76" s="187"/>
      <c r="D76" s="28">
        <f>B76</f>
        <v>0</v>
      </c>
      <c r="E76" s="21"/>
      <c r="F76" s="28"/>
      <c r="G76" s="21"/>
      <c r="H76" s="29"/>
    </row>
    <row r="77" spans="1:29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</row>
    <row r="78" spans="1:29">
      <c r="A78" s="27" t="s">
        <v>115</v>
      </c>
      <c r="B78" s="29">
        <f>B77/B35</f>
        <v>0</v>
      </c>
      <c r="C78" s="28"/>
      <c r="D78" s="28"/>
      <c r="E78" s="21"/>
      <c r="F78" s="21"/>
      <c r="G78" s="21"/>
      <c r="H78" s="29"/>
    </row>
    <row r="79" spans="1:29">
      <c r="A79" s="78" t="s">
        <v>116</v>
      </c>
      <c r="B79" s="52">
        <f>H46</f>
        <v>501</v>
      </c>
      <c r="C79" s="28"/>
      <c r="D79" s="28"/>
      <c r="E79" s="21"/>
      <c r="F79" s="21"/>
      <c r="G79" s="21"/>
      <c r="H79" s="29"/>
    </row>
    <row r="80" spans="1:29">
      <c r="A80" s="27"/>
      <c r="B80" s="28"/>
      <c r="C80" s="28"/>
      <c r="D80" s="28"/>
      <c r="E80" s="21"/>
      <c r="F80" s="21"/>
      <c r="G80" s="21"/>
      <c r="H80" s="29"/>
    </row>
    <row r="81" spans="1:29">
      <c r="A81" s="22" t="s">
        <v>117</v>
      </c>
      <c r="B81" s="24">
        <f>K36</f>
        <v>16200</v>
      </c>
      <c r="C81" s="28"/>
      <c r="D81" s="28"/>
      <c r="E81" s="21"/>
      <c r="F81" s="22" t="s">
        <v>117</v>
      </c>
      <c r="G81" s="24">
        <f>B81</f>
        <v>16200</v>
      </c>
      <c r="H81" s="29"/>
    </row>
    <row r="82" spans="1:29">
      <c r="A82" s="27" t="s">
        <v>118</v>
      </c>
      <c r="B82" s="29">
        <f>IF(A111="YES",D41,0)*1.2</f>
        <v>7200</v>
      </c>
      <c r="C82" s="28"/>
      <c r="D82" s="28"/>
      <c r="E82" s="21"/>
      <c r="F82" s="27" t="s">
        <v>118</v>
      </c>
      <c r="G82" s="29">
        <f>IF(A111="YES",D41,0)*1.2</f>
        <v>7200</v>
      </c>
      <c r="H82" s="29"/>
    </row>
    <row r="83" spans="1:29">
      <c r="A83" s="27" t="s">
        <v>119</v>
      </c>
      <c r="B83" s="79">
        <f>B62+B63+B64</f>
        <v>0.1255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K83" s="10"/>
      <c r="T83" s="10"/>
      <c r="AC83" s="10"/>
    </row>
    <row r="84" spans="1:29">
      <c r="A84" s="27" t="s">
        <v>120</v>
      </c>
      <c r="B84" s="72">
        <f>B83/12</f>
        <v>1.0458333333333333E-2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K84" s="10"/>
      <c r="T84" s="10"/>
      <c r="AC84" s="10"/>
    </row>
    <row r="85" spans="1:29">
      <c r="A85" s="27" t="s">
        <v>121</v>
      </c>
      <c r="B85" s="29">
        <f>IF(B82=0,(B59+B58),(B59))</f>
        <v>11</v>
      </c>
      <c r="C85" s="28"/>
      <c r="D85" s="28"/>
      <c r="E85" s="21"/>
      <c r="F85" s="27" t="s">
        <v>121</v>
      </c>
      <c r="G85" s="29">
        <f>IF(G82=0,(B59+B58),(B59))</f>
        <v>11</v>
      </c>
      <c r="H85" s="29"/>
    </row>
    <row r="86" spans="1:29">
      <c r="A86" s="27" t="s">
        <v>122</v>
      </c>
      <c r="B86" s="29">
        <f>(B82/((1+B84)^(B85+1)))</f>
        <v>6354.9417998796171</v>
      </c>
      <c r="C86" s="28">
        <f>(B82/((1+B84)^(B85+1)))</f>
        <v>6354.9417998796171</v>
      </c>
      <c r="D86" s="28"/>
      <c r="E86" s="21"/>
      <c r="F86" s="27" t="s">
        <v>122</v>
      </c>
      <c r="G86" s="29">
        <f>(G82/((1+G84)^(G85+1)))</f>
        <v>6748.0693014409899</v>
      </c>
      <c r="H86" s="29"/>
    </row>
    <row r="87" spans="1:29">
      <c r="A87" s="27" t="s">
        <v>123</v>
      </c>
      <c r="B87" s="29">
        <f>((1-(1/((1+B84)^B85)))/B84)</f>
        <v>10.339921652899179</v>
      </c>
      <c r="C87" s="28">
        <f>((1-(1/((1+B84)^B85)))/B84)</f>
        <v>10.339921652899179</v>
      </c>
      <c r="D87" s="28"/>
      <c r="E87" s="21"/>
      <c r="F87" s="27" t="s">
        <v>123</v>
      </c>
      <c r="G87" s="29">
        <f>((1-(1/((1+G84)^G85)))/G84)</f>
        <v>10.65073478229589</v>
      </c>
      <c r="H87" s="29"/>
    </row>
    <row r="88" spans="1:29">
      <c r="A88" s="27" t="s">
        <v>124</v>
      </c>
      <c r="B88" s="29">
        <f>B81-B86</f>
        <v>9845.0582001203838</v>
      </c>
      <c r="C88" s="28">
        <f>B81-B86</f>
        <v>9845.0582001203838</v>
      </c>
      <c r="D88" s="28"/>
      <c r="E88" s="21"/>
      <c r="F88" s="27" t="s">
        <v>124</v>
      </c>
      <c r="G88" s="29">
        <f>G81-G86</f>
        <v>9451.9306985590101</v>
      </c>
      <c r="H88" s="29"/>
    </row>
    <row r="89" spans="1:29">
      <c r="A89" s="27" t="s">
        <v>125</v>
      </c>
      <c r="B89" s="29">
        <f>(B88/B87)</f>
        <v>952.14050266618403</v>
      </c>
      <c r="C89" s="28">
        <f>(B88/B87)</f>
        <v>952.14050266618403</v>
      </c>
      <c r="D89" s="28"/>
      <c r="E89" s="21"/>
      <c r="F89" s="27" t="s">
        <v>125</v>
      </c>
      <c r="G89" s="29">
        <f>(G88/G87)</f>
        <v>887.444001917165</v>
      </c>
      <c r="H89" s="29"/>
    </row>
    <row r="90" spans="1:29">
      <c r="A90" s="27" t="s">
        <v>126</v>
      </c>
      <c r="B90" s="29">
        <f>((B89*(B85))+B77)</f>
        <v>10473.545529328025</v>
      </c>
      <c r="C90" s="28"/>
      <c r="D90" s="28"/>
      <c r="E90" s="21"/>
      <c r="F90" s="27" t="s">
        <v>126</v>
      </c>
      <c r="G90" s="29">
        <f>((G89*(G85))+G77)</f>
        <v>9761.8840210888156</v>
      </c>
      <c r="H90" s="29"/>
    </row>
    <row r="91" spans="1:29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</row>
    <row r="92" spans="1:29">
      <c r="A92" s="49" t="s">
        <v>128</v>
      </c>
      <c r="B92" s="57">
        <f>(B90+B91)</f>
        <v>10473.545529328025</v>
      </c>
      <c r="C92" s="28"/>
      <c r="D92" s="28"/>
      <c r="E92" s="21"/>
      <c r="F92" s="49" t="s">
        <v>128</v>
      </c>
      <c r="G92" s="57">
        <f>(G90+G91)</f>
        <v>9761.8840210888156</v>
      </c>
      <c r="H92" s="29"/>
    </row>
    <row r="93" spans="1:29">
      <c r="A93" s="27"/>
      <c r="B93" s="28"/>
      <c r="C93" s="28"/>
      <c r="D93" s="28"/>
      <c r="E93" s="21"/>
      <c r="F93" s="27"/>
      <c r="G93" s="28"/>
      <c r="H93" s="29"/>
    </row>
    <row r="94" spans="1:29">
      <c r="A94" s="76" t="s">
        <v>129</v>
      </c>
      <c r="B94" s="80" t="str">
        <f>IF(B38="YES",((H36/B85)*(1+A108)*1.2),"0")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</row>
    <row r="95" spans="1:29">
      <c r="A95" s="81" t="s">
        <v>130</v>
      </c>
      <c r="B95" s="82">
        <f>B92/(B85)</f>
        <v>952.14050266618403</v>
      </c>
      <c r="C95" s="28"/>
      <c r="D95" s="28"/>
      <c r="E95" s="21"/>
      <c r="F95" s="81" t="s">
        <v>130</v>
      </c>
      <c r="G95" s="82">
        <f>G92/(G85)</f>
        <v>887.44400191716511</v>
      </c>
      <c r="H95" s="29"/>
    </row>
    <row r="96" spans="1:29">
      <c r="A96" s="83" t="s">
        <v>131</v>
      </c>
      <c r="B96" s="84">
        <f>B94+B95</f>
        <v>952.14050266618403</v>
      </c>
      <c r="C96" s="28"/>
      <c r="D96" s="28"/>
      <c r="E96" s="21"/>
      <c r="F96" s="83" t="s">
        <v>131</v>
      </c>
      <c r="G96" s="84">
        <f>G94+G95</f>
        <v>887.44400191716511</v>
      </c>
      <c r="H96" s="29"/>
    </row>
    <row r="97" spans="1:42">
      <c r="A97" s="49"/>
      <c r="B97" s="50"/>
      <c r="C97" s="50"/>
      <c r="D97" s="50"/>
      <c r="E97" s="85"/>
      <c r="F97" s="85"/>
      <c r="G97" s="85"/>
      <c r="H97" s="57"/>
    </row>
    <row r="98" spans="1:42">
      <c r="A98" s="21"/>
      <c r="B98" s="21"/>
      <c r="C98" s="21"/>
      <c r="D98" s="21"/>
      <c r="E98" s="21"/>
      <c r="F98" s="21"/>
      <c r="G98" s="21"/>
      <c r="H98" s="21"/>
    </row>
    <row r="99" spans="1:42">
      <c r="A99" s="21"/>
      <c r="B99" s="21"/>
      <c r="C99" s="21"/>
      <c r="D99" s="21"/>
      <c r="E99" s="21"/>
      <c r="F99" s="21"/>
      <c r="G99" s="21"/>
      <c r="H99" s="21"/>
    </row>
    <row r="100" spans="1:42" ht="47.25" customHeight="1">
      <c r="A100" s="344" t="s">
        <v>278</v>
      </c>
      <c r="B100" s="344"/>
      <c r="C100" s="344"/>
      <c r="D100" s="344"/>
      <c r="E100" s="344"/>
      <c r="F100" s="344"/>
      <c r="G100" s="344"/>
      <c r="H100" s="344"/>
      <c r="J100" s="382"/>
      <c r="K100" s="382"/>
      <c r="L100" s="382"/>
      <c r="M100" s="382"/>
      <c r="N100" s="382"/>
      <c r="O100" s="382"/>
      <c r="P100" s="382"/>
      <c r="Q100" s="382"/>
      <c r="S100" s="382"/>
      <c r="T100" s="382"/>
      <c r="U100" s="382"/>
      <c r="V100" s="382"/>
      <c r="W100" s="382"/>
      <c r="X100" s="382"/>
      <c r="Y100" s="382"/>
      <c r="Z100" s="382"/>
      <c r="AB100" s="382"/>
      <c r="AC100" s="382"/>
      <c r="AD100" s="382"/>
      <c r="AE100" s="382"/>
      <c r="AF100" s="382"/>
      <c r="AG100" s="382"/>
      <c r="AH100" s="382"/>
      <c r="AI100" s="382"/>
    </row>
    <row r="101" spans="1:42">
      <c r="A101" s="22"/>
      <c r="B101" s="23"/>
      <c r="C101" s="23"/>
      <c r="D101" s="23"/>
      <c r="E101" s="63"/>
      <c r="F101" s="63"/>
      <c r="G101" s="63"/>
      <c r="H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82"/>
      <c r="K102" s="382"/>
      <c r="L102" s="382"/>
      <c r="M102" s="382"/>
      <c r="N102" s="382"/>
      <c r="O102" s="382"/>
      <c r="P102" s="382"/>
      <c r="Q102" s="382"/>
      <c r="S102" s="382"/>
      <c r="T102" s="382"/>
      <c r="U102" s="382"/>
      <c r="V102" s="382"/>
      <c r="W102" s="382"/>
      <c r="X102" s="382"/>
      <c r="Y102" s="382"/>
      <c r="Z102" s="382"/>
      <c r="AB102" s="382"/>
      <c r="AC102" s="382"/>
      <c r="AD102" s="382"/>
      <c r="AE102" s="382"/>
      <c r="AF102" s="382"/>
      <c r="AG102" s="382"/>
      <c r="AH102" s="382"/>
      <c r="AI102" s="382"/>
    </row>
    <row r="103" spans="1:42">
      <c r="A103" s="27"/>
      <c r="B103" s="28"/>
      <c r="C103" s="28"/>
      <c r="D103" s="28"/>
      <c r="E103" s="21"/>
      <c r="F103" s="21"/>
      <c r="G103" s="21"/>
      <c r="H103" s="88"/>
      <c r="Z103" s="55" t="s">
        <v>140</v>
      </c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Z104" s="55" t="s">
        <v>270</v>
      </c>
    </row>
    <row r="105" spans="1:42">
      <c r="A105" s="32" t="s">
        <v>139</v>
      </c>
      <c r="B105" s="345" t="s">
        <v>140</v>
      </c>
      <c r="C105" s="345"/>
      <c r="D105" s="345"/>
      <c r="E105" s="346" t="s">
        <v>386</v>
      </c>
      <c r="F105" s="346"/>
      <c r="G105" s="346"/>
      <c r="H105" s="88"/>
      <c r="K105" s="382"/>
      <c r="L105" s="382"/>
      <c r="M105" s="382"/>
      <c r="N105" s="382"/>
      <c r="O105" s="382"/>
      <c r="P105" s="382"/>
      <c r="T105" s="382"/>
      <c r="U105" s="382"/>
      <c r="V105" s="382"/>
      <c r="W105" s="382"/>
      <c r="X105" s="382"/>
      <c r="Y105" s="382"/>
      <c r="Z105" s="55" t="s">
        <v>271</v>
      </c>
      <c r="AC105" s="382"/>
      <c r="AD105" s="382"/>
      <c r="AE105" s="382"/>
      <c r="AF105" s="382"/>
      <c r="AG105" s="382"/>
      <c r="AH105" s="382"/>
    </row>
    <row r="106" spans="1:42">
      <c r="A106" s="27"/>
      <c r="B106" s="28"/>
      <c r="C106" s="28"/>
      <c r="D106" s="21"/>
      <c r="E106" s="28"/>
      <c r="F106" s="28"/>
      <c r="G106" s="21"/>
      <c r="H106" s="29"/>
      <c r="Z106" s="55" t="s">
        <v>272</v>
      </c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Z107" s="55" t="s">
        <v>273</v>
      </c>
    </row>
    <row r="108" spans="1:42">
      <c r="A108" s="188">
        <v>0.2</v>
      </c>
      <c r="B108" s="348" t="s">
        <v>389</v>
      </c>
      <c r="C108" s="348"/>
      <c r="D108" s="348">
        <v>0</v>
      </c>
      <c r="E108" s="349">
        <f>B83</f>
        <v>0.1255</v>
      </c>
      <c r="F108" s="349"/>
      <c r="G108" s="349"/>
      <c r="H108" s="42"/>
      <c r="J108" s="10"/>
      <c r="K108" s="382"/>
      <c r="L108" s="382"/>
      <c r="M108" s="382"/>
      <c r="N108" s="390"/>
      <c r="O108" s="390"/>
      <c r="P108" s="390"/>
      <c r="S108" s="10"/>
      <c r="T108" s="382"/>
      <c r="U108" s="382"/>
      <c r="V108" s="382"/>
      <c r="W108" s="390"/>
      <c r="X108" s="390"/>
      <c r="Y108" s="390"/>
      <c r="Z108" s="55" t="s">
        <v>274</v>
      </c>
      <c r="AB108" s="10"/>
      <c r="AC108" s="382"/>
      <c r="AD108" s="382"/>
      <c r="AE108" s="382"/>
      <c r="AF108" s="390"/>
      <c r="AG108" s="390"/>
      <c r="AH108" s="390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Z109" s="55" t="s">
        <v>275</v>
      </c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Z110" s="55" t="s">
        <v>276</v>
      </c>
    </row>
    <row r="111" spans="1:42">
      <c r="A111" s="36" t="s">
        <v>385</v>
      </c>
      <c r="B111" s="348">
        <v>0</v>
      </c>
      <c r="C111" s="348"/>
      <c r="D111" s="348"/>
      <c r="E111" s="348">
        <v>0</v>
      </c>
      <c r="F111" s="348"/>
      <c r="G111" s="348"/>
      <c r="H111" s="88"/>
      <c r="K111" s="382"/>
      <c r="L111" s="382"/>
      <c r="M111" s="382"/>
      <c r="N111" s="382"/>
      <c r="O111" s="382"/>
      <c r="P111" s="382"/>
      <c r="T111" s="382"/>
      <c r="U111" s="382"/>
      <c r="V111" s="382"/>
      <c r="W111" s="382"/>
      <c r="X111" s="382"/>
      <c r="Y111" s="382"/>
      <c r="Z111" s="55" t="s">
        <v>277</v>
      </c>
      <c r="AC111" s="382"/>
      <c r="AD111" s="382"/>
      <c r="AE111" s="382"/>
      <c r="AF111" s="382"/>
      <c r="AG111" s="382"/>
      <c r="AH111" s="382"/>
    </row>
    <row r="112" spans="1:42">
      <c r="A112" s="27"/>
      <c r="B112" s="28"/>
      <c r="C112" s="28"/>
      <c r="D112" s="28"/>
      <c r="E112" s="28"/>
      <c r="F112" s="28"/>
      <c r="G112" s="21"/>
      <c r="H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</row>
    <row r="114" spans="1:35">
      <c r="A114" s="94">
        <f>B111+E111</f>
        <v>0</v>
      </c>
      <c r="B114" s="348">
        <v>1000</v>
      </c>
      <c r="C114" s="348"/>
      <c r="D114" s="348"/>
      <c r="E114" s="348">
        <v>0</v>
      </c>
      <c r="F114" s="348"/>
      <c r="G114" s="348"/>
      <c r="H114" s="88"/>
      <c r="K114" s="382"/>
      <c r="L114" s="382"/>
      <c r="M114" s="382"/>
      <c r="N114" s="382"/>
      <c r="O114" s="382"/>
      <c r="P114" s="382"/>
      <c r="T114" s="382"/>
      <c r="U114" s="382"/>
      <c r="V114" s="382"/>
      <c r="W114" s="382"/>
      <c r="X114" s="382"/>
      <c r="Y114" s="382"/>
      <c r="AC114" s="382"/>
      <c r="AD114" s="382"/>
      <c r="AE114" s="382"/>
      <c r="AF114" s="382"/>
      <c r="AG114" s="382"/>
      <c r="AH114" s="382"/>
    </row>
    <row r="115" spans="1:35">
      <c r="A115" s="95"/>
      <c r="B115" s="21"/>
      <c r="C115" s="21"/>
      <c r="D115" s="21"/>
      <c r="E115" s="21"/>
      <c r="F115" s="21"/>
      <c r="G115" s="21"/>
      <c r="H115" s="88"/>
    </row>
    <row r="116" spans="1:35">
      <c r="A116" s="95"/>
      <c r="B116" s="21"/>
      <c r="C116" s="21"/>
      <c r="D116" s="21"/>
      <c r="E116" s="21"/>
      <c r="F116" s="21"/>
      <c r="G116" s="21"/>
      <c r="H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82"/>
      <c r="K117" s="382"/>
      <c r="L117" s="382"/>
      <c r="M117" s="382"/>
      <c r="N117" s="382"/>
      <c r="O117" s="382"/>
      <c r="P117" s="382"/>
      <c r="Q117" s="382"/>
      <c r="S117" s="382"/>
      <c r="T117" s="382"/>
      <c r="U117" s="382"/>
      <c r="V117" s="382"/>
      <c r="W117" s="382"/>
      <c r="X117" s="382"/>
      <c r="Y117" s="382"/>
      <c r="Z117" s="382"/>
      <c r="AB117" s="382"/>
      <c r="AC117" s="382"/>
      <c r="AD117" s="382"/>
      <c r="AE117" s="382"/>
      <c r="AF117" s="382"/>
      <c r="AG117" s="382"/>
      <c r="AH117" s="382"/>
      <c r="AI117" s="382"/>
    </row>
    <row r="118" spans="1:35">
      <c r="A118" s="95"/>
      <c r="B118" s="21"/>
      <c r="C118" s="21"/>
      <c r="D118" s="21"/>
      <c r="E118" s="21"/>
      <c r="F118" s="21"/>
      <c r="G118" s="21"/>
      <c r="H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K119" s="382"/>
      <c r="L119" s="382"/>
      <c r="M119" s="382"/>
      <c r="N119" s="382"/>
      <c r="O119" s="382"/>
      <c r="P119" s="382"/>
      <c r="T119" s="382"/>
      <c r="U119" s="382"/>
      <c r="V119" s="382"/>
      <c r="W119" s="382"/>
      <c r="X119" s="382"/>
      <c r="Y119" s="382"/>
      <c r="AC119" s="382"/>
      <c r="AD119" s="382"/>
      <c r="AE119" s="382"/>
      <c r="AF119" s="382"/>
      <c r="AG119" s="382"/>
      <c r="AH119" s="382"/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</row>
    <row r="121" spans="1:35">
      <c r="A121" s="22" t="s">
        <v>160</v>
      </c>
      <c r="B121" s="22">
        <f>E19</f>
        <v>17199.995999999999</v>
      </c>
      <c r="C121" s="36">
        <v>16412.5</v>
      </c>
      <c r="D121" s="22">
        <f>D3</f>
        <v>0</v>
      </c>
      <c r="E121" s="36">
        <f>D121</f>
        <v>0</v>
      </c>
      <c r="F121" s="22">
        <v>0</v>
      </c>
      <c r="G121" s="36">
        <f>F121</f>
        <v>0</v>
      </c>
      <c r="H121" s="101">
        <f>H3</f>
        <v>0</v>
      </c>
    </row>
    <row r="122" spans="1:35">
      <c r="A122" s="27" t="s">
        <v>161</v>
      </c>
      <c r="B122" s="102">
        <v>0</v>
      </c>
      <c r="C122" s="103">
        <f>B122</f>
        <v>0</v>
      </c>
      <c r="D122" s="102">
        <v>0</v>
      </c>
      <c r="E122" s="103">
        <f>D122</f>
        <v>0</v>
      </c>
      <c r="F122" s="102">
        <v>0</v>
      </c>
      <c r="G122" s="104">
        <f>F122</f>
        <v>0</v>
      </c>
      <c r="H122" s="105"/>
      <c r="K122" s="10"/>
      <c r="L122" s="10"/>
      <c r="M122" s="10"/>
      <c r="N122" s="10"/>
      <c r="O122" s="10"/>
      <c r="P122" s="10"/>
      <c r="Q122" s="10"/>
      <c r="T122" s="10"/>
      <c r="U122" s="10"/>
      <c r="V122" s="10"/>
      <c r="W122" s="10"/>
      <c r="X122" s="10"/>
      <c r="Y122" s="10"/>
      <c r="Z122" s="10"/>
      <c r="AC122" s="10"/>
      <c r="AD122" s="10"/>
      <c r="AE122" s="10"/>
      <c r="AF122" s="10"/>
      <c r="AG122" s="10"/>
      <c r="AH122" s="10"/>
      <c r="AI122" s="10"/>
    </row>
    <row r="123" spans="1:35">
      <c r="A123" s="27" t="s">
        <v>162</v>
      </c>
      <c r="B123" s="27">
        <v>0</v>
      </c>
      <c r="C123" s="36">
        <f>B123</f>
        <v>0</v>
      </c>
      <c r="D123" s="27">
        <v>0</v>
      </c>
      <c r="E123" s="36">
        <f>D123</f>
        <v>0</v>
      </c>
      <c r="F123" s="27">
        <v>0</v>
      </c>
      <c r="G123" s="36">
        <f>F123</f>
        <v>0</v>
      </c>
      <c r="H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</row>
    <row r="125" spans="1:35">
      <c r="A125" s="49" t="s">
        <v>164</v>
      </c>
      <c r="B125" s="49">
        <f t="shared" ref="B125:G125" si="0">B121-B124</f>
        <v>17199.995999999999</v>
      </c>
      <c r="C125" s="57">
        <f t="shared" si="0"/>
        <v>16412.5</v>
      </c>
      <c r="D125" s="49">
        <f t="shared" si="0"/>
        <v>0</v>
      </c>
      <c r="E125" s="57">
        <f t="shared" si="0"/>
        <v>0</v>
      </c>
      <c r="F125" s="49">
        <f t="shared" si="0"/>
        <v>0</v>
      </c>
      <c r="G125" s="57">
        <f t="shared" si="0"/>
        <v>0</v>
      </c>
      <c r="H125" s="57"/>
    </row>
    <row r="126" spans="1:35">
      <c r="A126" s="27"/>
      <c r="B126" s="28"/>
      <c r="C126" s="28"/>
      <c r="D126" s="28"/>
      <c r="E126" s="28"/>
      <c r="F126" s="28"/>
      <c r="G126" s="28"/>
      <c r="H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</row>
    <row r="129" spans="1:34">
      <c r="A129" s="27"/>
      <c r="B129" s="28"/>
      <c r="C129" s="28"/>
      <c r="D129" s="28"/>
      <c r="E129" s="28"/>
      <c r="F129" s="28"/>
      <c r="G129" s="115"/>
      <c r="H129" s="116"/>
    </row>
    <row r="130" spans="1:34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K130" s="382"/>
      <c r="L130" s="382"/>
      <c r="M130" s="382"/>
      <c r="N130" s="382"/>
      <c r="O130" s="382"/>
      <c r="P130" s="382"/>
      <c r="T130" s="382"/>
      <c r="U130" s="382"/>
      <c r="V130" s="382"/>
      <c r="W130" s="382"/>
      <c r="X130" s="382"/>
      <c r="Y130" s="382"/>
      <c r="AC130" s="382"/>
      <c r="AD130" s="382"/>
      <c r="AE130" s="382"/>
      <c r="AF130" s="382"/>
      <c r="AG130" s="382"/>
      <c r="AH130" s="382"/>
    </row>
    <row r="131" spans="1:34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K131" s="382"/>
      <c r="L131" s="382"/>
      <c r="M131" s="390"/>
      <c r="N131" s="390"/>
      <c r="O131" s="382"/>
      <c r="P131" s="382"/>
      <c r="T131" s="382"/>
      <c r="U131" s="382"/>
      <c r="V131" s="390"/>
      <c r="W131" s="390"/>
      <c r="X131" s="382"/>
      <c r="Y131" s="382"/>
      <c r="AC131" s="382"/>
      <c r="AD131" s="382"/>
      <c r="AE131" s="390"/>
      <c r="AF131" s="390"/>
      <c r="AG131" s="382"/>
      <c r="AH131" s="382"/>
    </row>
    <row r="132" spans="1:34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K132" s="382"/>
      <c r="L132" s="382"/>
      <c r="M132" s="390"/>
      <c r="N132" s="390"/>
      <c r="O132" s="382"/>
      <c r="P132" s="382"/>
      <c r="T132" s="382"/>
      <c r="U132" s="382"/>
      <c r="V132" s="390"/>
      <c r="W132" s="390"/>
      <c r="X132" s="382"/>
      <c r="Y132" s="382"/>
      <c r="AC132" s="382"/>
      <c r="AD132" s="382"/>
      <c r="AE132" s="390"/>
      <c r="AF132" s="390"/>
      <c r="AG132" s="382"/>
      <c r="AH132" s="382"/>
    </row>
    <row r="133" spans="1:34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K133" s="382"/>
      <c r="L133" s="382"/>
      <c r="M133" s="390"/>
      <c r="N133" s="390"/>
      <c r="O133" s="382"/>
      <c r="P133" s="382"/>
      <c r="T133" s="382"/>
      <c r="U133" s="382"/>
      <c r="V133" s="390"/>
      <c r="W133" s="390"/>
      <c r="X133" s="382"/>
      <c r="Y133" s="382"/>
      <c r="AC133" s="382"/>
      <c r="AD133" s="382"/>
      <c r="AE133" s="390"/>
      <c r="AF133" s="390"/>
      <c r="AG133" s="382"/>
      <c r="AH133" s="382"/>
    </row>
    <row r="134" spans="1:34">
      <c r="A134" s="27"/>
      <c r="B134" s="28"/>
      <c r="C134" s="28"/>
      <c r="D134" s="28"/>
      <c r="E134" s="28"/>
      <c r="F134" s="28"/>
      <c r="G134" s="115"/>
      <c r="H134" s="116"/>
    </row>
    <row r="135" spans="1:34" ht="21">
      <c r="A135" s="356" t="s">
        <v>172</v>
      </c>
      <c r="B135" s="356"/>
      <c r="C135" s="356"/>
      <c r="D135" s="356"/>
      <c r="E135" s="356"/>
      <c r="F135" s="356"/>
      <c r="G135" s="109">
        <f>E21</f>
        <v>14333.33</v>
      </c>
      <c r="H135" s="120">
        <f>C125+E125+G125+H128</f>
        <v>16412.5</v>
      </c>
      <c r="J135" s="382"/>
      <c r="K135" s="382"/>
      <c r="L135" s="382"/>
      <c r="M135" s="382"/>
      <c r="N135" s="382"/>
      <c r="O135" s="382"/>
      <c r="S135" s="382"/>
      <c r="T135" s="382"/>
      <c r="U135" s="382"/>
      <c r="V135" s="382"/>
      <c r="W135" s="382"/>
      <c r="X135" s="382"/>
      <c r="AB135" s="382"/>
      <c r="AC135" s="382"/>
      <c r="AD135" s="382"/>
      <c r="AE135" s="382"/>
      <c r="AF135" s="382"/>
      <c r="AG135" s="382"/>
    </row>
    <row r="136" spans="1:34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82"/>
      <c r="K136" s="382"/>
      <c r="L136" s="382"/>
      <c r="M136" s="382"/>
      <c r="N136" s="382"/>
      <c r="O136" s="382"/>
      <c r="S136" s="382"/>
      <c r="T136" s="382"/>
      <c r="U136" s="382"/>
      <c r="V136" s="382"/>
      <c r="W136" s="382"/>
      <c r="X136" s="382"/>
      <c r="AB136" s="382"/>
      <c r="AC136" s="382"/>
      <c r="AD136" s="382"/>
      <c r="AE136" s="382"/>
      <c r="AF136" s="382"/>
      <c r="AG136" s="382"/>
    </row>
    <row r="137" spans="1:34">
      <c r="A137" s="357" t="s">
        <v>174</v>
      </c>
      <c r="B137" s="357"/>
      <c r="C137" s="357"/>
      <c r="D137" s="357"/>
      <c r="E137" s="357"/>
      <c r="F137" s="357"/>
      <c r="G137" s="29">
        <f>(G135+G136)*20%</f>
        <v>2866.6660000000002</v>
      </c>
      <c r="H137" s="29">
        <f>(H135+H136)*20%</f>
        <v>3282.5</v>
      </c>
      <c r="J137" s="382"/>
      <c r="K137" s="382"/>
      <c r="L137" s="382"/>
      <c r="M137" s="382"/>
      <c r="N137" s="382"/>
      <c r="O137" s="382"/>
      <c r="S137" s="382"/>
      <c r="T137" s="382"/>
      <c r="U137" s="382"/>
      <c r="V137" s="382"/>
      <c r="W137" s="382"/>
      <c r="X137" s="382"/>
      <c r="AB137" s="382"/>
      <c r="AC137" s="382"/>
      <c r="AD137" s="382"/>
      <c r="AE137" s="382"/>
      <c r="AF137" s="382"/>
      <c r="AG137" s="382"/>
    </row>
    <row r="138" spans="1:34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82"/>
      <c r="K138" s="382"/>
      <c r="L138" s="382"/>
      <c r="M138" s="382"/>
      <c r="N138" s="382"/>
      <c r="O138" s="382"/>
      <c r="S138" s="382"/>
      <c r="T138" s="382"/>
      <c r="U138" s="382"/>
      <c r="V138" s="382"/>
      <c r="W138" s="382"/>
      <c r="X138" s="382"/>
      <c r="AB138" s="382"/>
      <c r="AC138" s="382"/>
      <c r="AD138" s="382"/>
      <c r="AE138" s="382"/>
      <c r="AF138" s="382"/>
      <c r="AG138" s="382"/>
    </row>
    <row r="139" spans="1:34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82"/>
      <c r="K139" s="382"/>
      <c r="L139" s="382"/>
      <c r="M139" s="382"/>
      <c r="N139" s="382"/>
      <c r="O139" s="382"/>
      <c r="S139" s="382"/>
      <c r="T139" s="382"/>
      <c r="U139" s="382"/>
      <c r="V139" s="382"/>
      <c r="W139" s="382"/>
      <c r="X139" s="382"/>
      <c r="AB139" s="382"/>
      <c r="AC139" s="382"/>
      <c r="AD139" s="382"/>
      <c r="AE139" s="382"/>
      <c r="AF139" s="382"/>
      <c r="AG139" s="382"/>
    </row>
    <row r="140" spans="1:34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82"/>
      <c r="K140" s="382"/>
      <c r="L140" s="382"/>
      <c r="M140" s="382"/>
      <c r="N140" s="382"/>
      <c r="O140" s="382"/>
      <c r="S140" s="382"/>
      <c r="T140" s="382"/>
      <c r="U140" s="382"/>
      <c r="V140" s="382"/>
      <c r="W140" s="382"/>
      <c r="X140" s="382"/>
      <c r="AB140" s="382"/>
      <c r="AC140" s="382"/>
      <c r="AD140" s="382"/>
      <c r="AE140" s="382"/>
      <c r="AF140" s="382"/>
      <c r="AG140" s="382"/>
    </row>
    <row r="141" spans="1:34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17199.995999999999</v>
      </c>
      <c r="H141" s="122">
        <f>(H135+H136+H139+H140+H137)-H138</f>
        <v>19695</v>
      </c>
      <c r="J141" s="382"/>
      <c r="K141" s="382"/>
      <c r="L141" s="382"/>
      <c r="M141" s="382"/>
      <c r="N141" s="382"/>
      <c r="O141" s="382"/>
      <c r="S141" s="382"/>
      <c r="T141" s="382"/>
      <c r="U141" s="382"/>
      <c r="V141" s="382"/>
      <c r="W141" s="382"/>
      <c r="X141" s="382"/>
      <c r="AB141" s="382"/>
      <c r="AC141" s="382"/>
      <c r="AD141" s="382"/>
      <c r="AE141" s="382"/>
      <c r="AF141" s="382"/>
      <c r="AG141" s="382"/>
    </row>
    <row r="142" spans="1:34">
      <c r="A142" s="357" t="s">
        <v>179</v>
      </c>
      <c r="B142" s="357"/>
      <c r="C142" s="357"/>
      <c r="D142" s="357"/>
      <c r="E142" s="357"/>
      <c r="F142" s="357"/>
      <c r="G142" s="36">
        <f>F142</f>
        <v>0</v>
      </c>
      <c r="H142" s="36">
        <f>G142</f>
        <v>0</v>
      </c>
      <c r="J142" s="382"/>
      <c r="K142" s="382"/>
      <c r="L142" s="382"/>
      <c r="M142" s="382"/>
      <c r="N142" s="382"/>
      <c r="O142" s="382"/>
      <c r="S142" s="382"/>
      <c r="T142" s="382"/>
      <c r="U142" s="382"/>
      <c r="V142" s="382"/>
      <c r="W142" s="382"/>
      <c r="X142" s="382"/>
      <c r="AB142" s="382"/>
      <c r="AC142" s="382"/>
      <c r="AD142" s="382"/>
      <c r="AE142" s="382"/>
      <c r="AF142" s="382"/>
      <c r="AG142" s="382"/>
    </row>
    <row r="143" spans="1:34">
      <c r="A143" s="358" t="s">
        <v>180</v>
      </c>
      <c r="B143" s="358"/>
      <c r="C143" s="358"/>
      <c r="D143" s="358"/>
      <c r="E143" s="358"/>
      <c r="F143" s="358"/>
      <c r="G143" s="29"/>
      <c r="H143" s="29"/>
      <c r="J143" s="382"/>
      <c r="K143" s="382"/>
      <c r="L143" s="382"/>
      <c r="M143" s="382"/>
      <c r="N143" s="382"/>
      <c r="O143" s="382"/>
      <c r="S143" s="382"/>
      <c r="T143" s="382"/>
      <c r="U143" s="382"/>
      <c r="V143" s="382"/>
      <c r="W143" s="382"/>
      <c r="X143" s="382"/>
      <c r="AB143" s="382"/>
      <c r="AC143" s="382"/>
      <c r="AD143" s="382"/>
      <c r="AE143" s="382"/>
      <c r="AF143" s="382"/>
      <c r="AG143" s="382"/>
    </row>
    <row r="144" spans="1:34">
      <c r="A144" s="124" t="s">
        <v>26</v>
      </c>
      <c r="B144" s="360">
        <v>0</v>
      </c>
      <c r="C144" s="360"/>
      <c r="D144" s="360"/>
      <c r="E144" s="360"/>
      <c r="F144" s="360"/>
      <c r="G144" s="36">
        <v>0</v>
      </c>
      <c r="H144" s="36">
        <v>0</v>
      </c>
      <c r="K144" s="382"/>
      <c r="L144" s="382"/>
      <c r="M144" s="382"/>
      <c r="N144" s="382"/>
      <c r="O144" s="382"/>
      <c r="T144" s="382"/>
      <c r="U144" s="382"/>
      <c r="V144" s="382"/>
      <c r="W144" s="382"/>
      <c r="X144" s="382"/>
      <c r="AC144" s="382"/>
      <c r="AD144" s="382"/>
      <c r="AE144" s="382"/>
      <c r="AF144" s="382"/>
      <c r="AG144" s="382"/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36">
        <v>0</v>
      </c>
      <c r="H145" s="36">
        <v>0</v>
      </c>
      <c r="I145" s="4">
        <f>(G142+G145+G146+G144)</f>
        <v>0</v>
      </c>
      <c r="K145" s="382"/>
      <c r="L145" s="382"/>
      <c r="M145" s="382"/>
      <c r="N145" s="382"/>
      <c r="O145" s="382"/>
      <c r="T145" s="382"/>
      <c r="U145" s="382"/>
      <c r="V145" s="382"/>
      <c r="W145" s="382"/>
      <c r="X145" s="382"/>
      <c r="AC145" s="382"/>
      <c r="AD145" s="382"/>
      <c r="AE145" s="382"/>
      <c r="AF145" s="382"/>
      <c r="AG145" s="382"/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36">
        <v>0</v>
      </c>
      <c r="H146" s="36">
        <v>0</v>
      </c>
      <c r="I146" s="4">
        <f>(H142+H144+H145+H146)</f>
        <v>0</v>
      </c>
      <c r="K146" s="382"/>
      <c r="L146" s="382"/>
      <c r="M146" s="382"/>
      <c r="N146" s="382"/>
      <c r="O146" s="382"/>
      <c r="T146" s="382"/>
      <c r="U146" s="382"/>
      <c r="V146" s="382"/>
      <c r="W146" s="382"/>
      <c r="X146" s="382"/>
      <c r="AC146" s="382"/>
      <c r="AD146" s="382"/>
      <c r="AE146" s="382"/>
      <c r="AF146" s="382"/>
      <c r="AG146" s="382"/>
    </row>
    <row r="147" spans="1:35" ht="21">
      <c r="A147" s="357" t="s">
        <v>182</v>
      </c>
      <c r="B147" s="357"/>
      <c r="C147" s="357"/>
      <c r="D147" s="357"/>
      <c r="E147" s="357"/>
      <c r="F147" s="357"/>
      <c r="G147" s="126">
        <f>G141-((G144*1.2)+(G145*1.2)+(G146*1.2)+(G142*1.2))</f>
        <v>17199.995999999999</v>
      </c>
      <c r="H147" s="126">
        <f>H141-((H144*1.2)+(H145*1.2)+(H146*1.2)+(H142*1.2))</f>
        <v>19695</v>
      </c>
      <c r="J147" s="382"/>
      <c r="K147" s="382"/>
      <c r="L147" s="382"/>
      <c r="M147" s="382"/>
      <c r="N147" s="382"/>
      <c r="O147" s="382"/>
      <c r="S147" s="382"/>
      <c r="T147" s="382"/>
      <c r="U147" s="382"/>
      <c r="V147" s="382"/>
      <c r="W147" s="382"/>
      <c r="X147" s="382"/>
      <c r="AB147" s="382"/>
      <c r="AC147" s="382"/>
      <c r="AD147" s="382"/>
      <c r="AE147" s="382"/>
      <c r="AF147" s="382"/>
      <c r="AG147" s="382"/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2079.170000000001</v>
      </c>
      <c r="I148" s="4">
        <f>(H148-G81)/1.2</f>
        <v>-11767.358333333332</v>
      </c>
      <c r="J148" s="382"/>
      <c r="K148" s="382"/>
      <c r="L148" s="382"/>
      <c r="M148" s="382"/>
      <c r="N148" s="382"/>
      <c r="O148" s="382"/>
      <c r="S148" s="382"/>
      <c r="T148" s="382"/>
      <c r="U148" s="382"/>
      <c r="V148" s="382"/>
      <c r="W148" s="382"/>
      <c r="X148" s="382"/>
      <c r="AB148" s="382"/>
      <c r="AC148" s="382"/>
      <c r="AD148" s="382"/>
      <c r="AE148" s="382"/>
      <c r="AF148" s="382"/>
      <c r="AG148" s="382"/>
    </row>
    <row r="149" spans="1:35">
      <c r="A149" s="27"/>
      <c r="B149" s="28"/>
      <c r="C149" s="28"/>
      <c r="D149" s="28"/>
      <c r="E149" s="21"/>
      <c r="F149" s="21"/>
      <c r="G149" s="21"/>
      <c r="H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82"/>
      <c r="K150" s="382"/>
      <c r="L150" s="382"/>
      <c r="M150" s="382"/>
      <c r="N150" s="382"/>
      <c r="O150" s="382"/>
      <c r="P150" s="382"/>
      <c r="Q150" s="382"/>
      <c r="S150" s="382"/>
      <c r="T150" s="382"/>
      <c r="U150" s="382"/>
      <c r="V150" s="382"/>
      <c r="W150" s="382"/>
      <c r="X150" s="382"/>
      <c r="Y150" s="382"/>
      <c r="Z150" s="382"/>
      <c r="AB150" s="382"/>
      <c r="AC150" s="382"/>
      <c r="AD150" s="382"/>
      <c r="AE150" s="382"/>
      <c r="AF150" s="382"/>
      <c r="AG150" s="382"/>
      <c r="AH150" s="382"/>
      <c r="AI150" s="382"/>
    </row>
    <row r="151" spans="1:35">
      <c r="A151" s="27"/>
      <c r="B151" s="28"/>
      <c r="C151" s="28"/>
      <c r="D151" s="28"/>
      <c r="E151" s="21"/>
      <c r="F151" s="21"/>
      <c r="G151" s="21"/>
      <c r="H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N152" s="382"/>
      <c r="O152" s="382"/>
      <c r="P152" s="382"/>
      <c r="Q152" s="382"/>
      <c r="W152" s="382"/>
      <c r="X152" s="382"/>
      <c r="Y152" s="382"/>
      <c r="Z152" s="382"/>
      <c r="AF152" s="382"/>
      <c r="AG152" s="382"/>
      <c r="AH152" s="382"/>
      <c r="AI152" s="382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N153" s="382"/>
      <c r="O153" s="382"/>
      <c r="P153" s="382"/>
      <c r="Q153" s="382"/>
      <c r="W153" s="382"/>
      <c r="X153" s="382"/>
      <c r="Y153" s="382"/>
      <c r="Z153" s="382"/>
      <c r="AF153" s="382"/>
      <c r="AG153" s="382"/>
      <c r="AH153" s="382"/>
      <c r="AI153" s="382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N154" s="382"/>
      <c r="O154" s="382"/>
      <c r="P154" s="382"/>
      <c r="Q154" s="382"/>
      <c r="W154" s="382"/>
      <c r="X154" s="382"/>
      <c r="Y154" s="382"/>
      <c r="Z154" s="382"/>
      <c r="AF154" s="382"/>
      <c r="AG154" s="382"/>
      <c r="AH154" s="382"/>
      <c r="AI154" s="382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N155" s="382"/>
      <c r="O155" s="382"/>
      <c r="W155" s="382"/>
      <c r="X155" s="382"/>
      <c r="AF155" s="382"/>
      <c r="AG155" s="382"/>
    </row>
    <row r="156" spans="1:35">
      <c r="A156" s="27" t="s">
        <v>189</v>
      </c>
      <c r="B156" s="28"/>
      <c r="C156" s="28"/>
      <c r="D156" s="21"/>
      <c r="E156" s="28"/>
      <c r="F156" s="21"/>
      <c r="G156" s="21"/>
      <c r="H156" s="36">
        <v>1150</v>
      </c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0</v>
      </c>
      <c r="H157" s="365"/>
      <c r="P157" s="382"/>
      <c r="Q157" s="382"/>
      <c r="Y157" s="382"/>
      <c r="Z157" s="382"/>
      <c r="AH157" s="382"/>
      <c r="AI157" s="382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20845</v>
      </c>
      <c r="H158" s="366"/>
      <c r="P158" s="382"/>
      <c r="Q158" s="382"/>
      <c r="Y158" s="382"/>
      <c r="Z158" s="382"/>
      <c r="AH158" s="382"/>
      <c r="AI158" s="382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1000</v>
      </c>
      <c r="H159" s="367"/>
      <c r="P159" s="382"/>
      <c r="Q159" s="382"/>
      <c r="Y159" s="382"/>
      <c r="Z159" s="382"/>
      <c r="AH159" s="382"/>
      <c r="AI159" s="382"/>
    </row>
    <row r="160" spans="1:35">
      <c r="A160" s="27"/>
      <c r="B160" s="28"/>
      <c r="C160" s="28"/>
      <c r="D160" s="28"/>
      <c r="E160" s="21"/>
      <c r="F160" s="21"/>
      <c r="G160" s="21"/>
      <c r="H160" s="29"/>
    </row>
    <row r="161" spans="1:35">
      <c r="A161" s="27"/>
      <c r="B161" s="28"/>
      <c r="C161" s="28"/>
      <c r="D161" s="28"/>
      <c r="E161" s="21"/>
      <c r="F161" s="21"/>
      <c r="G161" s="21"/>
      <c r="H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82"/>
      <c r="K162" s="382"/>
      <c r="L162" s="382"/>
      <c r="M162" s="382"/>
      <c r="N162" s="382"/>
      <c r="O162" s="382"/>
      <c r="P162" s="382"/>
      <c r="Q162" s="382"/>
      <c r="S162" s="382"/>
      <c r="T162" s="382"/>
      <c r="U162" s="382"/>
      <c r="V162" s="382"/>
      <c r="W162" s="382"/>
      <c r="X162" s="382"/>
      <c r="Y162" s="382"/>
      <c r="Z162" s="382"/>
      <c r="AB162" s="382"/>
      <c r="AC162" s="382"/>
      <c r="AD162" s="382"/>
      <c r="AE162" s="382"/>
      <c r="AF162" s="382"/>
      <c r="AG162" s="382"/>
      <c r="AH162" s="382"/>
      <c r="AI162" s="382"/>
    </row>
    <row r="163" spans="1:35">
      <c r="A163" s="27"/>
      <c r="B163" s="28"/>
      <c r="C163" s="28"/>
      <c r="D163" s="28"/>
      <c r="E163" s="21"/>
      <c r="F163" s="21"/>
      <c r="G163" s="21"/>
      <c r="H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K164" s="382"/>
      <c r="L164" s="382"/>
      <c r="T164" s="382"/>
      <c r="U164" s="382"/>
      <c r="AC164" s="382"/>
      <c r="AD164" s="382"/>
    </row>
    <row r="165" spans="1:35">
      <c r="A165" s="27"/>
      <c r="B165" s="28"/>
      <c r="C165" s="28"/>
      <c r="D165" s="28"/>
      <c r="E165" s="21"/>
      <c r="F165" s="21"/>
      <c r="G165" s="21"/>
      <c r="H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</row>
    <row r="167" spans="1:35">
      <c r="A167" s="189">
        <f>B95</f>
        <v>952.14050266618403</v>
      </c>
      <c r="B167" s="133" t="str">
        <f>B94</f>
        <v>0</v>
      </c>
      <c r="C167" s="131"/>
      <c r="D167" s="131"/>
      <c r="E167" s="133">
        <f>B96</f>
        <v>952.14050266618403</v>
      </c>
      <c r="F167" s="21"/>
      <c r="G167" s="21">
        <f>ROUND(G95,2)</f>
        <v>887.44</v>
      </c>
      <c r="H167" s="29"/>
    </row>
    <row r="168" spans="1:35">
      <c r="A168" s="27"/>
      <c r="B168" s="28"/>
      <c r="C168" s="28"/>
      <c r="D168" s="28"/>
      <c r="E168" s="21"/>
      <c r="F168" s="21"/>
      <c r="G168" s="21"/>
      <c r="H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</row>
    <row r="170" spans="1:35">
      <c r="A170" s="134" t="str">
        <f>H29</f>
        <v>12</v>
      </c>
      <c r="B170" s="170" t="str">
        <f>H30</f>
        <v>5000</v>
      </c>
      <c r="C170" s="136"/>
      <c r="D170" s="21"/>
      <c r="E170" s="137">
        <v>7200</v>
      </c>
      <c r="F170" s="21"/>
      <c r="G170" s="21"/>
      <c r="H170" s="29"/>
    </row>
    <row r="171" spans="1:35">
      <c r="A171" s="27"/>
      <c r="B171" s="28"/>
      <c r="C171" s="28"/>
      <c r="D171" s="21"/>
      <c r="E171" s="28"/>
      <c r="F171" s="21"/>
      <c r="G171" s="21"/>
      <c r="H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</row>
    <row r="173" spans="1:35">
      <c r="A173" s="138">
        <f>H141-H137-H139-H140</f>
        <v>16412.5</v>
      </c>
      <c r="B173" s="34">
        <f>H137</f>
        <v>3282.5</v>
      </c>
      <c r="C173" s="38"/>
      <c r="D173" s="21"/>
      <c r="E173" s="137">
        <f>H139+H140</f>
        <v>0</v>
      </c>
      <c r="F173" s="21"/>
      <c r="G173" s="21"/>
      <c r="H173" s="29"/>
    </row>
    <row r="174" spans="1:35">
      <c r="A174" s="27"/>
      <c r="B174" s="28"/>
      <c r="C174" s="28"/>
      <c r="D174" s="21"/>
      <c r="E174" s="28"/>
      <c r="F174" s="21"/>
      <c r="G174" s="21"/>
      <c r="H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</row>
    <row r="176" spans="1:35">
      <c r="A176" s="138">
        <f>H147</f>
        <v>19695</v>
      </c>
      <c r="B176" s="34">
        <f>B111</f>
        <v>0</v>
      </c>
      <c r="C176" s="34"/>
      <c r="D176" s="21"/>
      <c r="E176" s="34">
        <f>E111</f>
        <v>0</v>
      </c>
      <c r="F176" s="21"/>
      <c r="G176" s="21"/>
      <c r="H176" s="90"/>
    </row>
    <row r="177" spans="1:8">
      <c r="A177" s="27"/>
      <c r="B177" s="28"/>
      <c r="C177" s="28"/>
      <c r="D177" s="21"/>
      <c r="E177" s="28"/>
      <c r="F177" s="21"/>
      <c r="G177" s="21"/>
      <c r="H177" s="29"/>
    </row>
    <row r="178" spans="1:8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</row>
    <row r="179" spans="1:8">
      <c r="A179" s="94">
        <f>B176+E176</f>
        <v>0</v>
      </c>
      <c r="B179" s="34">
        <f>G154</f>
        <v>0</v>
      </c>
      <c r="C179" s="34"/>
      <c r="D179" s="21"/>
      <c r="E179" s="34">
        <f>G158</f>
        <v>20845</v>
      </c>
      <c r="F179" s="21"/>
      <c r="G179" s="21"/>
      <c r="H179" s="90"/>
    </row>
    <row r="180" spans="1:8">
      <c r="A180" s="27"/>
      <c r="B180" s="28"/>
      <c r="C180" s="28"/>
      <c r="D180" s="21"/>
      <c r="E180" s="28"/>
      <c r="F180" s="21"/>
      <c r="G180" s="21"/>
      <c r="H180" s="29"/>
    </row>
    <row r="181" spans="1:8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</row>
    <row r="182" spans="1:8">
      <c r="A182" s="94">
        <f>(A167*B59)+E185-E179-A185</f>
        <v>-3171.4544706719753</v>
      </c>
      <c r="B182" s="34">
        <f>B114</f>
        <v>1000</v>
      </c>
      <c r="C182" s="34"/>
      <c r="D182" s="21"/>
      <c r="E182" s="34">
        <f>E179+A182+B182+A185</f>
        <v>18683.545529328025</v>
      </c>
      <c r="F182" s="21"/>
      <c r="G182" s="21"/>
      <c r="H182" s="90"/>
    </row>
    <row r="183" spans="1:8">
      <c r="A183" s="27"/>
      <c r="B183" s="28"/>
      <c r="C183" s="28"/>
      <c r="D183" s="21"/>
      <c r="E183" s="28"/>
      <c r="F183" s="21"/>
      <c r="G183" s="21"/>
      <c r="H183" s="29"/>
    </row>
    <row r="184" spans="1:8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</row>
    <row r="185" spans="1:8">
      <c r="A185" s="94">
        <f>B60</f>
        <v>10</v>
      </c>
      <c r="B185" s="34">
        <f>A179+B182</f>
        <v>1000</v>
      </c>
      <c r="C185" s="34"/>
      <c r="D185" s="21"/>
      <c r="E185" s="34">
        <f>IF( E170=0, A185+E167, E170+A185)</f>
        <v>7210</v>
      </c>
      <c r="F185" s="21"/>
      <c r="G185" s="21"/>
      <c r="H185" s="90"/>
    </row>
    <row r="186" spans="1:8">
      <c r="A186" s="27"/>
      <c r="B186" s="28"/>
      <c r="C186" s="28"/>
      <c r="D186" s="28"/>
      <c r="E186" s="21"/>
      <c r="F186" s="21"/>
      <c r="G186" s="21"/>
      <c r="H186" s="29"/>
    </row>
    <row r="187" spans="1:8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</row>
    <row r="188" spans="1:8">
      <c r="A188" s="94">
        <f>J18*0.000002*100*1.2</f>
        <v>9.7262399999999989</v>
      </c>
      <c r="B188" s="34">
        <f>(G158*B67)</f>
        <v>1042.25</v>
      </c>
      <c r="C188" s="28"/>
      <c r="D188" s="28"/>
      <c r="E188" s="34">
        <f>IF(E105="YES",(H36*A108)*0.1,0)</f>
        <v>0</v>
      </c>
      <c r="F188" s="21"/>
      <c r="G188" s="21"/>
      <c r="H188" s="29"/>
    </row>
    <row r="189" spans="1:8">
      <c r="A189" s="94"/>
      <c r="B189" s="34"/>
      <c r="C189" s="28"/>
      <c r="D189" s="28"/>
      <c r="E189" s="21"/>
      <c r="F189" s="21"/>
      <c r="G189" s="21"/>
      <c r="H189" s="29"/>
    </row>
    <row r="190" spans="1:8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</row>
    <row r="191" spans="1:8">
      <c r="A191" s="94">
        <v>10</v>
      </c>
      <c r="B191" s="34">
        <f>B188+E188+A191</f>
        <v>1052.25</v>
      </c>
      <c r="C191" s="28"/>
      <c r="D191" s="28"/>
      <c r="E191" s="34">
        <f>H148</f>
        <v>2079.170000000001</v>
      </c>
      <c r="F191" s="21"/>
      <c r="G191" s="21"/>
      <c r="H191" s="29"/>
    </row>
    <row r="192" spans="1:8">
      <c r="A192" s="27"/>
      <c r="B192" s="28"/>
      <c r="C192" s="28"/>
      <c r="D192" s="28"/>
      <c r="E192" s="21"/>
      <c r="F192" s="21"/>
      <c r="G192" s="21"/>
      <c r="H192" s="29"/>
    </row>
    <row r="193" spans="1:31">
      <c r="A193" s="58" t="s">
        <v>214</v>
      </c>
      <c r="B193" s="28"/>
      <c r="C193" s="28"/>
      <c r="D193" s="59"/>
      <c r="E193" s="59"/>
      <c r="F193" s="59"/>
      <c r="G193" s="59"/>
      <c r="H193" s="60"/>
    </row>
    <row r="194" spans="1:31">
      <c r="A194" s="27"/>
      <c r="B194" s="61"/>
      <c r="C194" s="61"/>
      <c r="D194" s="28"/>
      <c r="E194" s="21"/>
      <c r="F194" s="21"/>
      <c r="G194" s="21"/>
      <c r="H194" s="29"/>
    </row>
    <row r="195" spans="1:31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82"/>
      <c r="K195" s="382"/>
      <c r="L195" s="382"/>
      <c r="M195" s="382"/>
      <c r="S195" s="382"/>
      <c r="T195" s="382"/>
      <c r="U195" s="382"/>
      <c r="V195" s="382"/>
      <c r="AB195" s="382"/>
      <c r="AC195" s="382"/>
      <c r="AD195" s="382"/>
      <c r="AE195" s="382"/>
    </row>
    <row r="196" spans="1:31" ht="19.5" customHeight="1">
      <c r="A196" s="369"/>
      <c r="B196" s="342" t="str">
        <f>H30</f>
        <v>5000</v>
      </c>
      <c r="C196" s="342"/>
      <c r="D196" s="342"/>
      <c r="E196" s="21"/>
      <c r="F196" s="21"/>
      <c r="G196" s="21"/>
      <c r="H196" s="29"/>
      <c r="J196" s="382"/>
      <c r="K196" s="382"/>
      <c r="L196" s="382"/>
      <c r="M196" s="382"/>
      <c r="S196" s="382"/>
      <c r="T196" s="382"/>
      <c r="U196" s="382"/>
      <c r="V196" s="382"/>
      <c r="AB196" s="382"/>
      <c r="AC196" s="382"/>
      <c r="AD196" s="382"/>
      <c r="AE196" s="382"/>
    </row>
    <row r="197" spans="1:31">
      <c r="A197" s="62" t="str">
        <f>H29</f>
        <v>12</v>
      </c>
      <c r="B197" s="343">
        <f>B96</f>
        <v>952.14050266618403</v>
      </c>
      <c r="C197" s="343"/>
      <c r="D197" s="343"/>
      <c r="E197" s="21"/>
      <c r="F197" s="21"/>
      <c r="G197" s="21"/>
      <c r="H197" s="29"/>
      <c r="K197" s="382"/>
      <c r="L197" s="382"/>
      <c r="M197" s="382"/>
      <c r="T197" s="382"/>
      <c r="U197" s="382"/>
      <c r="V197" s="382"/>
      <c r="AC197" s="382"/>
      <c r="AD197" s="382"/>
      <c r="AE197" s="382"/>
    </row>
    <row r="198" spans="1:31">
      <c r="A198" s="27"/>
      <c r="B198" s="28"/>
      <c r="C198" s="28"/>
      <c r="D198" s="28"/>
      <c r="E198" s="21"/>
      <c r="F198" s="21"/>
      <c r="G198" s="21"/>
      <c r="H198" s="29"/>
    </row>
    <row r="199" spans="1:31">
      <c r="A199" s="27"/>
      <c r="B199" s="28"/>
      <c r="C199" s="28"/>
      <c r="D199" s="28"/>
      <c r="E199" s="21"/>
      <c r="F199" s="21"/>
      <c r="G199" s="21"/>
      <c r="H199" s="29"/>
    </row>
    <row r="200" spans="1:31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</row>
    <row r="201" spans="1:31">
      <c r="A201" s="32">
        <f>IF(A40=0,((G167*(B59+1))-E179),((G167*B59)+E185-E179-A185))</f>
        <v>-3883.16</v>
      </c>
      <c r="B201" s="38">
        <f>E179+A201+B182+A185</f>
        <v>17971.84</v>
      </c>
      <c r="C201" s="28"/>
      <c r="D201" s="28"/>
      <c r="E201" s="21"/>
      <c r="F201" s="21"/>
      <c r="G201" s="21"/>
      <c r="H201" s="29"/>
    </row>
    <row r="202" spans="1:31">
      <c r="A202" s="49"/>
      <c r="B202" s="50"/>
      <c r="C202" s="50"/>
      <c r="D202" s="50"/>
      <c r="E202" s="50"/>
      <c r="F202" s="50"/>
      <c r="G202" s="50"/>
      <c r="H202" s="57"/>
    </row>
    <row r="206" spans="1:31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1">
      <c r="A207" s="27"/>
      <c r="B207" s="28"/>
      <c r="C207" s="28"/>
      <c r="D207" s="28"/>
      <c r="E207" s="21"/>
      <c r="F207" s="21"/>
      <c r="G207" s="21"/>
      <c r="H207" s="29"/>
    </row>
    <row r="208" spans="1:31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30" t="s">
        <v>279</v>
      </c>
      <c r="B209" s="131" t="str">
        <f>A197</f>
        <v>12</v>
      </c>
      <c r="C209" s="131"/>
      <c r="D209" s="131"/>
      <c r="E209" s="131" t="str">
        <f>B196</f>
        <v>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952.14050266618403</v>
      </c>
      <c r="B212" s="133" t="str">
        <f>B167</f>
        <v>0</v>
      </c>
      <c r="C212" s="131"/>
      <c r="D212" s="131"/>
      <c r="E212" s="133">
        <f>E167</f>
        <v>952.14050266618403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16412.5</v>
      </c>
      <c r="B215" s="34">
        <f>B173</f>
        <v>3282.5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19695</v>
      </c>
      <c r="B218" s="34">
        <f>B176</f>
        <v>0</v>
      </c>
      <c r="C218" s="34"/>
      <c r="D218" s="21"/>
      <c r="E218" s="34">
        <f>E176</f>
        <v>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0</v>
      </c>
      <c r="B221" s="34">
        <f>B179</f>
        <v>0</v>
      </c>
      <c r="C221" s="34"/>
      <c r="D221" s="21"/>
      <c r="E221" s="34">
        <f>E179</f>
        <v>20845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-3171.4544706719753</v>
      </c>
      <c r="B224" s="34">
        <f>B182</f>
        <v>1000</v>
      </c>
      <c r="C224" s="34"/>
      <c r="D224" s="21"/>
      <c r="E224" s="34">
        <f>E182</f>
        <v>18683.545529328025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1000</v>
      </c>
      <c r="C227" s="34"/>
      <c r="D227" s="21"/>
      <c r="E227" s="34">
        <f>B59</f>
        <v>11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952.14050266618403</v>
      </c>
      <c r="B230" s="34" t="str">
        <f>B167</f>
        <v>0</v>
      </c>
      <c r="C230" s="38"/>
      <c r="D230" s="38"/>
      <c r="E230" s="34">
        <f>E167</f>
        <v>952.14050266618403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198</v>
      </c>
      <c r="B232" s="28" t="s">
        <v>220</v>
      </c>
      <c r="C232" s="28"/>
      <c r="D232" s="28"/>
      <c r="E232" s="28" t="s">
        <v>221</v>
      </c>
      <c r="F232" s="21"/>
      <c r="G232" s="21"/>
      <c r="H232" s="29"/>
    </row>
    <row r="233" spans="1:8">
      <c r="A233" s="94">
        <f>E170</f>
        <v>7200</v>
      </c>
      <c r="B233" s="34">
        <f>E185</f>
        <v>7210</v>
      </c>
      <c r="C233" s="28"/>
      <c r="D233" s="28"/>
      <c r="E233" s="34">
        <f>A188</f>
        <v>9.7262399999999989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142</v>
      </c>
      <c r="B235" s="34"/>
      <c r="C235" s="28"/>
      <c r="D235" s="28"/>
      <c r="E235" s="34"/>
      <c r="F235" s="21"/>
      <c r="G235" s="21"/>
      <c r="H235" s="29"/>
    </row>
    <row r="236" spans="1:8">
      <c r="A236" s="94"/>
      <c r="B236" s="34"/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2079.170000000001</v>
      </c>
      <c r="B240" s="34">
        <f>B188</f>
        <v>1042.25</v>
      </c>
      <c r="C240" s="28"/>
      <c r="D240" s="28"/>
      <c r="E240" s="34">
        <f>E188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1981.420000000001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B63</f>
        <v>6.5000000000000002E-2</v>
      </c>
      <c r="C253" s="144"/>
      <c r="D253" s="374" t="s">
        <v>226</v>
      </c>
      <c r="E253" s="374"/>
      <c r="F253" s="143">
        <f>B83</f>
        <v>0.1255</v>
      </c>
      <c r="G253" s="21"/>
      <c r="H253" s="29"/>
    </row>
    <row r="254" spans="1:8">
      <c r="A254" s="139" t="s">
        <v>227</v>
      </c>
      <c r="B254" s="145">
        <f>(E182-B182)-(B201-B182-A185)</f>
        <v>721.70552932802457</v>
      </c>
      <c r="C254" s="144"/>
      <c r="D254" s="374" t="s">
        <v>228</v>
      </c>
      <c r="E254" s="374"/>
      <c r="F254" s="146">
        <f>F261+F267+F269+B270+B271</f>
        <v>1042.25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-310.54447067197543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0.1255</v>
      </c>
      <c r="C260" s="38"/>
      <c r="D260" s="363" t="s">
        <v>227</v>
      </c>
      <c r="E260" s="363"/>
      <c r="F260" s="115">
        <f>(B89*B59)-(C89*B59)</f>
        <v>0</v>
      </c>
      <c r="G260" s="21"/>
      <c r="H260" s="29"/>
    </row>
    <row r="261" spans="1:8">
      <c r="A261" s="27" t="s">
        <v>233</v>
      </c>
      <c r="B261" s="155">
        <f>B67</f>
        <v>0.05</v>
      </c>
      <c r="C261" s="28"/>
      <c r="D261" s="363" t="s">
        <v>233</v>
      </c>
      <c r="E261" s="363"/>
      <c r="F261" s="119">
        <f>B68</f>
        <v>1042.25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-310.54447067197543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71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A100:H100"/>
    <mergeCell ref="J100:Q100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G42:H42"/>
    <mergeCell ref="B44:C44"/>
    <mergeCell ref="D44:E44"/>
    <mergeCell ref="B47:C47"/>
    <mergeCell ref="D47:E47"/>
    <mergeCell ref="A51:A52"/>
    <mergeCell ref="B51:C51"/>
    <mergeCell ref="B52:C52"/>
    <mergeCell ref="B53:C53"/>
    <mergeCell ref="B30:C30"/>
    <mergeCell ref="B32:C32"/>
    <mergeCell ref="D32:E32"/>
    <mergeCell ref="B35:C35"/>
    <mergeCell ref="D35:E35"/>
    <mergeCell ref="B38:C38"/>
    <mergeCell ref="D38:E38"/>
    <mergeCell ref="J38:K38"/>
    <mergeCell ref="B41:C41"/>
    <mergeCell ref="D41:E41"/>
    <mergeCell ref="A1:F1"/>
    <mergeCell ref="D7:E18"/>
    <mergeCell ref="A16:C18"/>
    <mergeCell ref="A19:D19"/>
    <mergeCell ref="A21:D21"/>
    <mergeCell ref="A24:E24"/>
    <mergeCell ref="A26:E26"/>
    <mergeCell ref="B29:C29"/>
    <mergeCell ref="D29:E29"/>
  </mergeCells>
  <dataValidations count="4">
    <dataValidation type="list" allowBlank="1" showErrorMessage="1" sqref="B38" xr:uid="{00000000-0002-0000-0600-000001000000}">
      <formula1>$Z$19:$Z$20</formula1>
      <formula2>0</formula2>
    </dataValidation>
    <dataValidation type="list" allowBlank="1" showInputMessage="1" showErrorMessage="1" sqref="B105 C108:D108 A144:A146" xr:uid="{00000000-0002-0000-0600-000002000000}">
      <formula1>#REF!</formula1>
      <formula2>0</formula2>
    </dataValidation>
    <dataValidation type="list" allowBlank="1" showInputMessage="1" showErrorMessage="1" sqref="E105 A111" xr:uid="{00000000-0002-0000-0600-000003000000}">
      <formula1>"YES,NO"</formula1>
      <formula2>0</formula2>
    </dataValidation>
    <dataValidation type="list" allowBlank="1" showInputMessage="1" showErrorMessage="1" sqref="B108" xr:uid="{00000000-0002-0000-0600-000004000000}">
      <formula1>"A1 Credit,Limited Credit"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6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P272"/>
  <sheetViews>
    <sheetView topLeftCell="A248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6" customWidth="true" style="4" width="18.875"/>
    <col min="7" max="7" customWidth="true" style="4" width="23.125"/>
    <col min="8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30" t="s">
        <v>14</v>
      </c>
      <c r="B1" s="330"/>
      <c r="C1" s="330"/>
      <c r="D1" s="330"/>
      <c r="E1" s="330"/>
      <c r="F1" s="330"/>
      <c r="J1" s="5"/>
    </row>
    <row r="2" spans="1:25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J2" s="5"/>
    </row>
    <row r="3" spans="1:25">
      <c r="A3" s="9"/>
      <c r="B3" s="9"/>
      <c r="C3" s="9"/>
      <c r="D3" s="9"/>
      <c r="E3" s="9"/>
      <c r="F3" s="6" t="s">
        <v>10</v>
      </c>
      <c r="J3" s="5"/>
    </row>
    <row r="4" spans="1:25">
      <c r="A4" s="6" t="s">
        <v>18</v>
      </c>
      <c r="B4" s="7">
        <f>B15+C15</f>
        <v>17199.995999999999</v>
      </c>
      <c r="C4" s="9"/>
      <c r="D4" s="9"/>
      <c r="E4" s="9"/>
      <c r="F4" s="6" t="s">
        <v>10</v>
      </c>
      <c r="H4" s="10"/>
      <c r="J4" s="5"/>
    </row>
    <row r="5" spans="1:25">
      <c r="A5" s="11"/>
      <c r="B5" s="11"/>
      <c r="C5" s="11"/>
      <c r="D5" s="11"/>
      <c r="E5" s="11"/>
      <c r="F5" s="11" t="s">
        <v>10</v>
      </c>
      <c r="J5" s="5"/>
    </row>
    <row r="6" spans="1:25">
      <c r="A6" s="11"/>
      <c r="B6" s="11"/>
      <c r="C6" s="11"/>
      <c r="D6" s="11"/>
      <c r="E6" s="11"/>
      <c r="F6" s="11"/>
      <c r="J6" s="5"/>
    </row>
    <row r="7" spans="1:25">
      <c r="A7" s="12" t="s">
        <v>19</v>
      </c>
      <c r="B7" s="12" t="s">
        <v>20</v>
      </c>
      <c r="C7" s="12" t="s">
        <v>16</v>
      </c>
      <c r="D7" s="331"/>
      <c r="E7" s="331"/>
      <c r="F7" s="11"/>
      <c r="J7" s="5"/>
    </row>
    <row r="8" spans="1:25">
      <c r="A8" s="13"/>
      <c r="B8" s="11"/>
      <c r="C8" s="11"/>
      <c r="D8" s="331"/>
      <c r="E8" s="331"/>
      <c r="F8" s="11"/>
      <c r="J8" s="5"/>
      <c r="L8" s="14" t="s">
        <v>17</v>
      </c>
      <c r="M8" s="11">
        <f>H13+H14</f>
        <v>0</v>
      </c>
    </row>
    <row r="9" spans="1:25">
      <c r="A9" s="12" t="s">
        <v>21</v>
      </c>
      <c r="B9" s="15">
        <v>14333.33</v>
      </c>
      <c r="C9" s="11">
        <f>B9*0.2</f>
        <v>2866.6660000000002</v>
      </c>
      <c r="D9" s="331"/>
      <c r="E9" s="331"/>
      <c r="F9" s="11"/>
      <c r="J9" s="5"/>
      <c r="L9" s="11"/>
      <c r="M9" s="11"/>
    </row>
    <row r="10" spans="1:25">
      <c r="A10" s="12"/>
      <c r="B10" s="11"/>
      <c r="C10" s="11"/>
      <c r="D10" s="331"/>
      <c r="E10" s="331"/>
      <c r="F10" s="11"/>
      <c r="J10" s="5"/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31"/>
      <c r="E11" s="331"/>
      <c r="F11" s="11"/>
      <c r="J11" s="5"/>
      <c r="L11" s="11"/>
      <c r="M11" s="11"/>
    </row>
    <row r="12" spans="1:25">
      <c r="A12" s="12"/>
      <c r="B12" s="11"/>
      <c r="C12" s="11"/>
      <c r="D12" s="331"/>
      <c r="E12" s="331"/>
      <c r="F12" s="11"/>
      <c r="J12" s="5"/>
    </row>
    <row r="13" spans="1:25">
      <c r="A13" s="12" t="s">
        <v>23</v>
      </c>
      <c r="B13" s="15">
        <v>0</v>
      </c>
      <c r="C13" s="11"/>
      <c r="D13" s="331"/>
      <c r="E13" s="331"/>
      <c r="F13" s="11"/>
      <c r="J13" s="5"/>
    </row>
    <row r="14" spans="1:25">
      <c r="A14" s="12"/>
      <c r="B14" s="11"/>
      <c r="C14" s="11"/>
      <c r="D14" s="331"/>
      <c r="E14" s="331"/>
      <c r="F14" s="11"/>
      <c r="J14" s="5" t="s">
        <v>24</v>
      </c>
    </row>
    <row r="15" spans="1:25">
      <c r="A15" s="12" t="s">
        <v>25</v>
      </c>
      <c r="B15" s="11">
        <f>SUM(B9:B13)</f>
        <v>14333.33</v>
      </c>
      <c r="C15" s="11">
        <f>SUM(C9:C13)</f>
        <v>2866.6660000000002</v>
      </c>
      <c r="D15" s="331"/>
      <c r="E15" s="331"/>
      <c r="F15" s="11"/>
      <c r="J15" s="17">
        <f>H15</f>
        <v>0</v>
      </c>
    </row>
    <row r="16" spans="1:25">
      <c r="A16" s="332"/>
      <c r="B16" s="332"/>
      <c r="C16" s="332"/>
      <c r="D16" s="331"/>
      <c r="E16" s="331"/>
      <c r="F16" s="11"/>
      <c r="J16" s="5"/>
      <c r="Y16" s="18" t="s">
        <v>26</v>
      </c>
    </row>
    <row r="17" spans="1:26">
      <c r="A17" s="332"/>
      <c r="B17" s="332"/>
      <c r="C17" s="332"/>
      <c r="D17" s="331"/>
      <c r="E17" s="331"/>
      <c r="F17" s="11"/>
      <c r="J17" s="19" t="s">
        <v>27</v>
      </c>
      <c r="Y17" s="18" t="s">
        <v>28</v>
      </c>
    </row>
    <row r="18" spans="1:26">
      <c r="A18" s="332"/>
      <c r="B18" s="332"/>
      <c r="C18" s="332"/>
      <c r="D18" s="331"/>
      <c r="E18" s="331"/>
      <c r="F18" s="11"/>
      <c r="J18" s="20">
        <v>40526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17199.995999999999</v>
      </c>
      <c r="F19" s="11"/>
      <c r="J19" s="5"/>
      <c r="Z19" s="5" t="s">
        <v>31</v>
      </c>
    </row>
    <row r="20" spans="1:26">
      <c r="A20" s="11"/>
      <c r="B20" s="11"/>
      <c r="C20" s="11"/>
      <c r="D20" s="11"/>
      <c r="E20" s="11"/>
      <c r="F20" s="11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14333.33</v>
      </c>
      <c r="F21" s="11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76" t="s">
        <v>246</v>
      </c>
      <c r="B24" s="376"/>
      <c r="C24" s="376"/>
      <c r="D24" s="376"/>
      <c r="E24" s="376"/>
      <c r="F24" s="55"/>
      <c r="G24" s="55"/>
      <c r="H24" s="55"/>
    </row>
    <row r="25" spans="1:26">
      <c r="A25" s="157"/>
      <c r="B25" s="158"/>
      <c r="C25" s="158"/>
      <c r="D25" s="158"/>
      <c r="E25" s="159"/>
      <c r="F25" s="55"/>
      <c r="G25" s="55"/>
      <c r="H25" s="55"/>
    </row>
    <row r="26" spans="1:26" ht="23.25">
      <c r="A26" s="377" t="s">
        <v>247</v>
      </c>
      <c r="B26" s="377"/>
      <c r="C26" s="377"/>
      <c r="D26" s="377"/>
      <c r="E26" s="377"/>
      <c r="F26" s="55"/>
      <c r="G26" s="160"/>
      <c r="H26" s="160"/>
    </row>
    <row r="27" spans="1:26">
      <c r="A27" s="157"/>
      <c r="B27" s="158"/>
      <c r="C27" s="158"/>
      <c r="D27" s="158"/>
      <c r="E27" s="159"/>
      <c r="F27" s="55"/>
      <c r="G27" s="161" t="s">
        <v>96</v>
      </c>
      <c r="H27" s="161">
        <f>IF(A32=Y104,1,IF(A32=Y105,1,IF(A32=Y106,3,IF(A32=Y107,6,IF(A32=Y108,9,IF(A32=Y109,12,IF(A32=Y110,3,IF(A32=Y111,6,IF(A32=Y112,9,0)))))))))</f>
        <v>0</v>
      </c>
    </row>
    <row r="28" spans="1:26" ht="37.5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IF(A32=Y104,H29-H37,IF(A32=Y105,H29-H37,IF(A32=Y106,H29-1,IF(A32=Y107,H29-1,IF(A32=Y108,H29-1,IF(A32=Y109,H29-1,IF(A32=Y110,H29-H37,IF(A32=Y111,H29-H37,IF(A32=Y112,H29-H37,0)))))))))</f>
        <v>0</v>
      </c>
    </row>
    <row r="29" spans="1:26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 t="str">
        <f>B35</f>
        <v>12</v>
      </c>
    </row>
    <row r="30" spans="1:26">
      <c r="A30" s="157"/>
      <c r="B30" s="380"/>
      <c r="C30" s="380"/>
      <c r="D30" s="158"/>
      <c r="E30" s="159"/>
      <c r="F30" s="55"/>
      <c r="G30" s="160" t="s">
        <v>45</v>
      </c>
      <c r="H30" s="160" t="str">
        <f>D35</f>
        <v>5000</v>
      </c>
    </row>
    <row r="31" spans="1:26" ht="37.5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</row>
    <row r="32" spans="1:26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>
        <f>A41</f>
        <v>0</v>
      </c>
      <c r="J32" s="39" t="s">
        <v>50</v>
      </c>
      <c r="K32" s="190" t="s">
        <v>409</v>
      </c>
    </row>
    <row r="33" spans="1:16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J33" s="39"/>
      <c r="K33" s="13"/>
    </row>
    <row r="34" spans="1:16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J34" s="39" t="s">
        <v>57</v>
      </c>
      <c r="K34" s="44" t="s">
        <v>398</v>
      </c>
    </row>
    <row r="35" spans="1:16">
      <c r="A35" s="167">
        <f>B32+D32</f>
        <v>500</v>
      </c>
      <c r="B35" s="378" t="s">
        <v>393</v>
      </c>
      <c r="C35" s="378"/>
      <c r="D35" s="378" t="s">
        <v>397</v>
      </c>
      <c r="E35" s="378"/>
      <c r="F35" s="55"/>
      <c r="G35" s="46"/>
      <c r="H35" s="174"/>
      <c r="J35" s="39"/>
      <c r="K35" s="13">
        <v>6.5000000000000002E-2</v>
      </c>
    </row>
    <row r="36" spans="1:16">
      <c r="A36" s="157"/>
      <c r="B36" s="158"/>
      <c r="C36" s="158"/>
      <c r="D36" s="158"/>
      <c r="E36" s="159"/>
      <c r="F36" s="55"/>
      <c r="G36" s="55" t="s">
        <v>91</v>
      </c>
      <c r="H36" s="56">
        <v>0</v>
      </c>
      <c r="J36" s="39" t="s">
        <v>64</v>
      </c>
      <c r="K36" s="47">
        <f>K32-K34</f>
        <v>16200</v>
      </c>
    </row>
    <row r="37" spans="1:16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</row>
    <row r="38" spans="1:16">
      <c r="A38" s="175">
        <f>(B35/12)*D35</f>
        <v>5000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J38" s="382"/>
      <c r="K38" s="382"/>
      <c r="L38" s="5"/>
      <c r="N38" s="4">
        <f>80.88*36</f>
        <v>2911.68</v>
      </c>
    </row>
    <row r="39" spans="1:16">
      <c r="A39" s="176"/>
      <c r="B39" s="171"/>
      <c r="C39" s="171"/>
      <c r="D39" s="158"/>
      <c r="E39" s="159"/>
      <c r="F39" s="55"/>
      <c r="G39" s="55"/>
      <c r="H39" s="5"/>
      <c r="L39" s="5"/>
      <c r="N39" s="4">
        <f>K39-L39</f>
        <v>0</v>
      </c>
    </row>
    <row r="40" spans="1:16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L40" s="5"/>
      <c r="N40" s="4">
        <f>N38-N39</f>
        <v>2911.68</v>
      </c>
    </row>
    <row r="41" spans="1:16">
      <c r="A41" s="89">
        <f>H36/B35</f>
        <v>0</v>
      </c>
      <c r="B41" s="383" t="str">
        <f>IF(B38="YES",D38+A41,D38)</f>
        <v>500</v>
      </c>
      <c r="C41" s="383"/>
      <c r="D41" s="346">
        <v>6000</v>
      </c>
      <c r="E41" s="346"/>
      <c r="F41" s="55"/>
      <c r="G41" s="55"/>
      <c r="H41" s="180"/>
      <c r="J41" s="5"/>
      <c r="K41" s="5"/>
      <c r="L41" s="5"/>
    </row>
    <row r="42" spans="1:16">
      <c r="A42" s="176"/>
      <c r="B42" s="171"/>
      <c r="C42" s="171"/>
      <c r="D42" s="171"/>
      <c r="E42" s="181"/>
      <c r="F42" s="55"/>
      <c r="G42" s="384" t="s">
        <v>65</v>
      </c>
      <c r="H42" s="384"/>
      <c r="J42" s="5"/>
      <c r="K42" s="5"/>
      <c r="L42" s="5"/>
    </row>
    <row r="43" spans="1:16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J43" s="5"/>
      <c r="K43" s="5"/>
      <c r="L43" s="5"/>
    </row>
    <row r="44" spans="1:16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0</v>
      </c>
      <c r="J44" s="5"/>
      <c r="K44" s="5"/>
      <c r="L44" s="5"/>
    </row>
    <row r="45" spans="1:16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J45" s="5"/>
      <c r="K45" s="5"/>
      <c r="L45" s="5"/>
    </row>
    <row r="46" spans="1:16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J46" s="5"/>
      <c r="K46" s="5"/>
      <c r="L46" s="5"/>
    </row>
    <row r="47" spans="1:16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J47" s="5"/>
      <c r="K47" s="5"/>
      <c r="L47" s="5"/>
    </row>
    <row r="48" spans="1:16">
      <c r="B48" s="171"/>
      <c r="C48" s="171"/>
      <c r="D48" s="171"/>
      <c r="E48" s="181"/>
      <c r="F48" s="55"/>
      <c r="G48" s="55"/>
      <c r="H48" s="5"/>
      <c r="J48" s="48"/>
      <c r="K48" s="5"/>
      <c r="L48" s="5"/>
    </row>
    <row r="49" spans="1:29">
      <c r="A49" s="176"/>
      <c r="B49" s="171"/>
      <c r="C49" s="171"/>
      <c r="D49" s="171"/>
      <c r="E49" s="181"/>
      <c r="F49" s="55"/>
      <c r="G49" s="55"/>
      <c r="H49" s="5"/>
      <c r="J49" s="5"/>
      <c r="K49" s="5"/>
      <c r="L49" s="5"/>
    </row>
    <row r="50" spans="1:29">
      <c r="A50" s="157"/>
      <c r="B50" s="183"/>
      <c r="C50" s="183"/>
      <c r="D50" s="158"/>
      <c r="E50" s="159"/>
      <c r="I50" s="5"/>
      <c r="J50" s="5"/>
      <c r="K50" s="5"/>
    </row>
    <row r="51" spans="1:29" ht="19.5" customHeight="1">
      <c r="A51" s="387" t="s">
        <v>94</v>
      </c>
      <c r="B51" s="388" t="s">
        <v>95</v>
      </c>
      <c r="C51" s="388"/>
      <c r="D51" s="158"/>
      <c r="E51" s="159"/>
      <c r="I51" s="5"/>
      <c r="J51" s="5"/>
      <c r="K51" s="5"/>
    </row>
    <row r="52" spans="1:29">
      <c r="A52" s="387"/>
      <c r="B52" s="389" t="str">
        <f>H30</f>
        <v>5000</v>
      </c>
      <c r="C52" s="389"/>
      <c r="D52" s="158"/>
      <c r="E52" s="159"/>
      <c r="I52" s="5"/>
      <c r="J52" s="5"/>
      <c r="K52" s="5"/>
    </row>
    <row r="53" spans="1:29">
      <c r="A53" s="185" t="str">
        <f>H29</f>
        <v>12</v>
      </c>
      <c r="B53" s="343">
        <f>H45</f>
        <v>501</v>
      </c>
      <c r="C53" s="343"/>
      <c r="D53" s="158"/>
      <c r="E53" s="159"/>
      <c r="I53" s="5"/>
      <c r="J53" s="5"/>
      <c r="K53" s="5"/>
    </row>
    <row r="54" spans="1:29">
      <c r="A54" s="3" t="s">
        <v>10</v>
      </c>
      <c r="I54" s="5"/>
      <c r="J54" s="5"/>
      <c r="K54" s="5"/>
    </row>
    <row r="55" spans="1:29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29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29">
      <c r="A57" s="22"/>
      <c r="B57" s="23"/>
      <c r="C57" s="23"/>
      <c r="D57" s="23"/>
      <c r="E57" s="63"/>
      <c r="F57" s="63"/>
      <c r="G57" s="63"/>
      <c r="H57" s="24"/>
    </row>
    <row r="58" spans="1:29">
      <c r="A58" s="27" t="s">
        <v>96</v>
      </c>
      <c r="B58" s="28">
        <v>1</v>
      </c>
      <c r="C58" s="186"/>
      <c r="D58" s="28"/>
      <c r="E58" s="21"/>
      <c r="F58" s="21"/>
      <c r="G58" s="21"/>
      <c r="H58" s="29"/>
    </row>
    <row r="59" spans="1:29">
      <c r="A59" s="27" t="s">
        <v>97</v>
      </c>
      <c r="B59" s="28">
        <f>B35-B58</f>
        <v>11</v>
      </c>
      <c r="C59" s="186"/>
      <c r="D59" s="28"/>
      <c r="E59" s="21"/>
      <c r="F59" s="21"/>
      <c r="G59" s="21"/>
      <c r="H59" s="29"/>
    </row>
    <row r="60" spans="1:29">
      <c r="A60" s="64" t="s">
        <v>98</v>
      </c>
      <c r="B60" s="65">
        <v>10</v>
      </c>
      <c r="C60" s="186"/>
      <c r="D60" s="28"/>
      <c r="E60" s="21"/>
      <c r="F60" s="21"/>
      <c r="G60" s="21"/>
      <c r="H60" s="29"/>
    </row>
    <row r="61" spans="1:29">
      <c r="A61" s="27" t="s">
        <v>27</v>
      </c>
      <c r="B61" s="28">
        <f>J18</f>
        <v>40526</v>
      </c>
      <c r="C61" s="186"/>
      <c r="D61" s="28"/>
      <c r="E61" s="21"/>
      <c r="F61" s="21"/>
      <c r="G61" s="21"/>
      <c r="H61" s="29"/>
    </row>
    <row r="62" spans="1:29">
      <c r="A62" s="66" t="s">
        <v>99</v>
      </c>
      <c r="B62" s="67">
        <v>1.0500000000000001E-2</v>
      </c>
      <c r="C62" s="186"/>
      <c r="D62" s="28"/>
      <c r="E62" s="21"/>
      <c r="F62" s="21"/>
      <c r="G62" s="21"/>
      <c r="H62" s="29"/>
      <c r="K62" s="10"/>
      <c r="T62" s="10"/>
      <c r="AC62" s="10"/>
    </row>
    <row r="63" spans="1:29">
      <c r="A63" s="68" t="s">
        <v>100</v>
      </c>
      <c r="B63" s="69">
        <v>6.5000000000000002E-2</v>
      </c>
      <c r="C63" s="186"/>
      <c r="D63" s="28"/>
      <c r="E63" s="21"/>
      <c r="F63" s="21"/>
      <c r="G63" s="21"/>
      <c r="H63" s="29"/>
      <c r="K63" s="10"/>
      <c r="T63" s="10"/>
      <c r="AC63" s="10"/>
    </row>
    <row r="64" spans="1:29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K64" s="10"/>
      <c r="T64" s="10"/>
      <c r="AC64" s="10"/>
    </row>
    <row r="65" spans="1:29">
      <c r="A65" s="49" t="s">
        <v>102</v>
      </c>
      <c r="B65" s="57">
        <f>(B89*B59)-B53</f>
        <v>9972.5455293280247</v>
      </c>
      <c r="C65" s="28"/>
      <c r="D65" s="28"/>
      <c r="E65" s="21"/>
      <c r="F65" s="21"/>
      <c r="G65" s="21"/>
      <c r="H65" s="29"/>
    </row>
    <row r="66" spans="1:29">
      <c r="A66" s="66" t="s">
        <v>103</v>
      </c>
      <c r="B66" s="67">
        <v>0.02</v>
      </c>
      <c r="C66" s="28"/>
      <c r="D66" s="28"/>
      <c r="E66" s="21"/>
      <c r="F66" s="21"/>
      <c r="G66" s="21"/>
      <c r="H66" s="29"/>
      <c r="K66" s="10"/>
      <c r="T66" s="10"/>
      <c r="AC66" s="10"/>
    </row>
    <row r="67" spans="1:29">
      <c r="A67" s="27"/>
      <c r="B67" s="72">
        <f>B66</f>
        <v>0.02</v>
      </c>
      <c r="C67" s="28"/>
      <c r="D67" s="28"/>
      <c r="E67" s="21"/>
      <c r="F67" s="21"/>
      <c r="G67" s="21"/>
      <c r="H67" s="29"/>
      <c r="K67" s="10"/>
      <c r="T67" s="10"/>
      <c r="AC67" s="10"/>
    </row>
    <row r="68" spans="1:29">
      <c r="A68" s="49" t="s">
        <v>105</v>
      </c>
      <c r="B68" s="57">
        <f>(G158*B67)</f>
        <v>416.90000000000003</v>
      </c>
      <c r="C68" s="28"/>
      <c r="D68" s="28"/>
      <c r="E68" s="21"/>
      <c r="F68" s="21"/>
      <c r="G68" s="21"/>
      <c r="H68" s="29"/>
    </row>
    <row r="69" spans="1:29">
      <c r="A69" s="66" t="s">
        <v>106</v>
      </c>
      <c r="B69" s="67">
        <v>0</v>
      </c>
      <c r="C69" s="187"/>
      <c r="D69" s="28"/>
      <c r="E69" s="21"/>
      <c r="F69" s="21"/>
      <c r="G69" s="21"/>
      <c r="H69" s="29"/>
      <c r="K69" s="10"/>
      <c r="T69" s="10"/>
      <c r="AC69" s="10"/>
    </row>
    <row r="70" spans="1:29">
      <c r="A70" s="68" t="s">
        <v>107</v>
      </c>
      <c r="B70" s="69">
        <v>0</v>
      </c>
      <c r="C70" s="187"/>
      <c r="D70" s="28"/>
      <c r="E70" s="21"/>
      <c r="F70" s="21"/>
      <c r="G70" s="21"/>
      <c r="H70" s="29"/>
      <c r="K70" s="10"/>
      <c r="T70" s="10"/>
      <c r="AC70" s="10"/>
    </row>
    <row r="71" spans="1:29">
      <c r="A71" s="49" t="s">
        <v>108</v>
      </c>
      <c r="B71" s="73">
        <f>B69*(1+B70)</f>
        <v>0</v>
      </c>
      <c r="C71" s="187"/>
      <c r="D71" s="28"/>
      <c r="E71" s="21"/>
      <c r="F71" s="21"/>
      <c r="G71" s="21"/>
      <c r="H71" s="29"/>
      <c r="K71" s="10"/>
      <c r="T71" s="10"/>
      <c r="AC71" s="10"/>
    </row>
    <row r="72" spans="1:29">
      <c r="A72" s="66" t="s">
        <v>109</v>
      </c>
      <c r="B72" s="74">
        <v>0</v>
      </c>
      <c r="C72" s="187"/>
      <c r="D72" s="28"/>
      <c r="E72" s="21"/>
      <c r="F72" s="21"/>
      <c r="G72" s="21"/>
      <c r="H72" s="29"/>
    </row>
    <row r="73" spans="1:29">
      <c r="A73" s="68" t="s">
        <v>110</v>
      </c>
      <c r="B73" s="65">
        <v>0</v>
      </c>
      <c r="C73" s="187"/>
      <c r="D73" s="28"/>
      <c r="E73" s="21"/>
      <c r="F73" s="21"/>
      <c r="G73" s="21"/>
      <c r="H73" s="29"/>
    </row>
    <row r="74" spans="1:29">
      <c r="A74" s="49" t="s">
        <v>111</v>
      </c>
      <c r="B74" s="57">
        <f>B73*B35</f>
        <v>0</v>
      </c>
      <c r="C74" s="187"/>
      <c r="D74" s="28">
        <f>B74+B72</f>
        <v>0</v>
      </c>
      <c r="E74" s="21"/>
      <c r="F74" s="21"/>
      <c r="G74" s="21"/>
      <c r="H74" s="29"/>
    </row>
    <row r="75" spans="1:29">
      <c r="A75" s="68" t="s">
        <v>112</v>
      </c>
      <c r="B75" s="65">
        <v>0</v>
      </c>
      <c r="C75" s="187"/>
      <c r="D75" s="28">
        <f>B75</f>
        <v>0</v>
      </c>
      <c r="E75" s="21"/>
      <c r="F75" s="21"/>
      <c r="G75" s="21"/>
      <c r="H75" s="29"/>
    </row>
    <row r="76" spans="1:29">
      <c r="A76" s="70" t="s">
        <v>113</v>
      </c>
      <c r="B76" s="75">
        <v>0</v>
      </c>
      <c r="C76" s="187"/>
      <c r="D76" s="28">
        <f>B76</f>
        <v>0</v>
      </c>
      <c r="E76" s="21"/>
      <c r="F76" s="28"/>
      <c r="G76" s="21"/>
      <c r="H76" s="29"/>
    </row>
    <row r="77" spans="1:29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</row>
    <row r="78" spans="1:29">
      <c r="A78" s="27" t="s">
        <v>115</v>
      </c>
      <c r="B78" s="29">
        <f>B77/B35</f>
        <v>0</v>
      </c>
      <c r="C78" s="28"/>
      <c r="D78" s="28"/>
      <c r="E78" s="21"/>
      <c r="F78" s="21"/>
      <c r="G78" s="21"/>
      <c r="H78" s="29"/>
    </row>
    <row r="79" spans="1:29">
      <c r="A79" s="78" t="s">
        <v>116</v>
      </c>
      <c r="B79" s="52">
        <f>H46</f>
        <v>501</v>
      </c>
      <c r="C79" s="28"/>
      <c r="D79" s="28"/>
      <c r="E79" s="21"/>
      <c r="F79" s="21"/>
      <c r="G79" s="21"/>
      <c r="H79" s="29"/>
    </row>
    <row r="80" spans="1:29">
      <c r="A80" s="27"/>
      <c r="B80" s="28"/>
      <c r="C80" s="28"/>
      <c r="D80" s="28"/>
      <c r="E80" s="21"/>
      <c r="F80" s="21"/>
      <c r="G80" s="21"/>
      <c r="H80" s="29"/>
    </row>
    <row r="81" spans="1:29">
      <c r="A81" s="22" t="s">
        <v>117</v>
      </c>
      <c r="B81" s="24">
        <f>K36</f>
        <v>16200</v>
      </c>
      <c r="C81" s="28"/>
      <c r="D81" s="28"/>
      <c r="E81" s="21"/>
      <c r="F81" s="22" t="s">
        <v>117</v>
      </c>
      <c r="G81" s="24">
        <f>B81</f>
        <v>16200</v>
      </c>
      <c r="H81" s="29"/>
    </row>
    <row r="82" spans="1:29">
      <c r="A82" s="27" t="s">
        <v>118</v>
      </c>
      <c r="B82" s="29">
        <f>IF(A111="YES",D41,0)*1.2</f>
        <v>7200</v>
      </c>
      <c r="C82" s="28"/>
      <c r="D82" s="28"/>
      <c r="E82" s="21"/>
      <c r="F82" s="27" t="s">
        <v>118</v>
      </c>
      <c r="G82" s="29">
        <f>IF(A111="YES",D41,0)*1.2</f>
        <v>7200</v>
      </c>
      <c r="H82" s="29"/>
    </row>
    <row r="83" spans="1:29">
      <c r="A83" s="27" t="s">
        <v>119</v>
      </c>
      <c r="B83" s="79">
        <f>B62+B63+B64</f>
        <v>0.1255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K83" s="10"/>
      <c r="T83" s="10"/>
      <c r="AC83" s="10"/>
    </row>
    <row r="84" spans="1:29">
      <c r="A84" s="27" t="s">
        <v>120</v>
      </c>
      <c r="B84" s="72">
        <f>B83/12</f>
        <v>1.0458333333333333E-2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K84" s="10"/>
      <c r="T84" s="10"/>
      <c r="AC84" s="10"/>
    </row>
    <row r="85" spans="1:29">
      <c r="A85" s="27" t="s">
        <v>121</v>
      </c>
      <c r="B85" s="29">
        <f>IF(B82=0,(B59+B58),(B59))</f>
        <v>11</v>
      </c>
      <c r="C85" s="28"/>
      <c r="D85" s="28"/>
      <c r="E85" s="21"/>
      <c r="F85" s="27" t="s">
        <v>121</v>
      </c>
      <c r="G85" s="29">
        <f>IF(G82=0,(B59+B58),(B59))</f>
        <v>11</v>
      </c>
      <c r="H85" s="29"/>
    </row>
    <row r="86" spans="1:29">
      <c r="A86" s="27" t="s">
        <v>122</v>
      </c>
      <c r="B86" s="29">
        <f>(B82/((1+B84)^(B85+1)))</f>
        <v>6354.9417998796171</v>
      </c>
      <c r="C86" s="28">
        <f>(B82/((1+B84)^(B85+1)))</f>
        <v>6354.9417998796171</v>
      </c>
      <c r="D86" s="28"/>
      <c r="E86" s="21"/>
      <c r="F86" s="27" t="s">
        <v>122</v>
      </c>
      <c r="G86" s="29">
        <f>(G82/((1+G84)^(G85+1)))</f>
        <v>6748.0693014409899</v>
      </c>
      <c r="H86" s="29"/>
    </row>
    <row r="87" spans="1:29">
      <c r="A87" s="27" t="s">
        <v>123</v>
      </c>
      <c r="B87" s="29">
        <f>((1-(1/((1+B84)^B85)))/B84)</f>
        <v>10.339921652899179</v>
      </c>
      <c r="C87" s="28">
        <f>((1-(1/((1+B84)^B85)))/B84)</f>
        <v>10.339921652899179</v>
      </c>
      <c r="D87" s="28"/>
      <c r="E87" s="21"/>
      <c r="F87" s="27" t="s">
        <v>123</v>
      </c>
      <c r="G87" s="29">
        <f>((1-(1/((1+G84)^G85)))/G84)</f>
        <v>10.65073478229589</v>
      </c>
      <c r="H87" s="29"/>
    </row>
    <row r="88" spans="1:29">
      <c r="A88" s="27" t="s">
        <v>124</v>
      </c>
      <c r="B88" s="29">
        <f>B81-B86</f>
        <v>9845.0582001203838</v>
      </c>
      <c r="C88" s="28">
        <f>B81-B86</f>
        <v>9845.0582001203838</v>
      </c>
      <c r="D88" s="28"/>
      <c r="E88" s="21"/>
      <c r="F88" s="27" t="s">
        <v>124</v>
      </c>
      <c r="G88" s="29">
        <f>G81-G86</f>
        <v>9451.9306985590101</v>
      </c>
      <c r="H88" s="29"/>
    </row>
    <row r="89" spans="1:29">
      <c r="A89" s="27" t="s">
        <v>125</v>
      </c>
      <c r="B89" s="29">
        <f>(B88/B87)</f>
        <v>952.14050266618403</v>
      </c>
      <c r="C89" s="28">
        <f>(B88/B87)</f>
        <v>952.14050266618403</v>
      </c>
      <c r="D89" s="28"/>
      <c r="E89" s="21"/>
      <c r="F89" s="27" t="s">
        <v>125</v>
      </c>
      <c r="G89" s="29">
        <f>(G88/G87)</f>
        <v>887.444001917165</v>
      </c>
      <c r="H89" s="29"/>
    </row>
    <row r="90" spans="1:29">
      <c r="A90" s="27" t="s">
        <v>126</v>
      </c>
      <c r="B90" s="29">
        <f>((B89*(B85))+B77)</f>
        <v>10473.545529328025</v>
      </c>
      <c r="C90" s="28"/>
      <c r="D90" s="28"/>
      <c r="E90" s="21"/>
      <c r="F90" s="27" t="s">
        <v>126</v>
      </c>
      <c r="G90" s="29">
        <f>((G89*(G85))+G77)</f>
        <v>9761.8840210888156</v>
      </c>
      <c r="H90" s="29"/>
    </row>
    <row r="91" spans="1:29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</row>
    <row r="92" spans="1:29">
      <c r="A92" s="49" t="s">
        <v>128</v>
      </c>
      <c r="B92" s="57">
        <f>(B90+B91)</f>
        <v>10473.545529328025</v>
      </c>
      <c r="C92" s="28"/>
      <c r="D92" s="28"/>
      <c r="E92" s="21"/>
      <c r="F92" s="49" t="s">
        <v>128</v>
      </c>
      <c r="G92" s="57">
        <f>(G90+G91)</f>
        <v>9761.8840210888156</v>
      </c>
      <c r="H92" s="29"/>
    </row>
    <row r="93" spans="1:29">
      <c r="A93" s="27"/>
      <c r="B93" s="28"/>
      <c r="C93" s="28"/>
      <c r="D93" s="28"/>
      <c r="E93" s="21"/>
      <c r="F93" s="27"/>
      <c r="G93" s="28"/>
      <c r="H93" s="29"/>
    </row>
    <row r="94" spans="1:29">
      <c r="A94" s="76" t="s">
        <v>129</v>
      </c>
      <c r="B94" s="80" t="str">
        <f>IF(B38="YES",((H36/B85)*(1+A108)),"0")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</row>
    <row r="95" spans="1:29">
      <c r="A95" s="81" t="s">
        <v>130</v>
      </c>
      <c r="B95" s="82">
        <f>B92/(B85)</f>
        <v>952.14050266618403</v>
      </c>
      <c r="C95" s="28"/>
      <c r="D95" s="28"/>
      <c r="E95" s="21"/>
      <c r="F95" s="81" t="s">
        <v>130</v>
      </c>
      <c r="G95" s="82">
        <f>G92/(G85)</f>
        <v>887.44400191716511</v>
      </c>
      <c r="H95" s="29"/>
    </row>
    <row r="96" spans="1:29">
      <c r="A96" s="83" t="s">
        <v>131</v>
      </c>
      <c r="B96" s="84">
        <f>B94+B95</f>
        <v>952.14050266618403</v>
      </c>
      <c r="C96" s="28"/>
      <c r="D96" s="28"/>
      <c r="E96" s="21"/>
      <c r="F96" s="83" t="s">
        <v>131</v>
      </c>
      <c r="G96" s="84">
        <f>G94+G95</f>
        <v>887.44400191716511</v>
      </c>
      <c r="H96" s="29"/>
    </row>
    <row r="97" spans="1:42">
      <c r="A97" s="49"/>
      <c r="B97" s="50"/>
      <c r="C97" s="50"/>
      <c r="D97" s="50"/>
      <c r="E97" s="85"/>
      <c r="F97" s="85"/>
      <c r="G97" s="85"/>
      <c r="H97" s="57"/>
    </row>
    <row r="98" spans="1:42">
      <c r="A98" s="21"/>
      <c r="B98" s="21"/>
      <c r="C98" s="21"/>
      <c r="D98" s="21"/>
      <c r="E98" s="21"/>
      <c r="F98" s="21"/>
      <c r="G98" s="21"/>
      <c r="H98" s="21"/>
    </row>
    <row r="99" spans="1:42">
      <c r="A99" s="21"/>
      <c r="B99" s="21"/>
      <c r="C99" s="21"/>
      <c r="D99" s="21"/>
      <c r="E99" s="21"/>
      <c r="F99" s="21"/>
      <c r="G99" s="21"/>
      <c r="H99" s="21"/>
    </row>
    <row r="100" spans="1:42" ht="47.25" customHeight="1">
      <c r="A100" s="344" t="s">
        <v>132</v>
      </c>
      <c r="B100" s="344"/>
      <c r="C100" s="344"/>
      <c r="D100" s="344"/>
      <c r="E100" s="344"/>
      <c r="F100" s="344"/>
      <c r="G100" s="344"/>
      <c r="H100" s="344"/>
      <c r="J100" s="382"/>
      <c r="K100" s="382"/>
      <c r="L100" s="382"/>
      <c r="M100" s="382"/>
      <c r="N100" s="382"/>
      <c r="O100" s="382"/>
      <c r="P100" s="382"/>
      <c r="Q100" s="382"/>
      <c r="S100" s="382"/>
      <c r="T100" s="382"/>
      <c r="U100" s="382"/>
      <c r="V100" s="382"/>
      <c r="W100" s="382"/>
      <c r="X100" s="382"/>
      <c r="Y100" s="382"/>
      <c r="Z100" s="382"/>
      <c r="AB100" s="382"/>
      <c r="AC100" s="382"/>
      <c r="AD100" s="382"/>
      <c r="AE100" s="382"/>
      <c r="AF100" s="382"/>
      <c r="AG100" s="382"/>
      <c r="AH100" s="382"/>
      <c r="AI100" s="382"/>
    </row>
    <row r="101" spans="1:42">
      <c r="A101" s="22"/>
      <c r="B101" s="23"/>
      <c r="C101" s="23"/>
      <c r="D101" s="23"/>
      <c r="E101" s="63"/>
      <c r="F101" s="63"/>
      <c r="G101" s="63"/>
      <c r="H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82"/>
      <c r="K102" s="382"/>
      <c r="L102" s="382"/>
      <c r="M102" s="382"/>
      <c r="N102" s="382"/>
      <c r="O102" s="382"/>
      <c r="P102" s="382"/>
      <c r="Q102" s="382"/>
      <c r="S102" s="382"/>
      <c r="T102" s="382"/>
      <c r="U102" s="382"/>
      <c r="V102" s="382"/>
      <c r="W102" s="382"/>
      <c r="X102" s="382"/>
      <c r="Y102" s="382"/>
      <c r="Z102" s="382"/>
      <c r="AB102" s="382"/>
      <c r="AC102" s="382"/>
      <c r="AD102" s="382"/>
      <c r="AE102" s="382"/>
      <c r="AF102" s="382"/>
      <c r="AG102" s="382"/>
      <c r="AH102" s="382"/>
      <c r="AI102" s="382"/>
    </row>
    <row r="103" spans="1:42">
      <c r="A103" s="27"/>
      <c r="B103" s="28"/>
      <c r="C103" s="28"/>
      <c r="D103" s="28"/>
      <c r="E103" s="21"/>
      <c r="F103" s="21"/>
      <c r="G103" s="21"/>
      <c r="H103" s="88"/>
      <c r="Z103" s="55" t="s">
        <v>140</v>
      </c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Z104" s="55" t="s">
        <v>270</v>
      </c>
    </row>
    <row r="105" spans="1:42">
      <c r="A105" s="32" t="s">
        <v>139</v>
      </c>
      <c r="B105" s="345" t="s">
        <v>140</v>
      </c>
      <c r="C105" s="345"/>
      <c r="D105" s="345"/>
      <c r="E105" s="346" t="s">
        <v>386</v>
      </c>
      <c r="F105" s="346"/>
      <c r="G105" s="346"/>
      <c r="H105" s="88"/>
      <c r="K105" s="382"/>
      <c r="L105" s="382"/>
      <c r="M105" s="382"/>
      <c r="N105" s="382"/>
      <c r="O105" s="382"/>
      <c r="P105" s="382"/>
      <c r="T105" s="382"/>
      <c r="U105" s="382"/>
      <c r="V105" s="382"/>
      <c r="W105" s="382"/>
      <c r="X105" s="382"/>
      <c r="Y105" s="382"/>
      <c r="Z105" s="55" t="s">
        <v>271</v>
      </c>
      <c r="AC105" s="382"/>
      <c r="AD105" s="382"/>
      <c r="AE105" s="382"/>
      <c r="AF105" s="382"/>
      <c r="AG105" s="382"/>
      <c r="AH105" s="382"/>
    </row>
    <row r="106" spans="1:42">
      <c r="A106" s="27"/>
      <c r="B106" s="28"/>
      <c r="C106" s="28"/>
      <c r="D106" s="21"/>
      <c r="E106" s="28"/>
      <c r="F106" s="28"/>
      <c r="G106" s="21"/>
      <c r="H106" s="29"/>
      <c r="Z106" s="55" t="s">
        <v>272</v>
      </c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Z107" s="55" t="s">
        <v>273</v>
      </c>
    </row>
    <row r="108" spans="1:42">
      <c r="A108" s="188">
        <v>0.2</v>
      </c>
      <c r="B108" s="348" t="s">
        <v>400</v>
      </c>
      <c r="C108" s="348"/>
      <c r="D108" s="348">
        <v>0</v>
      </c>
      <c r="E108" s="349">
        <f>B83</f>
        <v>0.1255</v>
      </c>
      <c r="F108" s="349"/>
      <c r="G108" s="349"/>
      <c r="H108" s="42"/>
      <c r="J108" s="10"/>
      <c r="K108" s="382"/>
      <c r="L108" s="382"/>
      <c r="M108" s="382"/>
      <c r="N108" s="390"/>
      <c r="O108" s="390"/>
      <c r="P108" s="390"/>
      <c r="S108" s="10"/>
      <c r="T108" s="382"/>
      <c r="U108" s="382"/>
      <c r="V108" s="382"/>
      <c r="W108" s="390"/>
      <c r="X108" s="390"/>
      <c r="Y108" s="390"/>
      <c r="Z108" s="55" t="s">
        <v>274</v>
      </c>
      <c r="AB108" s="10"/>
      <c r="AC108" s="382"/>
      <c r="AD108" s="382"/>
      <c r="AE108" s="382"/>
      <c r="AF108" s="390"/>
      <c r="AG108" s="390"/>
      <c r="AH108" s="390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Z109" s="55" t="s">
        <v>275</v>
      </c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Z110" s="55" t="s">
        <v>276</v>
      </c>
    </row>
    <row r="111" spans="1:42">
      <c r="A111" s="36" t="s">
        <v>385</v>
      </c>
      <c r="B111" s="348">
        <v>0</v>
      </c>
      <c r="C111" s="348"/>
      <c r="D111" s="348"/>
      <c r="E111" s="348">
        <v>0</v>
      </c>
      <c r="F111" s="348"/>
      <c r="G111" s="348"/>
      <c r="H111" s="88"/>
      <c r="K111" s="382"/>
      <c r="L111" s="382"/>
      <c r="M111" s="382"/>
      <c r="N111" s="382"/>
      <c r="O111" s="382"/>
      <c r="P111" s="382"/>
      <c r="T111" s="382"/>
      <c r="U111" s="382"/>
      <c r="V111" s="382"/>
      <c r="W111" s="382"/>
      <c r="X111" s="382"/>
      <c r="Y111" s="382"/>
      <c r="Z111" s="55" t="s">
        <v>277</v>
      </c>
      <c r="AC111" s="382"/>
      <c r="AD111" s="382"/>
      <c r="AE111" s="382"/>
      <c r="AF111" s="382"/>
      <c r="AG111" s="382"/>
      <c r="AH111" s="382"/>
    </row>
    <row r="112" spans="1:42">
      <c r="A112" s="27"/>
      <c r="B112" s="28"/>
      <c r="C112" s="28"/>
      <c r="D112" s="28"/>
      <c r="E112" s="28"/>
      <c r="F112" s="28"/>
      <c r="G112" s="21"/>
      <c r="H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</row>
    <row r="114" spans="1:35">
      <c r="A114" s="94">
        <f>B111+E111</f>
        <v>0</v>
      </c>
      <c r="B114" s="348">
        <v>833.33333333333337</v>
      </c>
      <c r="C114" s="348"/>
      <c r="D114" s="348"/>
      <c r="E114" s="348">
        <v>0</v>
      </c>
      <c r="F114" s="348"/>
      <c r="G114" s="348"/>
      <c r="H114" s="88"/>
      <c r="K114" s="382"/>
      <c r="L114" s="382"/>
      <c r="M114" s="382"/>
      <c r="N114" s="382"/>
      <c r="O114" s="382"/>
      <c r="P114" s="382"/>
      <c r="T114" s="382"/>
      <c r="U114" s="382"/>
      <c r="V114" s="382"/>
      <c r="W114" s="382"/>
      <c r="X114" s="382"/>
      <c r="Y114" s="382"/>
      <c r="AC114" s="382"/>
      <c r="AD114" s="382"/>
      <c r="AE114" s="382"/>
      <c r="AF114" s="382"/>
      <c r="AG114" s="382"/>
      <c r="AH114" s="382"/>
    </row>
    <row r="115" spans="1:35">
      <c r="A115" s="95"/>
      <c r="B115" s="21"/>
      <c r="C115" s="21"/>
      <c r="D115" s="21"/>
      <c r="E115" s="21"/>
      <c r="F115" s="21"/>
      <c r="G115" s="21"/>
      <c r="H115" s="88"/>
    </row>
    <row r="116" spans="1:35">
      <c r="A116" s="95"/>
      <c r="B116" s="21"/>
      <c r="C116" s="21"/>
      <c r="D116" s="21"/>
      <c r="E116" s="21"/>
      <c r="F116" s="21"/>
      <c r="G116" s="21"/>
      <c r="H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82"/>
      <c r="K117" s="382"/>
      <c r="L117" s="382"/>
      <c r="M117" s="382"/>
      <c r="N117" s="382"/>
      <c r="O117" s="382"/>
      <c r="P117" s="382"/>
      <c r="Q117" s="382"/>
      <c r="S117" s="382"/>
      <c r="T117" s="382"/>
      <c r="U117" s="382"/>
      <c r="V117" s="382"/>
      <c r="W117" s="382"/>
      <c r="X117" s="382"/>
      <c r="Y117" s="382"/>
      <c r="Z117" s="382"/>
      <c r="AB117" s="382"/>
      <c r="AC117" s="382"/>
      <c r="AD117" s="382"/>
      <c r="AE117" s="382"/>
      <c r="AF117" s="382"/>
      <c r="AG117" s="382"/>
      <c r="AH117" s="382"/>
      <c r="AI117" s="382"/>
    </row>
    <row r="118" spans="1:35">
      <c r="A118" s="95"/>
      <c r="B118" s="21"/>
      <c r="C118" s="21"/>
      <c r="D118" s="21"/>
      <c r="E118" s="21"/>
      <c r="F118" s="21"/>
      <c r="G118" s="21"/>
      <c r="H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K119" s="382"/>
      <c r="L119" s="382"/>
      <c r="M119" s="382"/>
      <c r="N119" s="382"/>
      <c r="O119" s="382"/>
      <c r="P119" s="382"/>
      <c r="T119" s="382"/>
      <c r="U119" s="382"/>
      <c r="V119" s="382"/>
      <c r="W119" s="382"/>
      <c r="X119" s="382"/>
      <c r="Y119" s="382"/>
      <c r="AC119" s="382"/>
      <c r="AD119" s="382"/>
      <c r="AE119" s="382"/>
      <c r="AF119" s="382"/>
      <c r="AG119" s="382"/>
      <c r="AH119" s="382"/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</row>
    <row r="121" spans="1:35">
      <c r="A121" s="22" t="s">
        <v>160</v>
      </c>
      <c r="B121" s="22">
        <f>E19</f>
        <v>17199.995999999999</v>
      </c>
      <c r="C121" s="36">
        <v>16412.5</v>
      </c>
      <c r="D121" s="22">
        <f>D3</f>
        <v>0</v>
      </c>
      <c r="E121" s="36">
        <f>D121</f>
        <v>0</v>
      </c>
      <c r="F121" s="22">
        <v>0</v>
      </c>
      <c r="G121" s="36">
        <f>F121</f>
        <v>0</v>
      </c>
      <c r="H121" s="101">
        <f>H3</f>
        <v>0</v>
      </c>
    </row>
    <row r="122" spans="1:35">
      <c r="A122" s="27" t="s">
        <v>161</v>
      </c>
      <c r="B122" s="102">
        <v>0</v>
      </c>
      <c r="C122" s="103">
        <f>B122</f>
        <v>0</v>
      </c>
      <c r="D122" s="102">
        <v>0</v>
      </c>
      <c r="E122" s="103">
        <f>D122</f>
        <v>0</v>
      </c>
      <c r="F122" s="102">
        <v>0</v>
      </c>
      <c r="G122" s="104">
        <f>F122</f>
        <v>0</v>
      </c>
      <c r="H122" s="105"/>
      <c r="K122" s="10"/>
      <c r="L122" s="10"/>
      <c r="M122" s="10"/>
      <c r="N122" s="10"/>
      <c r="O122" s="10"/>
      <c r="P122" s="10"/>
      <c r="Q122" s="10"/>
      <c r="T122" s="10"/>
      <c r="U122" s="10"/>
      <c r="V122" s="10"/>
      <c r="W122" s="10"/>
      <c r="X122" s="10"/>
      <c r="Y122" s="10"/>
      <c r="Z122" s="10"/>
      <c r="AC122" s="10"/>
      <c r="AD122" s="10"/>
      <c r="AE122" s="10"/>
      <c r="AF122" s="10"/>
      <c r="AG122" s="10"/>
      <c r="AH122" s="10"/>
      <c r="AI122" s="10"/>
    </row>
    <row r="123" spans="1:35">
      <c r="A123" s="27" t="s">
        <v>162</v>
      </c>
      <c r="B123" s="27">
        <v>0</v>
      </c>
      <c r="C123" s="36">
        <f>B123</f>
        <v>0</v>
      </c>
      <c r="D123" s="27">
        <v>0</v>
      </c>
      <c r="E123" s="36">
        <f>D123</f>
        <v>0</v>
      </c>
      <c r="F123" s="27">
        <v>0</v>
      </c>
      <c r="G123" s="36">
        <f>F123</f>
        <v>0</v>
      </c>
      <c r="H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</row>
    <row r="125" spans="1:35">
      <c r="A125" s="49" t="s">
        <v>164</v>
      </c>
      <c r="B125" s="49">
        <f t="shared" ref="B125:G125" si="0">B121-B124</f>
        <v>17199.995999999999</v>
      </c>
      <c r="C125" s="57">
        <f t="shared" si="0"/>
        <v>16412.5</v>
      </c>
      <c r="D125" s="49">
        <f t="shared" si="0"/>
        <v>0</v>
      </c>
      <c r="E125" s="57">
        <f t="shared" si="0"/>
        <v>0</v>
      </c>
      <c r="F125" s="49">
        <f t="shared" si="0"/>
        <v>0</v>
      </c>
      <c r="G125" s="57">
        <f t="shared" si="0"/>
        <v>0</v>
      </c>
      <c r="H125" s="57"/>
    </row>
    <row r="126" spans="1:35">
      <c r="A126" s="27"/>
      <c r="B126" s="28"/>
      <c r="C126" s="28"/>
      <c r="D126" s="28"/>
      <c r="E126" s="28"/>
      <c r="F126" s="28"/>
      <c r="G126" s="28"/>
      <c r="H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</row>
    <row r="129" spans="1:34">
      <c r="A129" s="27"/>
      <c r="B129" s="28"/>
      <c r="C129" s="28"/>
      <c r="D129" s="28"/>
      <c r="E129" s="28"/>
      <c r="F129" s="28"/>
      <c r="G129" s="115"/>
      <c r="H129" s="116"/>
    </row>
    <row r="130" spans="1:34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K130" s="382"/>
      <c r="L130" s="382"/>
      <c r="M130" s="382"/>
      <c r="N130" s="382"/>
      <c r="O130" s="382"/>
      <c r="P130" s="382"/>
      <c r="T130" s="382"/>
      <c r="U130" s="382"/>
      <c r="V130" s="382"/>
      <c r="W130" s="382"/>
      <c r="X130" s="382"/>
      <c r="Y130" s="382"/>
      <c r="AC130" s="382"/>
      <c r="AD130" s="382"/>
      <c r="AE130" s="382"/>
      <c r="AF130" s="382"/>
      <c r="AG130" s="382"/>
      <c r="AH130" s="382"/>
    </row>
    <row r="131" spans="1:34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K131" s="382"/>
      <c r="L131" s="382"/>
      <c r="M131" s="390"/>
      <c r="N131" s="390"/>
      <c r="O131" s="382"/>
      <c r="P131" s="382"/>
      <c r="T131" s="382"/>
      <c r="U131" s="382"/>
      <c r="V131" s="390"/>
      <c r="W131" s="390"/>
      <c r="X131" s="382"/>
      <c r="Y131" s="382"/>
      <c r="AC131" s="382"/>
      <c r="AD131" s="382"/>
      <c r="AE131" s="390"/>
      <c r="AF131" s="390"/>
      <c r="AG131" s="382"/>
      <c r="AH131" s="382"/>
    </row>
    <row r="132" spans="1:34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K132" s="382"/>
      <c r="L132" s="382"/>
      <c r="M132" s="390"/>
      <c r="N132" s="390"/>
      <c r="O132" s="382"/>
      <c r="P132" s="382"/>
      <c r="T132" s="382"/>
      <c r="U132" s="382"/>
      <c r="V132" s="390"/>
      <c r="W132" s="390"/>
      <c r="X132" s="382"/>
      <c r="Y132" s="382"/>
      <c r="AC132" s="382"/>
      <c r="AD132" s="382"/>
      <c r="AE132" s="390"/>
      <c r="AF132" s="390"/>
      <c r="AG132" s="382"/>
      <c r="AH132" s="382"/>
    </row>
    <row r="133" spans="1:34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K133" s="382"/>
      <c r="L133" s="382"/>
      <c r="M133" s="390"/>
      <c r="N133" s="390"/>
      <c r="O133" s="382"/>
      <c r="P133" s="382"/>
      <c r="T133" s="382"/>
      <c r="U133" s="382"/>
      <c r="V133" s="390"/>
      <c r="W133" s="390"/>
      <c r="X133" s="382"/>
      <c r="Y133" s="382"/>
      <c r="AC133" s="382"/>
      <c r="AD133" s="382"/>
      <c r="AE133" s="390"/>
      <c r="AF133" s="390"/>
      <c r="AG133" s="382"/>
      <c r="AH133" s="382"/>
    </row>
    <row r="134" spans="1:34">
      <c r="A134" s="27"/>
      <c r="B134" s="28"/>
      <c r="C134" s="28"/>
      <c r="D134" s="28"/>
      <c r="E134" s="28"/>
      <c r="F134" s="28"/>
      <c r="G134" s="115"/>
      <c r="H134" s="116"/>
    </row>
    <row r="135" spans="1:34" ht="21">
      <c r="A135" s="356" t="s">
        <v>172</v>
      </c>
      <c r="B135" s="356"/>
      <c r="C135" s="356"/>
      <c r="D135" s="356"/>
      <c r="E135" s="356"/>
      <c r="F135" s="356"/>
      <c r="G135" s="109">
        <f>E21</f>
        <v>14333.33</v>
      </c>
      <c r="H135" s="120">
        <f>C125+E125+G125+H128</f>
        <v>16412.5</v>
      </c>
      <c r="J135" s="382"/>
      <c r="K135" s="382"/>
      <c r="L135" s="382"/>
      <c r="M135" s="382"/>
      <c r="N135" s="382"/>
      <c r="O135" s="382"/>
      <c r="S135" s="382"/>
      <c r="T135" s="382"/>
      <c r="U135" s="382"/>
      <c r="V135" s="382"/>
      <c r="W135" s="382"/>
      <c r="X135" s="382"/>
      <c r="AB135" s="382"/>
      <c r="AC135" s="382"/>
      <c r="AD135" s="382"/>
      <c r="AE135" s="382"/>
      <c r="AF135" s="382"/>
      <c r="AG135" s="382"/>
    </row>
    <row r="136" spans="1:34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82"/>
      <c r="K136" s="382"/>
      <c r="L136" s="382"/>
      <c r="M136" s="382"/>
      <c r="N136" s="382"/>
      <c r="O136" s="382"/>
      <c r="S136" s="382"/>
      <c r="T136" s="382"/>
      <c r="U136" s="382"/>
      <c r="V136" s="382"/>
      <c r="W136" s="382"/>
      <c r="X136" s="382"/>
      <c r="AB136" s="382"/>
      <c r="AC136" s="382"/>
      <c r="AD136" s="382"/>
      <c r="AE136" s="382"/>
      <c r="AF136" s="382"/>
      <c r="AG136" s="382"/>
    </row>
    <row r="137" spans="1:34">
      <c r="A137" s="357" t="s">
        <v>174</v>
      </c>
      <c r="B137" s="357"/>
      <c r="C137" s="357"/>
      <c r="D137" s="357"/>
      <c r="E137" s="357"/>
      <c r="F137" s="357"/>
      <c r="G137" s="29">
        <f>(G135+G136)*20%</f>
        <v>2866.6660000000002</v>
      </c>
      <c r="H137" s="29">
        <f>(H135+H136)*20%</f>
        <v>3282.5</v>
      </c>
      <c r="J137" s="382"/>
      <c r="K137" s="382"/>
      <c r="L137" s="382"/>
      <c r="M137" s="382"/>
      <c r="N137" s="382"/>
      <c r="O137" s="382"/>
      <c r="S137" s="382"/>
      <c r="T137" s="382"/>
      <c r="U137" s="382"/>
      <c r="V137" s="382"/>
      <c r="W137" s="382"/>
      <c r="X137" s="382"/>
      <c r="AB137" s="382"/>
      <c r="AC137" s="382"/>
      <c r="AD137" s="382"/>
      <c r="AE137" s="382"/>
      <c r="AF137" s="382"/>
      <c r="AG137" s="382"/>
    </row>
    <row r="138" spans="1:34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82"/>
      <c r="K138" s="382"/>
      <c r="L138" s="382"/>
      <c r="M138" s="382"/>
      <c r="N138" s="382"/>
      <c r="O138" s="382"/>
      <c r="S138" s="382"/>
      <c r="T138" s="382"/>
      <c r="U138" s="382"/>
      <c r="V138" s="382"/>
      <c r="W138" s="382"/>
      <c r="X138" s="382"/>
      <c r="AB138" s="382"/>
      <c r="AC138" s="382"/>
      <c r="AD138" s="382"/>
      <c r="AE138" s="382"/>
      <c r="AF138" s="382"/>
      <c r="AG138" s="382"/>
    </row>
    <row r="139" spans="1:34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82"/>
      <c r="K139" s="382"/>
      <c r="L139" s="382"/>
      <c r="M139" s="382"/>
      <c r="N139" s="382"/>
      <c r="O139" s="382"/>
      <c r="S139" s="382"/>
      <c r="T139" s="382"/>
      <c r="U139" s="382"/>
      <c r="V139" s="382"/>
      <c r="W139" s="382"/>
      <c r="X139" s="382"/>
      <c r="AB139" s="382"/>
      <c r="AC139" s="382"/>
      <c r="AD139" s="382"/>
      <c r="AE139" s="382"/>
      <c r="AF139" s="382"/>
      <c r="AG139" s="382"/>
    </row>
    <row r="140" spans="1:34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82"/>
      <c r="K140" s="382"/>
      <c r="L140" s="382"/>
      <c r="M140" s="382"/>
      <c r="N140" s="382"/>
      <c r="O140" s="382"/>
      <c r="S140" s="382"/>
      <c r="T140" s="382"/>
      <c r="U140" s="382"/>
      <c r="V140" s="382"/>
      <c r="W140" s="382"/>
      <c r="X140" s="382"/>
      <c r="AB140" s="382"/>
      <c r="AC140" s="382"/>
      <c r="AD140" s="382"/>
      <c r="AE140" s="382"/>
      <c r="AF140" s="382"/>
      <c r="AG140" s="382"/>
    </row>
    <row r="141" spans="1:34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17199.995999999999</v>
      </c>
      <c r="H141" s="122">
        <f>(H135+H136+H139+H140+H137)-H138</f>
        <v>19695</v>
      </c>
      <c r="J141" s="382"/>
      <c r="K141" s="382"/>
      <c r="L141" s="382"/>
      <c r="M141" s="382"/>
      <c r="N141" s="382"/>
      <c r="O141" s="382"/>
      <c r="S141" s="382"/>
      <c r="T141" s="382"/>
      <c r="U141" s="382"/>
      <c r="V141" s="382"/>
      <c r="W141" s="382"/>
      <c r="X141" s="382"/>
      <c r="AB141" s="382"/>
      <c r="AC141" s="382"/>
      <c r="AD141" s="382"/>
      <c r="AE141" s="382"/>
      <c r="AF141" s="382"/>
      <c r="AG141" s="382"/>
    </row>
    <row r="142" spans="1:34">
      <c r="A142" s="357" t="s">
        <v>179</v>
      </c>
      <c r="B142" s="357"/>
      <c r="C142" s="357"/>
      <c r="D142" s="357"/>
      <c r="E142" s="357"/>
      <c r="F142" s="357"/>
      <c r="G142" s="36">
        <f>F142</f>
        <v>0</v>
      </c>
      <c r="H142" s="36">
        <f>G142</f>
        <v>0</v>
      </c>
      <c r="J142" s="382"/>
      <c r="K142" s="382"/>
      <c r="L142" s="382"/>
      <c r="M142" s="382"/>
      <c r="N142" s="382"/>
      <c r="O142" s="382"/>
      <c r="S142" s="382"/>
      <c r="T142" s="382"/>
      <c r="U142" s="382"/>
      <c r="V142" s="382"/>
      <c r="W142" s="382"/>
      <c r="X142" s="382"/>
      <c r="AB142" s="382"/>
      <c r="AC142" s="382"/>
      <c r="AD142" s="382"/>
      <c r="AE142" s="382"/>
      <c r="AF142" s="382"/>
      <c r="AG142" s="382"/>
    </row>
    <row r="143" spans="1:34">
      <c r="A143" s="358" t="s">
        <v>180</v>
      </c>
      <c r="B143" s="358"/>
      <c r="C143" s="358"/>
      <c r="D143" s="358"/>
      <c r="E143" s="358"/>
      <c r="F143" s="358"/>
      <c r="G143" s="29"/>
      <c r="H143" s="29"/>
      <c r="J143" s="382"/>
      <c r="K143" s="382"/>
      <c r="L143" s="382"/>
      <c r="M143" s="382"/>
      <c r="N143" s="382"/>
      <c r="O143" s="382"/>
      <c r="S143" s="382"/>
      <c r="T143" s="382"/>
      <c r="U143" s="382"/>
      <c r="V143" s="382"/>
      <c r="W143" s="382"/>
      <c r="X143" s="382"/>
      <c r="AB143" s="382"/>
      <c r="AC143" s="382"/>
      <c r="AD143" s="382"/>
      <c r="AE143" s="382"/>
      <c r="AF143" s="382"/>
      <c r="AG143" s="382"/>
    </row>
    <row r="144" spans="1:34">
      <c r="A144" s="124" t="s">
        <v>26</v>
      </c>
      <c r="B144" s="360">
        <v>0</v>
      </c>
      <c r="C144" s="360"/>
      <c r="D144" s="360"/>
      <c r="E144" s="360"/>
      <c r="F144" s="360"/>
      <c r="G144" s="36">
        <v>0</v>
      </c>
      <c r="H144" s="36">
        <v>0</v>
      </c>
      <c r="K144" s="382"/>
      <c r="L144" s="382"/>
      <c r="M144" s="382"/>
      <c r="N144" s="382"/>
      <c r="O144" s="382"/>
      <c r="T144" s="382"/>
      <c r="U144" s="382"/>
      <c r="V144" s="382"/>
      <c r="W144" s="382"/>
      <c r="X144" s="382"/>
      <c r="AC144" s="382"/>
      <c r="AD144" s="382"/>
      <c r="AE144" s="382"/>
      <c r="AF144" s="382"/>
      <c r="AG144" s="382"/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36">
        <v>0</v>
      </c>
      <c r="H145" s="36">
        <v>0</v>
      </c>
      <c r="I145" s="4">
        <f>(G142+G145+G146+G144)</f>
        <v>0</v>
      </c>
      <c r="K145" s="382"/>
      <c r="L145" s="382"/>
      <c r="M145" s="382"/>
      <c r="N145" s="382"/>
      <c r="O145" s="382"/>
      <c r="T145" s="382"/>
      <c r="U145" s="382"/>
      <c r="V145" s="382"/>
      <c r="W145" s="382"/>
      <c r="X145" s="382"/>
      <c r="AC145" s="382"/>
      <c r="AD145" s="382"/>
      <c r="AE145" s="382"/>
      <c r="AF145" s="382"/>
      <c r="AG145" s="382"/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36">
        <v>0</v>
      </c>
      <c r="H146" s="36">
        <v>0</v>
      </c>
      <c r="I146" s="4">
        <f>(H142+H144+H145+H146)</f>
        <v>0</v>
      </c>
      <c r="K146" s="382"/>
      <c r="L146" s="382"/>
      <c r="M146" s="382"/>
      <c r="N146" s="382"/>
      <c r="O146" s="382"/>
      <c r="T146" s="382"/>
      <c r="U146" s="382"/>
      <c r="V146" s="382"/>
      <c r="W146" s="382"/>
      <c r="X146" s="382"/>
      <c r="AC146" s="382"/>
      <c r="AD146" s="382"/>
      <c r="AE146" s="382"/>
      <c r="AF146" s="382"/>
      <c r="AG146" s="382"/>
    </row>
    <row r="147" spans="1:35" ht="21">
      <c r="A147" s="357" t="s">
        <v>182</v>
      </c>
      <c r="B147" s="357"/>
      <c r="C147" s="357"/>
      <c r="D147" s="357"/>
      <c r="E147" s="357"/>
      <c r="F147" s="357"/>
      <c r="G147" s="126">
        <f>G141-((G144*1.2)+(G145*1.2)+(G146*1.2)+(G142*1.2))</f>
        <v>17199.995999999999</v>
      </c>
      <c r="H147" s="126">
        <f>H141-((H144*1.2)+(H145*1.2)+(H146*1.2)+(H142*1.2))</f>
        <v>19695</v>
      </c>
      <c r="J147" s="382"/>
      <c r="K147" s="382"/>
      <c r="L147" s="382"/>
      <c r="M147" s="382"/>
      <c r="N147" s="382"/>
      <c r="O147" s="382"/>
      <c r="S147" s="382"/>
      <c r="T147" s="382"/>
      <c r="U147" s="382"/>
      <c r="V147" s="382"/>
      <c r="W147" s="382"/>
      <c r="X147" s="382"/>
      <c r="AB147" s="382"/>
      <c r="AC147" s="382"/>
      <c r="AD147" s="382"/>
      <c r="AE147" s="382"/>
      <c r="AF147" s="382"/>
      <c r="AG147" s="382"/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2079.170000000001</v>
      </c>
      <c r="I148" s="4">
        <f>(H148-G81)/1.2</f>
        <v>-11767.358333333332</v>
      </c>
      <c r="J148" s="382"/>
      <c r="K148" s="382"/>
      <c r="L148" s="382"/>
      <c r="M148" s="382"/>
      <c r="N148" s="382"/>
      <c r="O148" s="382"/>
      <c r="S148" s="382"/>
      <c r="T148" s="382"/>
      <c r="U148" s="382"/>
      <c r="V148" s="382"/>
      <c r="W148" s="382"/>
      <c r="X148" s="382"/>
      <c r="AB148" s="382"/>
      <c r="AC148" s="382"/>
      <c r="AD148" s="382"/>
      <c r="AE148" s="382"/>
      <c r="AF148" s="382"/>
      <c r="AG148" s="382"/>
    </row>
    <row r="149" spans="1:35">
      <c r="A149" s="27"/>
      <c r="B149" s="28"/>
      <c r="C149" s="28"/>
      <c r="D149" s="28"/>
      <c r="E149" s="21"/>
      <c r="F149" s="21"/>
      <c r="G149" s="21"/>
      <c r="H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82"/>
      <c r="K150" s="382"/>
      <c r="L150" s="382"/>
      <c r="M150" s="382"/>
      <c r="N150" s="382"/>
      <c r="O150" s="382"/>
      <c r="P150" s="382"/>
      <c r="Q150" s="382"/>
      <c r="S150" s="382"/>
      <c r="T150" s="382"/>
      <c r="U150" s="382"/>
      <c r="V150" s="382"/>
      <c r="W150" s="382"/>
      <c r="X150" s="382"/>
      <c r="Y150" s="382"/>
      <c r="Z150" s="382"/>
      <c r="AB150" s="382"/>
      <c r="AC150" s="382"/>
      <c r="AD150" s="382"/>
      <c r="AE150" s="382"/>
      <c r="AF150" s="382"/>
      <c r="AG150" s="382"/>
      <c r="AH150" s="382"/>
      <c r="AI150" s="382"/>
    </row>
    <row r="151" spans="1:35">
      <c r="A151" s="27"/>
      <c r="B151" s="28"/>
      <c r="C151" s="28"/>
      <c r="D151" s="28"/>
      <c r="E151" s="21"/>
      <c r="F151" s="21"/>
      <c r="G151" s="21"/>
      <c r="H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N152" s="382"/>
      <c r="O152" s="382"/>
      <c r="P152" s="382"/>
      <c r="Q152" s="382"/>
      <c r="W152" s="382"/>
      <c r="X152" s="382"/>
      <c r="Y152" s="382"/>
      <c r="Z152" s="382"/>
      <c r="AF152" s="382"/>
      <c r="AG152" s="382"/>
      <c r="AH152" s="382"/>
      <c r="AI152" s="382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N153" s="382"/>
      <c r="O153" s="382"/>
      <c r="P153" s="382"/>
      <c r="Q153" s="382"/>
      <c r="W153" s="382"/>
      <c r="X153" s="382"/>
      <c r="Y153" s="382"/>
      <c r="Z153" s="382"/>
      <c r="AF153" s="382"/>
      <c r="AG153" s="382"/>
      <c r="AH153" s="382"/>
      <c r="AI153" s="382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N154" s="382"/>
      <c r="O154" s="382"/>
      <c r="P154" s="382"/>
      <c r="Q154" s="382"/>
      <c r="W154" s="382"/>
      <c r="X154" s="382"/>
      <c r="Y154" s="382"/>
      <c r="Z154" s="382"/>
      <c r="AF154" s="382"/>
      <c r="AG154" s="382"/>
      <c r="AH154" s="382"/>
      <c r="AI154" s="382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N155" s="382"/>
      <c r="O155" s="382"/>
      <c r="W155" s="382"/>
      <c r="X155" s="382"/>
      <c r="AF155" s="382"/>
      <c r="AG155" s="382"/>
    </row>
    <row r="156" spans="1:35">
      <c r="A156" s="27" t="s">
        <v>189</v>
      </c>
      <c r="B156" s="28"/>
      <c r="C156" s="28"/>
      <c r="D156" s="21"/>
      <c r="E156" s="28"/>
      <c r="F156" s="21"/>
      <c r="G156" s="21"/>
      <c r="H156" s="36">
        <v>1150</v>
      </c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0</v>
      </c>
      <c r="H157" s="365"/>
      <c r="P157" s="382"/>
      <c r="Q157" s="382"/>
      <c r="Y157" s="382"/>
      <c r="Z157" s="382"/>
      <c r="AH157" s="382"/>
      <c r="AI157" s="382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20845</v>
      </c>
      <c r="H158" s="366"/>
      <c r="P158" s="382"/>
      <c r="Q158" s="382"/>
      <c r="Y158" s="382"/>
      <c r="Z158" s="382"/>
      <c r="AH158" s="382"/>
      <c r="AI158" s="382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833.33333333333337</v>
      </c>
      <c r="H159" s="367"/>
      <c r="P159" s="382"/>
      <c r="Q159" s="382"/>
      <c r="Y159" s="382"/>
      <c r="Z159" s="382"/>
      <c r="AH159" s="382"/>
      <c r="AI159" s="382"/>
    </row>
    <row r="160" spans="1:35">
      <c r="A160" s="27"/>
      <c r="B160" s="28"/>
      <c r="C160" s="28"/>
      <c r="D160" s="28"/>
      <c r="E160" s="21"/>
      <c r="F160" s="21"/>
      <c r="G160" s="21"/>
      <c r="H160" s="29"/>
    </row>
    <row r="161" spans="1:35">
      <c r="A161" s="27"/>
      <c r="B161" s="28"/>
      <c r="C161" s="28"/>
      <c r="D161" s="28"/>
      <c r="E161" s="21"/>
      <c r="F161" s="21"/>
      <c r="G161" s="21"/>
      <c r="H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82"/>
      <c r="K162" s="382"/>
      <c r="L162" s="382"/>
      <c r="M162" s="382"/>
      <c r="N162" s="382"/>
      <c r="O162" s="382"/>
      <c r="P162" s="382"/>
      <c r="Q162" s="382"/>
      <c r="S162" s="382"/>
      <c r="T162" s="382"/>
      <c r="U162" s="382"/>
      <c r="V162" s="382"/>
      <c r="W162" s="382"/>
      <c r="X162" s="382"/>
      <c r="Y162" s="382"/>
      <c r="Z162" s="382"/>
      <c r="AB162" s="382"/>
      <c r="AC162" s="382"/>
      <c r="AD162" s="382"/>
      <c r="AE162" s="382"/>
      <c r="AF162" s="382"/>
      <c r="AG162" s="382"/>
      <c r="AH162" s="382"/>
      <c r="AI162" s="382"/>
    </row>
    <row r="163" spans="1:35">
      <c r="A163" s="27"/>
      <c r="B163" s="28"/>
      <c r="C163" s="28"/>
      <c r="D163" s="28"/>
      <c r="E163" s="21"/>
      <c r="F163" s="21"/>
      <c r="G163" s="21"/>
      <c r="H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K164" s="382"/>
      <c r="L164" s="382"/>
      <c r="T164" s="382"/>
      <c r="U164" s="382"/>
      <c r="AC164" s="382"/>
      <c r="AD164" s="382"/>
    </row>
    <row r="165" spans="1:35">
      <c r="A165" s="27"/>
      <c r="B165" s="28"/>
      <c r="C165" s="28"/>
      <c r="D165" s="28"/>
      <c r="E165" s="21"/>
      <c r="F165" s="21"/>
      <c r="G165" s="21"/>
      <c r="H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</row>
    <row r="167" spans="1:35">
      <c r="A167" s="189">
        <f>B95</f>
        <v>952.14050266618403</v>
      </c>
      <c r="B167" s="133" t="str">
        <f>B94</f>
        <v>0</v>
      </c>
      <c r="C167" s="131"/>
      <c r="D167" s="131"/>
      <c r="E167" s="133">
        <f>B96</f>
        <v>952.14050266618403</v>
      </c>
      <c r="F167" s="21"/>
      <c r="G167" s="21">
        <f>ROUND(G95,2)</f>
        <v>887.44</v>
      </c>
      <c r="H167" s="29"/>
    </row>
    <row r="168" spans="1:35">
      <c r="A168" s="27"/>
      <c r="B168" s="28"/>
      <c r="C168" s="28"/>
      <c r="D168" s="28"/>
      <c r="E168" s="21"/>
      <c r="F168" s="21"/>
      <c r="G168" s="21"/>
      <c r="H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</row>
    <row r="170" spans="1:35">
      <c r="A170" s="134" t="str">
        <f>H29</f>
        <v>12</v>
      </c>
      <c r="B170" s="170" t="str">
        <f>H30</f>
        <v>5000</v>
      </c>
      <c r="C170" s="136"/>
      <c r="D170" s="21"/>
      <c r="E170" s="137">
        <v>7200</v>
      </c>
      <c r="F170" s="21"/>
      <c r="G170" s="21"/>
      <c r="H170" s="29"/>
    </row>
    <row r="171" spans="1:35">
      <c r="A171" s="27"/>
      <c r="B171" s="28"/>
      <c r="C171" s="28"/>
      <c r="D171" s="21"/>
      <c r="E171" s="28"/>
      <c r="F171" s="21"/>
      <c r="G171" s="21"/>
      <c r="H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</row>
    <row r="173" spans="1:35">
      <c r="A173" s="138">
        <f>H141-H137-H139-H140</f>
        <v>16412.5</v>
      </c>
      <c r="B173" s="34">
        <f>H137</f>
        <v>3282.5</v>
      </c>
      <c r="C173" s="38"/>
      <c r="D173" s="21"/>
      <c r="E173" s="137">
        <f>H139+H140</f>
        <v>0</v>
      </c>
      <c r="F173" s="21"/>
      <c r="G173" s="21"/>
      <c r="H173" s="29"/>
    </row>
    <row r="174" spans="1:35">
      <c r="A174" s="27"/>
      <c r="B174" s="28"/>
      <c r="C174" s="28"/>
      <c r="D174" s="21"/>
      <c r="E174" s="28"/>
      <c r="F174" s="21"/>
      <c r="G174" s="21"/>
      <c r="H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</row>
    <row r="176" spans="1:35">
      <c r="A176" s="138">
        <f>H147</f>
        <v>19695</v>
      </c>
      <c r="B176" s="34">
        <f>B111</f>
        <v>0</v>
      </c>
      <c r="C176" s="34"/>
      <c r="D176" s="21"/>
      <c r="E176" s="34">
        <f>E111</f>
        <v>0</v>
      </c>
      <c r="F176" s="21"/>
      <c r="G176" s="21"/>
      <c r="H176" s="90"/>
    </row>
    <row r="177" spans="1:8">
      <c r="A177" s="27"/>
      <c r="B177" s="28"/>
      <c r="C177" s="28"/>
      <c r="D177" s="21"/>
      <c r="E177" s="28"/>
      <c r="F177" s="21"/>
      <c r="G177" s="21"/>
      <c r="H177" s="29"/>
    </row>
    <row r="178" spans="1:8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</row>
    <row r="179" spans="1:8">
      <c r="A179" s="94">
        <f>B176+E176</f>
        <v>0</v>
      </c>
      <c r="B179" s="34">
        <f>G154</f>
        <v>0</v>
      </c>
      <c r="C179" s="34"/>
      <c r="D179" s="21"/>
      <c r="E179" s="34">
        <f>G158</f>
        <v>20845</v>
      </c>
      <c r="F179" s="21"/>
      <c r="G179" s="21"/>
      <c r="H179" s="90"/>
    </row>
    <row r="180" spans="1:8">
      <c r="A180" s="27"/>
      <c r="B180" s="28"/>
      <c r="C180" s="28"/>
      <c r="D180" s="21"/>
      <c r="E180" s="28"/>
      <c r="F180" s="21"/>
      <c r="G180" s="21"/>
      <c r="H180" s="29"/>
    </row>
    <row r="181" spans="1:8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</row>
    <row r="182" spans="1:8">
      <c r="A182" s="94">
        <f>(A167*B59)+E185-E179-A185</f>
        <v>-3171.4544706719753</v>
      </c>
      <c r="B182" s="34">
        <f>B114</f>
        <v>833.33333333333337</v>
      </c>
      <c r="C182" s="34"/>
      <c r="D182" s="21"/>
      <c r="E182" s="34">
        <f>E179+A182+(B182*1.2)+A185</f>
        <v>18683.545529328025</v>
      </c>
      <c r="F182" s="21"/>
      <c r="G182" s="21"/>
      <c r="H182" s="90"/>
    </row>
    <row r="183" spans="1:8">
      <c r="A183" s="27"/>
      <c r="B183" s="28"/>
      <c r="C183" s="28"/>
      <c r="D183" s="21"/>
      <c r="E183" s="28"/>
      <c r="F183" s="21"/>
      <c r="G183" s="21"/>
      <c r="H183" s="29"/>
    </row>
    <row r="184" spans="1:8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</row>
    <row r="185" spans="1:8">
      <c r="A185" s="94">
        <f>B60</f>
        <v>10</v>
      </c>
      <c r="B185" s="34">
        <f>A179+(B182*1.2)</f>
        <v>1000</v>
      </c>
      <c r="C185" s="34"/>
      <c r="D185" s="21"/>
      <c r="E185" s="34">
        <f>IF( E170=0, A185+E167, E170+A185)</f>
        <v>7210</v>
      </c>
      <c r="F185" s="21"/>
      <c r="G185" s="21"/>
      <c r="H185" s="90"/>
    </row>
    <row r="186" spans="1:8">
      <c r="A186" s="27"/>
      <c r="B186" s="28"/>
      <c r="C186" s="28"/>
      <c r="D186" s="28"/>
      <c r="E186" s="21"/>
      <c r="F186" s="21"/>
      <c r="G186" s="21"/>
      <c r="H186" s="29"/>
    </row>
    <row r="187" spans="1:8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</row>
    <row r="188" spans="1:8">
      <c r="A188" s="94">
        <f>J18*0.000002*100</f>
        <v>8.1052</v>
      </c>
      <c r="B188" s="34">
        <f>(G158*B67)</f>
        <v>416.90000000000003</v>
      </c>
      <c r="C188" s="28"/>
      <c r="D188" s="28"/>
      <c r="E188" s="34">
        <f>IF(E105="YES",(H36*A108)*0.1,0)</f>
        <v>0</v>
      </c>
      <c r="F188" s="21"/>
      <c r="G188" s="21"/>
      <c r="H188" s="29"/>
    </row>
    <row r="189" spans="1:8">
      <c r="A189" s="94"/>
      <c r="B189" s="34"/>
      <c r="C189" s="28"/>
      <c r="D189" s="28"/>
      <c r="E189" s="21"/>
      <c r="F189" s="21"/>
      <c r="G189" s="21"/>
      <c r="H189" s="29"/>
    </row>
    <row r="190" spans="1:8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</row>
    <row r="191" spans="1:8">
      <c r="A191" s="94">
        <v>10</v>
      </c>
      <c r="B191" s="34">
        <f>B188+E188+A191</f>
        <v>426.90000000000003</v>
      </c>
      <c r="C191" s="28"/>
      <c r="D191" s="28"/>
      <c r="E191" s="34">
        <f>H148</f>
        <v>2079.170000000001</v>
      </c>
      <c r="F191" s="21"/>
      <c r="G191" s="21"/>
      <c r="H191" s="29"/>
    </row>
    <row r="192" spans="1:8">
      <c r="A192" s="27"/>
      <c r="B192" s="28"/>
      <c r="C192" s="28"/>
      <c r="D192" s="28"/>
      <c r="E192" s="21"/>
      <c r="F192" s="21"/>
      <c r="G192" s="21"/>
      <c r="H192" s="29"/>
    </row>
    <row r="193" spans="1:31">
      <c r="A193" s="58" t="s">
        <v>214</v>
      </c>
      <c r="B193" s="28"/>
      <c r="C193" s="28"/>
      <c r="D193" s="59"/>
      <c r="E193" s="59"/>
      <c r="F193" s="59"/>
      <c r="G193" s="59"/>
      <c r="H193" s="60"/>
    </row>
    <row r="194" spans="1:31">
      <c r="A194" s="27"/>
      <c r="B194" s="61"/>
      <c r="C194" s="61"/>
      <c r="D194" s="28"/>
      <c r="E194" s="21"/>
      <c r="F194" s="21"/>
      <c r="G194" s="21"/>
      <c r="H194" s="29"/>
    </row>
    <row r="195" spans="1:31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82"/>
      <c r="K195" s="382"/>
      <c r="L195" s="382"/>
      <c r="M195" s="382"/>
      <c r="S195" s="382"/>
      <c r="T195" s="382"/>
      <c r="U195" s="382"/>
      <c r="V195" s="382"/>
      <c r="AB195" s="382"/>
      <c r="AC195" s="382"/>
      <c r="AD195" s="382"/>
      <c r="AE195" s="382"/>
    </row>
    <row r="196" spans="1:31" ht="19.5" customHeight="1">
      <c r="A196" s="369"/>
      <c r="B196" s="342" t="str">
        <f>H30</f>
        <v>5000</v>
      </c>
      <c r="C196" s="342"/>
      <c r="D196" s="342"/>
      <c r="E196" s="21"/>
      <c r="F196" s="21"/>
      <c r="G196" s="21"/>
      <c r="H196" s="29"/>
      <c r="J196" s="382"/>
      <c r="K196" s="382"/>
      <c r="L196" s="382"/>
      <c r="M196" s="382"/>
      <c r="S196" s="382"/>
      <c r="T196" s="382"/>
      <c r="U196" s="382"/>
      <c r="V196" s="382"/>
      <c r="AB196" s="382"/>
      <c r="AC196" s="382"/>
      <c r="AD196" s="382"/>
      <c r="AE196" s="382"/>
    </row>
    <row r="197" spans="1:31">
      <c r="A197" s="62" t="str">
        <f>H29</f>
        <v>12</v>
      </c>
      <c r="B197" s="343">
        <f>B96</f>
        <v>952.14050266618403</v>
      </c>
      <c r="C197" s="343"/>
      <c r="D197" s="343"/>
      <c r="E197" s="21"/>
      <c r="F197" s="21"/>
      <c r="G197" s="21"/>
      <c r="H197" s="29"/>
      <c r="K197" s="382"/>
      <c r="L197" s="382"/>
      <c r="M197" s="382"/>
      <c r="T197" s="382"/>
      <c r="U197" s="382"/>
      <c r="V197" s="382"/>
      <c r="AC197" s="382"/>
      <c r="AD197" s="382"/>
      <c r="AE197" s="382"/>
    </row>
    <row r="198" spans="1:31">
      <c r="A198" s="27"/>
      <c r="B198" s="28"/>
      <c r="C198" s="28"/>
      <c r="D198" s="28"/>
      <c r="E198" s="21"/>
      <c r="F198" s="21"/>
      <c r="G198" s="21"/>
      <c r="H198" s="29"/>
    </row>
    <row r="199" spans="1:31">
      <c r="A199" s="27"/>
      <c r="B199" s="28"/>
      <c r="C199" s="28"/>
      <c r="D199" s="28"/>
      <c r="E199" s="21"/>
      <c r="F199" s="21"/>
      <c r="G199" s="21"/>
      <c r="H199" s="29"/>
    </row>
    <row r="200" spans="1:31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</row>
    <row r="201" spans="1:31">
      <c r="A201" s="32">
        <f>IF(A40=0,((G167*(B59+1))-E179),((G167*B59)+E185-E179-A185))</f>
        <v>-3883.16</v>
      </c>
      <c r="B201" s="38">
        <f>E179+A201+(B182*1.2)+A185</f>
        <v>17971.84</v>
      </c>
      <c r="C201" s="28"/>
      <c r="D201" s="28"/>
      <c r="E201" s="21"/>
      <c r="F201" s="21"/>
      <c r="G201" s="21"/>
      <c r="H201" s="29"/>
    </row>
    <row r="202" spans="1:31">
      <c r="A202" s="49"/>
      <c r="B202" s="50"/>
      <c r="C202" s="50"/>
      <c r="D202" s="50"/>
      <c r="E202" s="50"/>
      <c r="F202" s="50"/>
      <c r="G202" s="50"/>
      <c r="H202" s="57"/>
    </row>
    <row r="206" spans="1:31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1">
      <c r="A207" s="27"/>
      <c r="B207" s="28"/>
      <c r="C207" s="28"/>
      <c r="D207" s="28"/>
      <c r="E207" s="21"/>
      <c r="F207" s="21"/>
      <c r="G207" s="21"/>
      <c r="H207" s="29"/>
    </row>
    <row r="208" spans="1:31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30" t="s">
        <v>279</v>
      </c>
      <c r="B209" s="131" t="str">
        <f>A197</f>
        <v>12</v>
      </c>
      <c r="C209" s="131"/>
      <c r="D209" s="131"/>
      <c r="E209" s="131" t="str">
        <f>B196</f>
        <v>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952.14050266618403</v>
      </c>
      <c r="B212" s="133" t="str">
        <f>B167</f>
        <v>0</v>
      </c>
      <c r="C212" s="131"/>
      <c r="D212" s="131"/>
      <c r="E212" s="133">
        <f>E167</f>
        <v>952.14050266618403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16412.5</v>
      </c>
      <c r="B215" s="34">
        <f>B173</f>
        <v>3282.5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19695</v>
      </c>
      <c r="B218" s="34">
        <f>B176</f>
        <v>0</v>
      </c>
      <c r="C218" s="34"/>
      <c r="D218" s="21"/>
      <c r="E218" s="34">
        <f>E176</f>
        <v>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0</v>
      </c>
      <c r="B221" s="34">
        <f>B179</f>
        <v>0</v>
      </c>
      <c r="C221" s="34"/>
      <c r="D221" s="21"/>
      <c r="E221" s="34">
        <f>E179</f>
        <v>20845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-3171.4544706719753</v>
      </c>
      <c r="B224" s="34">
        <f>B182</f>
        <v>833.33333333333337</v>
      </c>
      <c r="C224" s="34"/>
      <c r="D224" s="21"/>
      <c r="E224" s="34">
        <f>E182</f>
        <v>18683.545529328025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1000</v>
      </c>
      <c r="C227" s="34"/>
      <c r="D227" s="21"/>
      <c r="E227" s="34">
        <f>B59</f>
        <v>11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952.14050266618403</v>
      </c>
      <c r="B230" s="34" t="str">
        <f>B167</f>
        <v>0</v>
      </c>
      <c r="C230" s="38"/>
      <c r="D230" s="38"/>
      <c r="E230" s="34">
        <f>E167</f>
        <v>952.14050266618403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198</v>
      </c>
      <c r="B232" s="28" t="s">
        <v>220</v>
      </c>
      <c r="C232" s="28"/>
      <c r="D232" s="28"/>
      <c r="E232" s="28" t="s">
        <v>221</v>
      </c>
      <c r="F232" s="21"/>
      <c r="G232" s="21"/>
      <c r="H232" s="29"/>
    </row>
    <row r="233" spans="1:8">
      <c r="A233" s="94">
        <f>E170</f>
        <v>7200</v>
      </c>
      <c r="B233" s="34">
        <f>E185</f>
        <v>7210</v>
      </c>
      <c r="C233" s="28"/>
      <c r="D233" s="28"/>
      <c r="E233" s="34">
        <f>A188</f>
        <v>8.1052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142</v>
      </c>
      <c r="B235" s="34"/>
      <c r="C235" s="28"/>
      <c r="D235" s="28"/>
      <c r="E235" s="34"/>
      <c r="F235" s="21"/>
      <c r="G235" s="21"/>
      <c r="H235" s="29"/>
    </row>
    <row r="236" spans="1:8">
      <c r="A236" s="94"/>
      <c r="B236" s="34"/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2079.170000000001</v>
      </c>
      <c r="B240" s="34">
        <f>B188</f>
        <v>416.90000000000003</v>
      </c>
      <c r="C240" s="28"/>
      <c r="D240" s="28"/>
      <c r="E240" s="34">
        <f>IF(E105="YES",(H36*A108)*0.1,0)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1356.0700000000011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B63</f>
        <v>6.5000000000000002E-2</v>
      </c>
      <c r="C253" s="144"/>
      <c r="D253" s="374" t="s">
        <v>226</v>
      </c>
      <c r="E253" s="374"/>
      <c r="F253" s="143">
        <f>B83</f>
        <v>0.1255</v>
      </c>
      <c r="G253" s="21"/>
      <c r="H253" s="29"/>
    </row>
    <row r="254" spans="1:8">
      <c r="A254" s="139" t="s">
        <v>227</v>
      </c>
      <c r="B254" s="146">
        <f>(E182-B182)-(B201-B182-A185)</f>
        <v>721.70552932802457</v>
      </c>
      <c r="C254" s="144"/>
      <c r="D254" s="374" t="s">
        <v>228</v>
      </c>
      <c r="E254" s="374"/>
      <c r="F254" s="146">
        <f>F261+F267+F269+B270+B271</f>
        <v>416.90000000000003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314.80552932802453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0.1255</v>
      </c>
      <c r="C260" s="38"/>
      <c r="D260" s="363" t="s">
        <v>227</v>
      </c>
      <c r="E260" s="363"/>
      <c r="F260" s="115">
        <f>(B89*B59)-(C89*B59)</f>
        <v>0</v>
      </c>
      <c r="G260" s="21"/>
      <c r="H260" s="29"/>
    </row>
    <row r="261" spans="1:8">
      <c r="A261" s="27" t="s">
        <v>233</v>
      </c>
      <c r="B261" s="155">
        <f>B67</f>
        <v>0.02</v>
      </c>
      <c r="C261" s="28"/>
      <c r="D261" s="363" t="s">
        <v>233</v>
      </c>
      <c r="E261" s="363"/>
      <c r="F261" s="119">
        <f>B68</f>
        <v>416.90000000000003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314.80552932802453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71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A100:H100"/>
    <mergeCell ref="J100:Q100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G42:H42"/>
    <mergeCell ref="B44:C44"/>
    <mergeCell ref="D44:E44"/>
    <mergeCell ref="B47:C47"/>
    <mergeCell ref="D47:E47"/>
    <mergeCell ref="A51:A52"/>
    <mergeCell ref="B51:C51"/>
    <mergeCell ref="B52:C52"/>
    <mergeCell ref="B53:C53"/>
    <mergeCell ref="B30:C30"/>
    <mergeCell ref="B32:C32"/>
    <mergeCell ref="D32:E32"/>
    <mergeCell ref="B35:C35"/>
    <mergeCell ref="D35:E35"/>
    <mergeCell ref="B38:C38"/>
    <mergeCell ref="D38:E38"/>
    <mergeCell ref="J38:K38"/>
    <mergeCell ref="B41:C41"/>
    <mergeCell ref="D41:E41"/>
    <mergeCell ref="A1:F1"/>
    <mergeCell ref="D7:E18"/>
    <mergeCell ref="A16:C18"/>
    <mergeCell ref="A19:D19"/>
    <mergeCell ref="A21:D21"/>
    <mergeCell ref="A24:E24"/>
    <mergeCell ref="A26:E26"/>
    <mergeCell ref="B29:C29"/>
    <mergeCell ref="D29:E29"/>
  </mergeCells>
  <dataValidations count="4">
    <dataValidation type="list" allowBlank="1" showErrorMessage="1" sqref="B38" xr:uid="{00000000-0002-0000-0700-000001000000}">
      <formula1>$Z$19:$Z$20</formula1>
      <formula2>0</formula2>
    </dataValidation>
    <dataValidation type="list" allowBlank="1" showInputMessage="1" showErrorMessage="1" sqref="B105 C108:D108 A144:A146" xr:uid="{00000000-0002-0000-0700-000002000000}">
      <formula1>#REF!</formula1>
      <formula2>0</formula2>
    </dataValidation>
    <dataValidation type="list" allowBlank="1" showInputMessage="1" showErrorMessage="1" sqref="E105 A111" xr:uid="{00000000-0002-0000-0700-000003000000}">
      <formula1>"YES,NO"</formula1>
      <formula2>0</formula2>
    </dataValidation>
    <dataValidation type="list" allowBlank="1" showInputMessage="1" showErrorMessage="1" sqref="B108" xr:uid="{00000000-0002-0000-0700-000004000000}">
      <formula1>"A1 Credit,Limited Credit"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7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1000"/>
  <sheetViews>
    <sheetView topLeftCell="A169" zoomScale="110" zoomScaleNormal="110" workbookViewId="0">
      <selection activeCell="D195" sqref="D195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190">
        <v>40526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IF(A32=Z101,1,IF(A32=Z102,1,IF(A32=Z103,3,IF(A32=Z104,6,IF(A32=Z105,9,IF(A32=Z106,12,IF(A32=Z107,3,IF(A32=Z108,6,IF(A32=Z109,9,0)))))))))</f>
        <v>1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IF(A32=Z101,H29-H27,IF(A32=Z102,H29-H27,IF(A32=Z103,H29-1,IF(A32=Z104,H29-1,IF(A32=Z105,H29-1,IF(A32=Z106,H29-1,IF(A32=Z107,H29-H27,IF(A32=Z108,H29-H27,IF(A32=Z109,H29-H27,0)))))))))</f>
        <v>11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>
        <f>IF(A32=Z101,D38,IF(A32=Z102,D38,IF(A32=Z103,(D38*3),IF(A32=Z104,(D38*6),IF(A32=Z105,(D38*9),IF(A32=Z106,(D38*12),IF(A32=Z107,D38,IF(A32=Z108,D38,IF(A32=Z109,D38,0)))))))))</f>
        <v>500</v>
      </c>
      <c r="C32" s="381"/>
      <c r="D32" s="381">
        <f>IF(A32=Z101,A41,IF(A32=Z102,A41,IF(A32=Z103,(A41*3),IF(A32=Z104,(A41*6),IF(A32=Z105,(A41*9),IF(A32=Z106,(A41*12),IF(A32=Z107,A41,IF(A32=Z108,A41,IF(A32=Z109,A41,0)))))))))</f>
        <v>50</v>
      </c>
      <c r="E32" s="381"/>
      <c r="F32" s="55"/>
      <c r="G32" s="168" t="s">
        <v>253</v>
      </c>
      <c r="H32" s="166">
        <f>A41</f>
        <v>50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/>
      <c r="H33" s="160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>
        <f>D41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550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>
        <v>500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151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>
        <v>50</v>
      </c>
      <c r="B41" s="383">
        <f>IF(B38="YES",D38+A41,D38)</f>
        <v>550</v>
      </c>
      <c r="C41" s="383"/>
      <c r="D41" s="346">
        <v>12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261</v>
      </c>
      <c r="B43" s="178" t="s">
        <v>262</v>
      </c>
      <c r="C43" s="171"/>
      <c r="D43" s="178" t="s">
        <v>266</v>
      </c>
      <c r="E43" s="181"/>
      <c r="F43" s="55"/>
      <c r="G43" s="55" t="s">
        <v>263</v>
      </c>
      <c r="H43" s="5">
        <f>(((D38*(B35-1))+B32)/B35)+(D41/B35)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>
        <v>1</v>
      </c>
      <c r="B44" s="346">
        <v>1</v>
      </c>
      <c r="C44" s="346"/>
      <c r="D44" s="394">
        <f>A44+B44</f>
        <v>2</v>
      </c>
      <c r="E44" s="394"/>
      <c r="F44" s="55"/>
      <c r="G44" s="55" t="s">
        <v>264</v>
      </c>
      <c r="H44" s="5">
        <f>((A41*(B35-1))+D32)/B35</f>
        <v>50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551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1" t="s">
        <v>280</v>
      </c>
      <c r="B46" s="171"/>
      <c r="C46" s="171"/>
      <c r="D46" s="171"/>
      <c r="E46" s="181"/>
      <c r="F46" s="55"/>
      <c r="G46" s="55" t="s">
        <v>269</v>
      </c>
      <c r="H46" s="5">
        <f>H43</f>
        <v>501</v>
      </c>
      <c r="I46" s="5" t="s">
        <v>10</v>
      </c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6"/>
      <c r="B47" s="171"/>
      <c r="C47" s="171"/>
      <c r="D47" s="171"/>
      <c r="E47" s="181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/>
      <c r="H49" s="20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5000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12</v>
      </c>
      <c r="B52" s="343">
        <f>H45</f>
        <v>551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IF(B99=Z101,1,IF(B99=Z102,1,IF(B99=Z103,3,IF(B99=Z104,6,IF(B99=Z105,9,IF(B99=Z106,12,IF(B99=Z107,3,IF(B99=Z108,6,IF(B99=Z109,9,0)))))))))</f>
        <v>1</v>
      </c>
      <c r="C57" s="158"/>
      <c r="D57" s="158"/>
      <c r="E57" s="159"/>
      <c r="F57" s="55"/>
      <c r="G57" s="157" t="s">
        <v>96</v>
      </c>
      <c r="H57" s="158">
        <f>IF(H99=Z101,1,IF(H99=Z102,1,IF(H99=Z103,3,IF(H99=Z104,6,IF(H99=Z105,9,IF(H99=Z106,12,IF(H99=Z107,3,IF(H99=Z108,6,IF(H99=Z109,9,0)))))))))</f>
        <v>1</v>
      </c>
      <c r="I57" s="158"/>
      <c r="J57" s="158"/>
      <c r="K57" s="159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IF(B99=Z101,H29-B57,IF(B99=Z102,H29-B57,IF(B99=Z103,H29-1,IF(B99=Z104,H29-1,IF(B99=Z105,H29-1,IF(B99=Z106,H29-1,IF(B99=Z107,H29-B57,IF(B99=Z108,H29-B57,IF(B99=Z109,H29-B57,0)))))))))</f>
        <v>11</v>
      </c>
      <c r="C58" s="158" t="s">
        <v>281</v>
      </c>
      <c r="D58" s="158"/>
      <c r="E58" s="159"/>
      <c r="F58" s="55"/>
      <c r="G58" s="157" t="s">
        <v>97</v>
      </c>
      <c r="H58" s="158">
        <f>IF(H99=Z101,H29-H57,IF(H99=Z102,H29-H57,IF(H99=Z103,H29-1,IF(H99=Z104,H29-1,IF(H99=Z105,H29-1,IF(H99=Z106,H29-1,IF(H99=Z107,H29-H57,IF(H99=Z108,H29-H57,IF(H99=Z109,H29-H57,0)))))))))</f>
        <v>11</v>
      </c>
      <c r="I58" s="158"/>
      <c r="J58" s="158"/>
      <c r="K58" s="159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 t="s">
        <v>282</v>
      </c>
      <c r="B60" s="158">
        <f>E19</f>
        <v>17199.995999999999</v>
      </c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f>G18</f>
        <v>40526</v>
      </c>
      <c r="C61" s="158"/>
      <c r="D61" s="158"/>
      <c r="E61" s="159"/>
      <c r="F61" s="55"/>
      <c r="G61" s="157" t="s">
        <v>27</v>
      </c>
      <c r="H61" s="28">
        <f>G18</f>
        <v>40526</v>
      </c>
      <c r="I61" s="158"/>
      <c r="J61" s="158"/>
      <c r="K61" s="159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7.0000000000000007E-2</v>
      </c>
      <c r="C63" s="158"/>
      <c r="D63" s="158"/>
      <c r="E63" s="159"/>
      <c r="F63" s="55"/>
      <c r="G63" s="157" t="s">
        <v>284</v>
      </c>
      <c r="H63" s="214">
        <f>H62+(H62*0.25*(H29/12-1))</f>
        <v>7.0000000000000007E-2</v>
      </c>
      <c r="I63" s="158"/>
      <c r="J63" s="158"/>
      <c r="K63" s="159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B60*B63</f>
        <v>1203.99972</v>
      </c>
      <c r="C64" s="158">
        <v>10000</v>
      </c>
      <c r="D64" s="28">
        <f>B64</f>
        <v>1203.99972</v>
      </c>
      <c r="E64" s="159"/>
      <c r="F64" s="55"/>
      <c r="G64" s="206" t="s">
        <v>102</v>
      </c>
      <c r="H64" s="57">
        <f>H61*H63</f>
        <v>2836.82</v>
      </c>
      <c r="I64" s="158"/>
      <c r="J64" s="28">
        <f>H64</f>
        <v>2836.82</v>
      </c>
      <c r="K64" s="159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>
        <v>100</v>
      </c>
      <c r="C65" s="158"/>
      <c r="D65" s="158"/>
      <c r="E65" s="159"/>
      <c r="F65" s="55"/>
      <c r="G65" s="212" t="s">
        <v>103</v>
      </c>
      <c r="H65" s="213">
        <v>5.0000000000000001E-3</v>
      </c>
      <c r="I65" s="158"/>
      <c r="J65" s="158"/>
      <c r="K65" s="159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158"/>
      <c r="D66" s="158"/>
      <c r="E66" s="159"/>
      <c r="F66" s="55"/>
      <c r="G66" s="157" t="s">
        <v>104</v>
      </c>
      <c r="H66" s="214">
        <f>H65+(H65*0.5*(H29/12-1))</f>
        <v>5.0000000000000001E-3</v>
      </c>
      <c r="I66" s="158"/>
      <c r="J66" s="158"/>
      <c r="K66" s="159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100</v>
      </c>
      <c r="C67" s="158"/>
      <c r="D67" s="28"/>
      <c r="E67" s="159"/>
      <c r="F67" s="55"/>
      <c r="G67" s="206" t="s">
        <v>105</v>
      </c>
      <c r="H67" s="57">
        <f>H61*H66</f>
        <v>202.63</v>
      </c>
      <c r="I67" s="158"/>
      <c r="J67" s="28"/>
      <c r="K67" s="159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158"/>
      <c r="D68" s="15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200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60</v>
      </c>
      <c r="C73" s="158"/>
      <c r="D73" s="28">
        <f>B73+B71</f>
        <v>260</v>
      </c>
      <c r="E73" s="159"/>
      <c r="F73" s="55"/>
      <c r="G73" s="206" t="s">
        <v>111</v>
      </c>
      <c r="H73" s="57">
        <f>H72*H29</f>
        <v>54</v>
      </c>
      <c r="I73" s="158"/>
      <c r="J73" s="28">
        <f>H73+H71</f>
        <v>214</v>
      </c>
      <c r="K73" s="159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0</v>
      </c>
      <c r="C74" s="158"/>
      <c r="D74" s="158"/>
      <c r="E74" s="159"/>
      <c r="F74" s="55"/>
      <c r="G74" s="212" t="s">
        <v>285</v>
      </c>
      <c r="H74" s="74">
        <v>150</v>
      </c>
      <c r="I74" s="158"/>
      <c r="J74" s="158"/>
      <c r="K74" s="159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0</v>
      </c>
      <c r="C75" s="158">
        <f>IF(G18&gt;40000,325,0)</f>
        <v>325</v>
      </c>
      <c r="D75" s="158"/>
      <c r="E75" s="159"/>
      <c r="F75" s="55"/>
      <c r="G75" s="216" t="s">
        <v>286</v>
      </c>
      <c r="H75" s="65">
        <f>IF(G18&gt;40000,325,0)</f>
        <v>325</v>
      </c>
      <c r="I75" s="158"/>
      <c r="J75" s="158"/>
      <c r="K75" s="159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((B74+B75)/12)*(H29-11)</f>
        <v>0</v>
      </c>
      <c r="C76" s="158"/>
      <c r="D76" s="28">
        <f>B76</f>
        <v>0</v>
      </c>
      <c r="E76" s="159"/>
      <c r="F76" s="55"/>
      <c r="G76" s="206" t="s">
        <v>287</v>
      </c>
      <c r="H76" s="57">
        <f>((H74+H75)/12)*(H29-11)</f>
        <v>39.583333333333336</v>
      </c>
      <c r="I76" s="158"/>
      <c r="J76" s="28">
        <f>H76</f>
        <v>39.583333333333336</v>
      </c>
      <c r="K76" s="159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288</v>
      </c>
      <c r="B77" s="74">
        <f>B102/(1-0.1)</f>
        <v>444.44444444444446</v>
      </c>
      <c r="C77" s="158"/>
      <c r="D77" s="28">
        <f>B77</f>
        <v>444.44444444444446</v>
      </c>
      <c r="E77" s="159"/>
      <c r="F77" s="55"/>
      <c r="G77" s="212" t="s">
        <v>288</v>
      </c>
      <c r="H77" s="74">
        <f>H102</f>
        <v>1200</v>
      </c>
      <c r="I77" s="158"/>
      <c r="J77" s="28">
        <f>H77</f>
        <v>1200</v>
      </c>
      <c r="K77" s="159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158"/>
      <c r="D78" s="28">
        <f>B78</f>
        <v>222.22222222222223</v>
      </c>
      <c r="E78" s="159"/>
      <c r="F78" s="55"/>
      <c r="G78" s="157" t="s">
        <v>289</v>
      </c>
      <c r="H78" s="29">
        <f>J102</f>
        <v>0</v>
      </c>
      <c r="I78" s="158"/>
      <c r="J78" s="28">
        <f>H78</f>
        <v>0</v>
      </c>
      <c r="K78" s="159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200</v>
      </c>
      <c r="C79" s="158"/>
      <c r="D79" s="28">
        <f>B79</f>
        <v>200</v>
      </c>
      <c r="E79" s="159"/>
      <c r="F79" s="55"/>
      <c r="G79" s="216" t="s">
        <v>112</v>
      </c>
      <c r="H79" s="65">
        <v>100</v>
      </c>
      <c r="I79" s="158"/>
      <c r="J79" s="28">
        <f>H79</f>
        <v>100</v>
      </c>
      <c r="K79" s="159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200</v>
      </c>
      <c r="C80" s="158"/>
      <c r="D80" s="28">
        <f>B80</f>
        <v>200</v>
      </c>
      <c r="E80" s="159"/>
      <c r="F80" s="55"/>
      <c r="G80" s="219" t="s">
        <v>113</v>
      </c>
      <c r="H80" s="75">
        <v>100</v>
      </c>
      <c r="I80" s="158"/>
      <c r="J80" s="28">
        <f>H80</f>
        <v>100</v>
      </c>
      <c r="K80" s="159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2530.6663866666668</v>
      </c>
      <c r="C81" s="158"/>
      <c r="D81" s="158"/>
      <c r="E81" s="159"/>
      <c r="F81" s="55"/>
      <c r="G81" s="220" t="s">
        <v>114</v>
      </c>
      <c r="H81" s="221">
        <f>SUM(J64:J80)</f>
        <v>4490.4033333333336</v>
      </c>
      <c r="I81" s="158"/>
      <c r="J81" s="158"/>
      <c r="K81" s="159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210.88886555555555</v>
      </c>
      <c r="C82" s="158"/>
      <c r="D82" s="158"/>
      <c r="E82" s="159"/>
      <c r="F82" s="55"/>
      <c r="G82" s="157" t="s">
        <v>115</v>
      </c>
      <c r="H82" s="29">
        <f>H81/H29</f>
        <v>374.20027777777779</v>
      </c>
      <c r="I82" s="158"/>
      <c r="J82" s="158"/>
      <c r="K82" s="159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H46</f>
        <v>501</v>
      </c>
      <c r="C83" s="158"/>
      <c r="D83" s="158"/>
      <c r="E83" s="159"/>
      <c r="F83" s="55"/>
      <c r="G83" s="222" t="s">
        <v>116</v>
      </c>
      <c r="H83" s="52">
        <f>H46</f>
        <v>501</v>
      </c>
      <c r="I83" s="158"/>
      <c r="J83" s="158"/>
      <c r="K83" s="159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158"/>
      <c r="D84" s="158"/>
      <c r="E84" s="159"/>
      <c r="F84" s="55"/>
      <c r="G84" s="157"/>
      <c r="H84" s="28"/>
      <c r="I84" s="158"/>
      <c r="J84" s="158"/>
      <c r="K84" s="159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((B83*(H29)+B81))*1.2</f>
        <v>10251.199664000002</v>
      </c>
      <c r="C85" s="158"/>
      <c r="D85" s="158"/>
      <c r="E85" s="159"/>
      <c r="F85" s="55"/>
      <c r="G85" s="209" t="s">
        <v>126</v>
      </c>
      <c r="H85" s="24">
        <f>((H83*(H27+H28))+H81)*1.2</f>
        <v>12602.884</v>
      </c>
      <c r="I85" s="158"/>
      <c r="J85" s="158"/>
      <c r="K85" s="159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(((B83*(H29))+B81)/(1-B70))*B70</f>
        <v>72.366274352561533</v>
      </c>
      <c r="C86" s="158"/>
      <c r="D86" s="158"/>
      <c r="E86" s="159"/>
      <c r="F86" s="55"/>
      <c r="G86" s="157" t="s">
        <v>127</v>
      </c>
      <c r="H86" s="29">
        <f>(((H83*(H27+H28))+H81)/(1-H70))*H70</f>
        <v>88.967515127067387</v>
      </c>
      <c r="I86" s="158"/>
      <c r="J86" s="158"/>
      <c r="K86" s="159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10323.565938352564</v>
      </c>
      <c r="C87" s="158"/>
      <c r="D87" s="158"/>
      <c r="E87" s="159"/>
      <c r="F87" s="55"/>
      <c r="G87" s="206" t="s">
        <v>128</v>
      </c>
      <c r="H87" s="57">
        <f>IF(H110="YES",((H85+H86)-A151-K114),((H85+H86)-A151))</f>
        <v>12466.851515127068</v>
      </c>
      <c r="I87" s="158"/>
      <c r="J87" s="158"/>
      <c r="K87" s="159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158"/>
      <c r="D88" s="158"/>
      <c r="E88" s="159"/>
      <c r="F88" s="55"/>
      <c r="G88" s="157"/>
      <c r="H88" s="28"/>
      <c r="I88" s="158"/>
      <c r="J88" s="158"/>
      <c r="K88" s="159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3">
        <f>IF(B99=Z102,(((H44*B35)+(H44*B35)*(B105/100))/(B58))*1.2,(((H44*B35)+(H44*B35)*(B105/100))/(B57+B58))*1.2)</f>
        <v>72</v>
      </c>
      <c r="C89" s="158"/>
      <c r="D89" s="158"/>
      <c r="E89" s="159"/>
      <c r="F89" s="55"/>
      <c r="G89" s="220" t="s">
        <v>129</v>
      </c>
      <c r="H89" s="221">
        <f>(A41+(A41*H105))*1.2</f>
        <v>72</v>
      </c>
      <c r="I89" s="158"/>
      <c r="J89" s="158"/>
      <c r="K89" s="159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IF(B99=Z102,(B87-D105)/(B58),B87/(B57+B58))</f>
        <v>860.29716152938033</v>
      </c>
      <c r="C90" s="158"/>
      <c r="D90" s="158"/>
      <c r="E90" s="159"/>
      <c r="F90" s="55"/>
      <c r="G90" s="224" t="s">
        <v>130</v>
      </c>
      <c r="H90" s="225">
        <f>IF(H99=AE98,(H87-J105)/(H58),H87/(H57+H58))</f>
        <v>1038.9042929272557</v>
      </c>
      <c r="I90" s="158"/>
      <c r="J90" s="158"/>
      <c r="K90" s="159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932.29716152938033</v>
      </c>
      <c r="C91" s="158"/>
      <c r="D91" s="158"/>
      <c r="E91" s="159"/>
      <c r="F91" s="55"/>
      <c r="G91" s="226" t="s">
        <v>131</v>
      </c>
      <c r="H91" s="227">
        <f>IF(G105="YES",H90+H89,H90)</f>
        <v>1110.9042929272557</v>
      </c>
      <c r="I91" s="158"/>
      <c r="J91" s="158"/>
      <c r="K91" s="159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207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46.5" customHeight="1">
      <c r="A94" s="376" t="s">
        <v>290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/>
      <c r="F95" s="55"/>
      <c r="G95" s="157"/>
      <c r="H95" s="158"/>
      <c r="I95" s="158"/>
      <c r="J95" s="158"/>
      <c r="K95" s="159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7" ht="18.75" customHeight="1">
      <c r="A97" s="157"/>
      <c r="B97" s="158"/>
      <c r="C97" s="158"/>
      <c r="D97" s="158"/>
      <c r="E97" s="159"/>
      <c r="F97" s="55"/>
      <c r="G97" s="157"/>
      <c r="H97" s="158"/>
      <c r="I97" s="158"/>
      <c r="J97" s="158"/>
      <c r="K97" s="159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7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7" ht="18.75" customHeight="1">
      <c r="A99" s="162" t="s">
        <v>292</v>
      </c>
      <c r="B99" s="395" t="s">
        <v>140</v>
      </c>
      <c r="C99" s="395"/>
      <c r="D99" s="348">
        <v>1000</v>
      </c>
      <c r="E99" s="348"/>
      <c r="F99" s="55"/>
      <c r="G99" s="162" t="s">
        <v>292</v>
      </c>
      <c r="H99" s="395" t="s">
        <v>140</v>
      </c>
      <c r="I99" s="395"/>
      <c r="J99" s="348">
        <v>0</v>
      </c>
      <c r="K99" s="348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7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spans="1:27" ht="18.75" customHeight="1">
      <c r="A101" s="157" t="s">
        <v>293</v>
      </c>
      <c r="B101" s="158" t="s">
        <v>294</v>
      </c>
      <c r="C101" s="158"/>
      <c r="D101" s="158" t="s">
        <v>295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 t="s">
        <v>140</v>
      </c>
      <c r="AA101" s="55"/>
    </row>
    <row r="102" spans="1:27" ht="18.75" customHeight="1">
      <c r="A102" s="228">
        <f>199.99*1.2</f>
        <v>239.988</v>
      </c>
      <c r="B102" s="348">
        <v>400</v>
      </c>
      <c r="C102" s="348"/>
      <c r="D102" s="348">
        <v>200</v>
      </c>
      <c r="E102" s="348"/>
      <c r="F102" s="55"/>
      <c r="G102" s="228">
        <f>199.99*1.2</f>
        <v>239.988</v>
      </c>
      <c r="H102" s="348">
        <v>1200</v>
      </c>
      <c r="I102" s="348"/>
      <c r="J102" s="348">
        <v>0</v>
      </c>
      <c r="K102" s="348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 t="s">
        <v>270</v>
      </c>
      <c r="AA102" s="55"/>
    </row>
    <row r="103" spans="1:27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Z103" s="55" t="s">
        <v>271</v>
      </c>
      <c r="AA103" s="55"/>
    </row>
    <row r="104" spans="1:27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Z104" s="55" t="s">
        <v>272</v>
      </c>
      <c r="AA104" s="55"/>
    </row>
    <row r="105" spans="1:27" ht="18.75" customHeight="1">
      <c r="A105" s="164" t="s">
        <v>385</v>
      </c>
      <c r="B105" s="395">
        <v>20</v>
      </c>
      <c r="C105" s="395"/>
      <c r="D105" s="348">
        <v>200</v>
      </c>
      <c r="E105" s="348"/>
      <c r="F105" s="55"/>
      <c r="G105" s="164" t="s">
        <v>31</v>
      </c>
      <c r="H105" s="396">
        <v>0.2</v>
      </c>
      <c r="I105" s="396"/>
      <c r="J105" s="348">
        <v>0</v>
      </c>
      <c r="K105" s="348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Z105" s="55" t="s">
        <v>273</v>
      </c>
      <c r="AA105" s="55"/>
    </row>
    <row r="106" spans="1:27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Z106" s="55" t="s">
        <v>274</v>
      </c>
      <c r="AA106" s="55"/>
    </row>
    <row r="107" spans="1:27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Z107" s="55" t="s">
        <v>275</v>
      </c>
      <c r="AA107" s="55"/>
    </row>
    <row r="108" spans="1:27" ht="18.75" customHeight="1">
      <c r="A108" s="377" t="s">
        <v>296</v>
      </c>
      <c r="B108" s="377">
        <v>0</v>
      </c>
      <c r="C108" s="377"/>
      <c r="D108" s="377">
        <v>0</v>
      </c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Z108" s="55" t="s">
        <v>276</v>
      </c>
      <c r="AA108" s="55"/>
    </row>
    <row r="109" spans="1:27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Z109" s="55" t="s">
        <v>277</v>
      </c>
    </row>
    <row r="110" spans="1:27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Z110" s="55"/>
    </row>
    <row r="111" spans="1:27" ht="18.75" customHeight="1">
      <c r="A111" s="157"/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Z111" s="55"/>
    </row>
    <row r="112" spans="1:27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10000</v>
      </c>
      <c r="K112" s="92">
        <v>5000</v>
      </c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7000</v>
      </c>
      <c r="K113" s="92">
        <v>7000</v>
      </c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3000</v>
      </c>
      <c r="K114" s="127">
        <f>K112-K113</f>
        <v>-2000</v>
      </c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5000</v>
      </c>
      <c r="K115" s="159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f>D99</f>
        <v>1000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f>A102</f>
        <v>239.988</v>
      </c>
      <c r="F118" s="55"/>
      <c r="G118" s="157" t="s">
        <v>66</v>
      </c>
      <c r="H118" s="158"/>
      <c r="I118" s="158"/>
      <c r="J118" s="158"/>
      <c r="K118" s="29">
        <f>G102</f>
        <v>239.988</v>
      </c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(E118+E117)-D115</f>
        <v>1239.9880000000001</v>
      </c>
      <c r="F119" s="55"/>
      <c r="G119" s="229" t="s">
        <v>298</v>
      </c>
      <c r="H119" s="207"/>
      <c r="I119" s="207"/>
      <c r="J119" s="207"/>
      <c r="K119" s="57">
        <f>(K118+K117)-J115</f>
        <v>-4760.0119999999997</v>
      </c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12</v>
      </c>
      <c r="C125" s="236"/>
      <c r="D125" s="235">
        <f>B160</f>
        <v>5000</v>
      </c>
      <c r="E125" s="233"/>
      <c r="F125" s="55"/>
      <c r="G125" s="157"/>
      <c r="H125" s="158"/>
      <c r="I125" s="158"/>
      <c r="J125" s="158"/>
      <c r="K125" s="159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157" t="s">
        <v>94</v>
      </c>
      <c r="H126" s="158" t="s">
        <v>95</v>
      </c>
      <c r="I126" s="158"/>
      <c r="J126" s="158" t="s">
        <v>97</v>
      </c>
      <c r="K126" s="159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169">
        <f>G152</f>
        <v>12</v>
      </c>
      <c r="H127" s="170">
        <f>A152</f>
        <v>0</v>
      </c>
      <c r="I127" s="171"/>
      <c r="J127" s="170">
        <f>B151</f>
        <v>0</v>
      </c>
      <c r="K127" s="159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860.29716152938033</v>
      </c>
      <c r="B128" s="232">
        <f>IF(A105="YES",B89,0)</f>
        <v>72</v>
      </c>
      <c r="C128" s="237"/>
      <c r="D128" s="232">
        <f>B91</f>
        <v>932.29716152938033</v>
      </c>
      <c r="E128" s="233"/>
      <c r="F128" s="55"/>
      <c r="G128" s="157"/>
      <c r="H128" s="158"/>
      <c r="I128" s="158"/>
      <c r="J128" s="158"/>
      <c r="K128" s="159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7" ht="18.75" customHeight="1">
      <c r="A129" s="157"/>
      <c r="B129" s="158"/>
      <c r="C129" s="158"/>
      <c r="D129" s="158"/>
      <c r="E129" s="159"/>
      <c r="F129" s="55"/>
      <c r="G129" s="238" t="s">
        <v>302</v>
      </c>
      <c r="H129" s="239" t="s">
        <v>303</v>
      </c>
      <c r="I129" s="239"/>
      <c r="J129" s="239" t="s">
        <v>304</v>
      </c>
      <c r="K129" s="159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7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242">
        <f>H90</f>
        <v>1038.9042929272557</v>
      </c>
      <c r="H130" s="133">
        <f>IF(G105="YES",H89*H57,0)</f>
        <v>72</v>
      </c>
      <c r="I130" s="133"/>
      <c r="J130" s="243">
        <f>H91</f>
        <v>1110.9042929272557</v>
      </c>
      <c r="K130" s="90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7" ht="18.75" customHeight="1">
      <c r="A131" s="244" t="str">
        <f>B99</f>
        <v xml:space="preserve"> Monthly in advance </v>
      </c>
      <c r="B131" s="34">
        <f>B90*B57</f>
        <v>860.29716152938033</v>
      </c>
      <c r="C131" s="158"/>
      <c r="D131" s="34">
        <f>IF(A105="YES",B89*B57,0)</f>
        <v>72</v>
      </c>
      <c r="E131" s="159"/>
      <c r="F131" s="55"/>
      <c r="G131" s="157"/>
      <c r="H131" s="158"/>
      <c r="I131" s="158"/>
      <c r="J131" s="158"/>
      <c r="K131" s="159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7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7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1038.9042929272557</v>
      </c>
      <c r="H133" s="34">
        <f>IF(G105="YES",H89*H57,0)</f>
        <v>72</v>
      </c>
      <c r="I133" s="163"/>
      <c r="J133" s="137">
        <f>H91*H57</f>
        <v>1110.9042929272557</v>
      </c>
      <c r="K133" s="159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7" ht="18.75" customHeight="1">
      <c r="A134" s="94">
        <f>B91*B57</f>
        <v>932.29716152938033</v>
      </c>
      <c r="B134" s="34">
        <f>E114</f>
        <v>0</v>
      </c>
      <c r="C134" s="158"/>
      <c r="D134" s="245">
        <f>B58</f>
        <v>11</v>
      </c>
      <c r="E134" s="159"/>
      <c r="F134" s="55"/>
      <c r="G134" s="157"/>
      <c r="H134" s="158"/>
      <c r="I134" s="158"/>
      <c r="J134" s="158"/>
      <c r="K134" s="159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7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7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</v>
      </c>
      <c r="H136" s="34">
        <f>IF(G105="YES",E15*0.000002,0)</f>
        <v>0</v>
      </c>
      <c r="I136" s="34"/>
      <c r="J136" s="34">
        <f>G136+H136</f>
        <v>0</v>
      </c>
      <c r="K136" s="90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7" ht="18.75" customHeight="1">
      <c r="A137" s="94">
        <f>B90</f>
        <v>860.29716152938033</v>
      </c>
      <c r="B137" s="34">
        <f>IF(A105="YES",B89,0)</f>
        <v>72</v>
      </c>
      <c r="C137" s="158"/>
      <c r="D137" s="34">
        <f>B91</f>
        <v>932.29716152938033</v>
      </c>
      <c r="E137" s="159"/>
      <c r="F137" s="55"/>
      <c r="G137" s="157"/>
      <c r="H137" s="158"/>
      <c r="I137" s="158"/>
      <c r="J137" s="158"/>
      <c r="K137" s="159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7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7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239.988</v>
      </c>
      <c r="H139" s="34">
        <f>H67</f>
        <v>202.63</v>
      </c>
      <c r="I139" s="34"/>
      <c r="J139" s="34">
        <f>H102*0.9</f>
        <v>1080</v>
      </c>
      <c r="K139" s="90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7" ht="18.75" customHeight="1">
      <c r="A140" s="250">
        <f>(G18*0.000006)*1.2*100</f>
        <v>29.178720000000002</v>
      </c>
      <c r="B140" s="251">
        <f>G18*0.000002*1.2*100</f>
        <v>9.7262400000000007</v>
      </c>
      <c r="C140" s="252"/>
      <c r="D140" s="251">
        <f>A140+B140</f>
        <v>38.904960000000003</v>
      </c>
      <c r="E140" s="159"/>
      <c r="F140" s="55"/>
      <c r="G140" s="157"/>
      <c r="H140" s="158"/>
      <c r="I140" s="158"/>
      <c r="J140" s="158"/>
      <c r="K140" s="159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7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7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IF(G105="YES",H89*0.1,0)</f>
        <v>7.2</v>
      </c>
      <c r="H142" s="34">
        <f>G102-100</f>
        <v>139.988</v>
      </c>
      <c r="I142" s="34"/>
      <c r="J142" s="34">
        <f>(H139+J139+G142+H142)-H145</f>
        <v>1429.8180000000002</v>
      </c>
      <c r="K142" s="90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7" ht="18.75" customHeight="1">
      <c r="A143" s="94">
        <v>0</v>
      </c>
      <c r="B143" s="34">
        <f>E118</f>
        <v>239.988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7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f>IF((1200-H102)&lt;=0,0,(1200-H102))</f>
        <v>0</v>
      </c>
      <c r="H145" s="34">
        <f>(H139+J139+G142+H142)*(G145/H64)</f>
        <v>0</v>
      </c>
      <c r="I145" s="158"/>
      <c r="J145" s="158"/>
      <c r="K145" s="159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100</v>
      </c>
      <c r="B148" s="34">
        <f>B102</f>
        <v>400</v>
      </c>
      <c r="C148" s="34"/>
      <c r="D148" s="34">
        <f>IF(A105="YES",(A41*B105)*B125,0)*0.001</f>
        <v>12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225</v>
      </c>
      <c r="B151" s="34">
        <f>(A148+B148+D148+A151)*(A143/B64)</f>
        <v>0</v>
      </c>
      <c r="C151" s="34"/>
      <c r="D151" s="34">
        <f>(A148+B148+D148+A151)-B151-A154</f>
        <v>537</v>
      </c>
      <c r="E151" s="90"/>
      <c r="F151" s="55"/>
      <c r="G151" s="387"/>
      <c r="H151" s="389">
        <f>B51</f>
        <v>5000</v>
      </c>
      <c r="I151" s="389"/>
      <c r="J151" s="158"/>
      <c r="K151" s="159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12</v>
      </c>
      <c r="H152" s="343">
        <f>H91</f>
        <v>1110.9042929272557</v>
      </c>
      <c r="I152" s="343"/>
      <c r="J152" s="158"/>
      <c r="K152" s="159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9.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5000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12</v>
      </c>
      <c r="B161" s="343">
        <f>B91</f>
        <v>932.29716152938033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97" t="s">
        <v>299</v>
      </c>
      <c r="B165" s="397"/>
      <c r="C165" s="397"/>
      <c r="D165" s="397"/>
      <c r="E165" s="397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157"/>
      <c r="B166" s="158"/>
      <c r="C166" s="158"/>
      <c r="D166" s="158"/>
      <c r="E166" s="159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230" t="s">
        <v>137</v>
      </c>
      <c r="B167" s="231" t="s">
        <v>52</v>
      </c>
      <c r="C167" s="232"/>
      <c r="D167" s="231" t="s">
        <v>95</v>
      </c>
      <c r="E167" s="233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234" t="s">
        <v>292</v>
      </c>
      <c r="B168" s="259">
        <f>A161</f>
        <v>12</v>
      </c>
      <c r="C168" s="236"/>
      <c r="D168" s="232">
        <f>B160</f>
        <v>5000</v>
      </c>
      <c r="E168" s="233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230"/>
      <c r="B169" s="231"/>
      <c r="C169" s="231"/>
      <c r="D169" s="231"/>
      <c r="E169" s="233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230" t="s">
        <v>130</v>
      </c>
      <c r="B170" s="231" t="s">
        <v>300</v>
      </c>
      <c r="C170" s="232"/>
      <c r="D170" s="231" t="s">
        <v>301</v>
      </c>
      <c r="E170" s="233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234">
        <f>B90</f>
        <v>860.29716152938033</v>
      </c>
      <c r="B171" s="232">
        <f>IF(A105="YES",B89,0)</f>
        <v>72</v>
      </c>
      <c r="C171" s="237"/>
      <c r="D171" s="232">
        <f>B91</f>
        <v>932.29716152938033</v>
      </c>
      <c r="E171" s="233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40" t="s">
        <v>36</v>
      </c>
      <c r="B173" s="241" t="s">
        <v>305</v>
      </c>
      <c r="C173" s="171"/>
      <c r="D173" s="241" t="s">
        <v>306</v>
      </c>
      <c r="E173" s="159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44" t="str">
        <f>B99</f>
        <v xml:space="preserve"> Monthly in advance </v>
      </c>
      <c r="B174" s="34">
        <f>B90*B57</f>
        <v>860.29716152938033</v>
      </c>
      <c r="C174" s="158"/>
      <c r="D174" s="34">
        <f>IF(A105="YES",B89*B57,0)</f>
        <v>72</v>
      </c>
      <c r="E174" s="159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157"/>
      <c r="B175" s="158"/>
      <c r="C175" s="158"/>
      <c r="D175" s="158"/>
      <c r="E175" s="159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93" t="s">
        <v>310</v>
      </c>
      <c r="B176" s="35" t="s">
        <v>311</v>
      </c>
      <c r="C176" s="163"/>
      <c r="D176" s="179" t="s">
        <v>218</v>
      </c>
      <c r="E176" s="159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94">
        <f>B91*B57</f>
        <v>932.29716152938033</v>
      </c>
      <c r="B177" s="34">
        <f>E114</f>
        <v>0</v>
      </c>
      <c r="C177" s="158"/>
      <c r="D177" s="245">
        <f>B58</f>
        <v>11</v>
      </c>
      <c r="E177" s="159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94"/>
      <c r="B178" s="246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53" t="s">
        <v>130</v>
      </c>
      <c r="B179" s="247" t="s">
        <v>300</v>
      </c>
      <c r="C179" s="158"/>
      <c r="D179" s="158" t="s">
        <v>301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94">
        <f>B90</f>
        <v>860.29716152938033</v>
      </c>
      <c r="B180" s="34">
        <f>IF(A105="YES",B89,0)</f>
        <v>72</v>
      </c>
      <c r="C180" s="158"/>
      <c r="D180" s="34">
        <f>B91</f>
        <v>932.29716152938033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248" t="s">
        <v>80</v>
      </c>
      <c r="B182" s="249" t="s">
        <v>318</v>
      </c>
      <c r="C182" s="34"/>
      <c r="D182" s="249" t="s">
        <v>85</v>
      </c>
      <c r="E182" s="90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250">
        <f>(G18*0.000006)*1.2*100</f>
        <v>29.178720000000002</v>
      </c>
      <c r="B183" s="251">
        <f>G18*0.000002*1.2*100</f>
        <v>9.7262400000000007</v>
      </c>
      <c r="C183" s="252"/>
      <c r="D183" s="251">
        <f>A183+B183</f>
        <v>38.904960000000003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253"/>
      <c r="B184" s="254"/>
      <c r="C184" s="158"/>
      <c r="D184" s="254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248" t="s">
        <v>322</v>
      </c>
      <c r="B185" s="249" t="s">
        <v>66</v>
      </c>
      <c r="C185" s="34"/>
      <c r="D185" s="249" t="s">
        <v>288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v>0</v>
      </c>
      <c r="B186" s="34">
        <f>E118</f>
        <v>239.988</v>
      </c>
      <c r="C186" s="158"/>
      <c r="D186" s="119">
        <f>B102</f>
        <v>400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94"/>
      <c r="B187" s="34"/>
      <c r="C187" s="158"/>
      <c r="D187" s="34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55" t="s">
        <v>325</v>
      </c>
      <c r="B188" s="256"/>
      <c r="C188" s="257"/>
      <c r="D188" s="256"/>
      <c r="E188" s="258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3"/>
      <c r="B189" s="254"/>
      <c r="C189" s="158"/>
      <c r="D189" s="254"/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157" t="s">
        <v>326</v>
      </c>
      <c r="B190" s="158" t="s">
        <v>327</v>
      </c>
      <c r="C190" s="158"/>
      <c r="D190" s="158" t="s">
        <v>328</v>
      </c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94">
        <f>B67</f>
        <v>100</v>
      </c>
      <c r="B191" s="34">
        <f>B102</f>
        <v>400</v>
      </c>
      <c r="C191" s="34"/>
      <c r="D191" s="34">
        <f>IF(A105="YES",(A38/100*B105)*B125,0)*0.001</f>
        <v>12</v>
      </c>
      <c r="E191" s="90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157"/>
      <c r="B192" s="158"/>
      <c r="C192" s="158"/>
      <c r="D192" s="158"/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157" t="s">
        <v>330</v>
      </c>
      <c r="B193" s="158" t="s">
        <v>324</v>
      </c>
      <c r="C193" s="158"/>
      <c r="D193" s="158" t="s">
        <v>321</v>
      </c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94">
        <f>A151</f>
        <v>225</v>
      </c>
      <c r="B194" s="34">
        <f>(A148+B148+D148+A151)*(A143/B64)</f>
        <v>0</v>
      </c>
      <c r="C194" s="34"/>
      <c r="D194" s="34">
        <f>D151</f>
        <v>537</v>
      </c>
      <c r="E194" s="90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157"/>
      <c r="B195" s="158"/>
      <c r="C195" s="158"/>
      <c r="D195" s="158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331</v>
      </c>
      <c r="B196" s="158"/>
      <c r="C196" s="158"/>
      <c r="D196" s="158"/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D102</f>
        <v>200</v>
      </c>
      <c r="B197" s="34"/>
      <c r="C197" s="158"/>
      <c r="D197" s="158"/>
      <c r="E197" s="159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206"/>
      <c r="B198" s="207"/>
      <c r="C198" s="207"/>
      <c r="D198" s="207"/>
      <c r="E198" s="208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397" t="s">
        <v>224</v>
      </c>
      <c r="B201" s="397"/>
      <c r="C201" s="397"/>
      <c r="D201" s="397"/>
      <c r="E201" s="397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/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230" t="s">
        <v>225</v>
      </c>
      <c r="B203" s="260">
        <f>B209</f>
        <v>6.5000000000000002E-2</v>
      </c>
      <c r="C203" s="232" t="s">
        <v>227</v>
      </c>
      <c r="D203" s="261">
        <f>D64</f>
        <v>1203.99972</v>
      </c>
      <c r="E203" s="233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34"/>
      <c r="B204" s="235"/>
      <c r="C204" s="236"/>
      <c r="D204" s="235"/>
      <c r="E204" s="233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230" t="s">
        <v>228</v>
      </c>
      <c r="B205" s="232">
        <f>B213</f>
        <v>100</v>
      </c>
      <c r="C205" s="231" t="s">
        <v>229</v>
      </c>
      <c r="D205" s="261">
        <f>B219+E215+B215+B217</f>
        <v>585</v>
      </c>
      <c r="E205" s="233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230"/>
      <c r="B206" s="262"/>
      <c r="C206" s="232"/>
      <c r="D206" s="231"/>
      <c r="E206" s="233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234" t="s">
        <v>230</v>
      </c>
      <c r="B207" s="232">
        <f>E217</f>
        <v>1688.99972</v>
      </c>
      <c r="C207" s="236"/>
      <c r="D207" s="232"/>
      <c r="E207" s="233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247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169" t="s">
        <v>225</v>
      </c>
      <c r="B209" s="263">
        <v>6.5000000000000002E-2</v>
      </c>
      <c r="C209" s="171"/>
      <c r="D209" s="241"/>
      <c r="E209" s="159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44"/>
      <c r="B210" s="35"/>
      <c r="C210" s="158"/>
      <c r="D210" s="34"/>
      <c r="E210" s="159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162" t="s">
        <v>227</v>
      </c>
      <c r="B211" s="89">
        <f>D64</f>
        <v>1203.99972</v>
      </c>
      <c r="C211" s="178" t="s">
        <v>233</v>
      </c>
      <c r="D211" s="158"/>
      <c r="E211" s="214">
        <f>B66</f>
        <v>0</v>
      </c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138"/>
      <c r="B212" s="35"/>
      <c r="C212" s="163"/>
      <c r="D212" s="179"/>
      <c r="E212" s="159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94" t="s">
        <v>233</v>
      </c>
      <c r="B213" s="89">
        <f>B67</f>
        <v>100</v>
      </c>
      <c r="C213" s="163" t="s">
        <v>332</v>
      </c>
      <c r="D213" s="245"/>
      <c r="E213" s="72">
        <v>1E-3</v>
      </c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94"/>
      <c r="B214" s="247"/>
      <c r="C214" s="163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94" t="s">
        <v>332</v>
      </c>
      <c r="B215" s="179">
        <f>B191*E213*100</f>
        <v>40</v>
      </c>
      <c r="C215" s="163" t="s">
        <v>235</v>
      </c>
      <c r="D215" s="158"/>
      <c r="E215" s="29">
        <f>A194</f>
        <v>225</v>
      </c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94"/>
      <c r="B216" s="35"/>
      <c r="C216" s="163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333</v>
      </c>
      <c r="B217" s="179">
        <f>B78-(B78*(E213*100))</f>
        <v>200</v>
      </c>
      <c r="C217" s="163" t="s">
        <v>230</v>
      </c>
      <c r="D217" s="158"/>
      <c r="E217" s="29">
        <f>(B211-B205+D205)</f>
        <v>1688.99972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264"/>
      <c r="B218" s="249"/>
      <c r="C218" s="34"/>
      <c r="D218" s="249"/>
      <c r="E218" s="127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264" t="s">
        <v>334</v>
      </c>
      <c r="B219" s="249">
        <f>D191/0.1</f>
        <v>120</v>
      </c>
      <c r="C219" s="34"/>
      <c r="D219" s="249"/>
      <c r="E219" s="127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264"/>
      <c r="B220" s="249"/>
      <c r="C220" s="34"/>
      <c r="D220" s="249"/>
      <c r="E220" s="127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255" t="s">
        <v>335</v>
      </c>
      <c r="B221" s="265"/>
      <c r="C221" s="257"/>
      <c r="D221" s="256"/>
      <c r="E221" s="258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253"/>
      <c r="B222" s="266"/>
      <c r="C222" s="158"/>
      <c r="D222" s="25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253" t="s">
        <v>237</v>
      </c>
      <c r="B223" s="89">
        <f>B71</f>
        <v>200</v>
      </c>
      <c r="C223" s="163" t="s">
        <v>238</v>
      </c>
      <c r="D223" s="254"/>
      <c r="E223" s="118">
        <f>B72</f>
        <v>5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53"/>
      <c r="B224" s="266"/>
      <c r="C224" s="163" t="s">
        <v>239</v>
      </c>
      <c r="D224" s="254"/>
      <c r="E224" s="29">
        <f>D73</f>
        <v>260</v>
      </c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53" t="s">
        <v>240</v>
      </c>
      <c r="B225" s="267">
        <f>B68</f>
        <v>7.4999999999999997E-3</v>
      </c>
      <c r="C225" s="163" t="s">
        <v>241</v>
      </c>
      <c r="D225" s="254"/>
      <c r="E225" s="214">
        <f>B69</f>
        <v>0.12</v>
      </c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53"/>
      <c r="B226" s="266"/>
      <c r="C226" s="163" t="s">
        <v>242</v>
      </c>
      <c r="D226" s="254"/>
      <c r="E226" s="29">
        <f>B86</f>
        <v>72.366274352561533</v>
      </c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3" t="s">
        <v>243</v>
      </c>
      <c r="B227" s="89">
        <f>B79</f>
        <v>200</v>
      </c>
      <c r="C227" s="268" t="s">
        <v>336</v>
      </c>
      <c r="D227" s="269"/>
      <c r="E227" s="118">
        <f>B74</f>
        <v>0</v>
      </c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162"/>
      <c r="B228" s="247"/>
      <c r="C228" s="268"/>
      <c r="D228" s="270"/>
      <c r="E228" s="271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94" t="s">
        <v>244</v>
      </c>
      <c r="B229" s="89">
        <f>B80</f>
        <v>200</v>
      </c>
      <c r="C229" s="272" t="s">
        <v>337</v>
      </c>
      <c r="D229" s="272"/>
      <c r="E229" s="118">
        <f>B75</f>
        <v>0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157"/>
      <c r="B230" s="158"/>
      <c r="C230" s="158"/>
      <c r="D230" s="158"/>
      <c r="E230" s="159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157"/>
      <c r="B231" s="158"/>
      <c r="C231" s="158"/>
      <c r="D231" s="158"/>
      <c r="E231" s="159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94"/>
      <c r="B232" s="34"/>
      <c r="C232" s="34"/>
      <c r="D232" s="34"/>
      <c r="E232" s="90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157"/>
      <c r="B233" s="158"/>
      <c r="C233" s="158"/>
      <c r="D233" s="158"/>
      <c r="E233" s="159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57"/>
      <c r="B234" s="158"/>
      <c r="C234" s="158"/>
      <c r="D234" s="158"/>
      <c r="E234" s="159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/>
      <c r="B235" s="34"/>
      <c r="C235" s="158"/>
      <c r="D235" s="158"/>
      <c r="E235" s="159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206"/>
      <c r="B236" s="207"/>
      <c r="C236" s="207"/>
      <c r="D236" s="207"/>
      <c r="E236" s="208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6">
    <mergeCell ref="B161:C161"/>
    <mergeCell ref="A165:E165"/>
    <mergeCell ref="A201:E201"/>
    <mergeCell ref="G150:G151"/>
    <mergeCell ref="H150:I150"/>
    <mergeCell ref="H151:I151"/>
    <mergeCell ref="H152:I152"/>
    <mergeCell ref="A159:A160"/>
    <mergeCell ref="B159:C159"/>
    <mergeCell ref="B160:C160"/>
    <mergeCell ref="A108:E108"/>
    <mergeCell ref="G108:K108"/>
    <mergeCell ref="A122:E122"/>
    <mergeCell ref="G122:K122"/>
    <mergeCell ref="H124:I124"/>
    <mergeCell ref="B102:C102"/>
    <mergeCell ref="D102:E102"/>
    <mergeCell ref="H102:I102"/>
    <mergeCell ref="J102:K102"/>
    <mergeCell ref="B105:C105"/>
    <mergeCell ref="D105:E105"/>
    <mergeCell ref="H105:I105"/>
    <mergeCell ref="J105:K105"/>
    <mergeCell ref="G94:K94"/>
    <mergeCell ref="A96:E96"/>
    <mergeCell ref="G96:K96"/>
    <mergeCell ref="B99:C99"/>
    <mergeCell ref="D99:E99"/>
    <mergeCell ref="H99:I99"/>
    <mergeCell ref="J99:K99"/>
    <mergeCell ref="A50:A51"/>
    <mergeCell ref="B50:C50"/>
    <mergeCell ref="B51:C51"/>
    <mergeCell ref="B52:C52"/>
    <mergeCell ref="A94:E94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3">
    <dataValidation type="list" allowBlank="1" showErrorMessage="1" sqref="A32" xr:uid="{00000000-0002-0000-0800-000000000000}">
      <formula1>"Monthly in advance ,Spread rentals initial payment ,Spread rentals with 3 down ,Spread rentals with 6 down ,Spread rentals with 9 down ,Spread rentals with 12 down ,Terminal pause with 3 down ,Terminal Pause with 6 down ,Terminal Pause with 9 dow"</formula1>
      <formula2>0</formula2>
    </dataValidation>
    <dataValidation type="list" allowBlank="1" showErrorMessage="1" sqref="B38 A105 B110" xr:uid="{00000000-0002-0000-0800-000001000000}">
      <formula1>"NO,YES"</formula1>
      <formula2>0</formula2>
    </dataValidation>
    <dataValidation type="list" allowBlank="1" showErrorMessage="1" sqref="H99 N99:O99 G105 M105 O107 H110 N110" xr:uid="{00000000-0002-0000-0800-000003000000}">
      <formula1>#REF!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800-000002000000}">
          <x14:formula1>
            <xm:f>'BCH (Formula 3) - PCH'!$Z$101:$Z$109</xm:f>
          </x14:formula1>
          <x14:formula2>
            <xm:f>0</xm:f>
          </x14:formula2>
          <xm:sqref>B99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topLeftCell="A169" zoomScale="110" zoomScaleNormal="110" workbookViewId="0">
      <selection activeCell="D195" sqref="D195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37.9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190">
        <v>40526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IF(A32=Z101,1,IF(A32=Z102,1,IF(A32=Z103,3,IF(A32=Z104,6,IF(A32=Z105,9,IF(A32=Z106,12,IF(A32=Z107,3,IF(A32=Z108,6,IF(A32=Z109,9,0)))))))))</f>
        <v>1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IF(A32=Z101,H29-H27,IF(A32=Z102,H29-H27,IF(A32=Z103,H29-1,IF(A32=Z104,H29-1,IF(A32=Z105,H29-1,IF(A32=Z106,H29-1,IF(A32=Z107,H29-H27,IF(A32=Z108,H29-H27,IF(A32=Z109,H29-H27,0)))))))))</f>
        <v>11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>
        <f>IF(A32=Z101,D38,IF(A32=Z102,D38,IF(A32=Z103,(D38*3),IF(A32=Z104,(D38*6),IF(A32=Z105,(D38*9),IF(A32=Z106,(D38*12),IF(A32=Z107,D38,IF(A32=Z108,D38,IF(A32=Z109,D38,0)))))))))</f>
        <v>500</v>
      </c>
      <c r="C32" s="381"/>
      <c r="D32" s="381">
        <f>IF(A32=Z101,A41,IF(A32=Z102,A41,IF(A32=Z103,(A41*3),IF(A32=Z104,(A41*6),IF(A32=Z105,(A41*9),IF(A32=Z106,(A41*12),IF(A32=Z107,A41,IF(A32=Z108,A41,IF(A32=Z109,A41,0)))))))))</f>
        <v>50</v>
      </c>
      <c r="E32" s="381"/>
      <c r="F32" s="55"/>
      <c r="G32" s="168" t="s">
        <v>253</v>
      </c>
      <c r="H32" s="166">
        <f>A41</f>
        <v>50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/>
      <c r="H33" s="160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>
        <f>D41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550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>
        <v>500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151</v>
      </c>
      <c r="E40" s="159"/>
      <c r="F40" s="55"/>
      <c r="G40" s="273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>
        <v>50</v>
      </c>
      <c r="B41" s="383">
        <f>IF(B38="YES",D38+A41,D38)</f>
        <v>550</v>
      </c>
      <c r="C41" s="383"/>
      <c r="D41" s="346">
        <v>12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261</v>
      </c>
      <c r="B43" s="178" t="s">
        <v>262</v>
      </c>
      <c r="C43" s="171"/>
      <c r="D43" s="178" t="s">
        <v>266</v>
      </c>
      <c r="E43" s="181"/>
      <c r="F43" s="55"/>
      <c r="G43" s="55" t="s">
        <v>263</v>
      </c>
      <c r="H43" s="5">
        <f>(((D38*(B35-1))+B32)/B35)+(D41/B35)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>
        <v>1</v>
      </c>
      <c r="B44" s="346">
        <v>1</v>
      </c>
      <c r="C44" s="346"/>
      <c r="D44" s="394">
        <f>A44+B44</f>
        <v>2</v>
      </c>
      <c r="E44" s="394"/>
      <c r="F44" s="55"/>
      <c r="G44" s="55" t="s">
        <v>264</v>
      </c>
      <c r="H44" s="5">
        <f>((A41*(B35-1))+D32)/B35</f>
        <v>50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551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1" t="s">
        <v>280</v>
      </c>
      <c r="B46" s="171"/>
      <c r="C46" s="171"/>
      <c r="D46" s="171"/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6"/>
      <c r="B47" s="171"/>
      <c r="C47" s="171"/>
      <c r="D47" s="171"/>
      <c r="E47" s="181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55"/>
      <c r="H48" s="5">
        <f>(A41*(B58+B57))</f>
        <v>600</v>
      </c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/>
      <c r="H49" s="20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5000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12</v>
      </c>
      <c r="B52" s="343">
        <f>H45</f>
        <v>551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IF(B99=Z101,1,IF(B99=Z102,1,IF(B99=Z103,3,IF(B99=Z104,6,IF(B99=Z105,9,IF(B99=Z106,12,IF(B99=Z107,3,IF(B99=Z108,6,IF(B99=Z109,9,0)))))))))</f>
        <v>1</v>
      </c>
      <c r="C57" s="158"/>
      <c r="D57" s="158"/>
      <c r="E57" s="159"/>
      <c r="F57" s="55"/>
      <c r="G57" s="157" t="s">
        <v>96</v>
      </c>
      <c r="H57" s="158">
        <f>IF(H99=Z101,1,IF(H99=Z102,1,IF(H99=Z103,3,IF(H99=Z104,6,IF(H99=Z105,9,IF(H99=Z106,12,IF(H99=Z107,3,IF(H99=Z108,6,IF(H99=Z109,9,0)))))))))</f>
        <v>1</v>
      </c>
      <c r="I57" s="158"/>
      <c r="J57" s="158"/>
      <c r="K57" s="159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IF(B99=Z101,H29-B57,IF(B99=Z102,H29-B57,IF(B99=Z103,H29-1,IF(B99=Z104,H29-1,IF(B99=Z105,H29-1,IF(B99=Z106,H29-1,IF(B99=Z107,H29-B57,IF(B99=Z108,H29-B57,IF(B99=Z109,H29-B57,0)))))))))</f>
        <v>11</v>
      </c>
      <c r="C58" s="158" t="s">
        <v>281</v>
      </c>
      <c r="D58" s="158"/>
      <c r="E58" s="159"/>
      <c r="F58" s="55"/>
      <c r="G58" s="157" t="s">
        <v>97</v>
      </c>
      <c r="H58" s="158">
        <f>IF(H99=Z101,H29-H57,IF(H99=Z102,H29-H57,IF(H99=Z103,H29-1,IF(H99=Z104,H29-1,IF(H99=Z105,H29-1,IF(H99=Z106,H29-1,IF(H99=Z107,H29-H57,IF(H99=Z108,H29-H57,IF(H99=Z109,H29-H57,0)))))))))</f>
        <v>11</v>
      </c>
      <c r="I58" s="158"/>
      <c r="J58" s="158"/>
      <c r="K58" s="159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 t="s">
        <v>282</v>
      </c>
      <c r="B60" s="158">
        <f>E19</f>
        <v>17199.995999999999</v>
      </c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f>G18</f>
        <v>40526</v>
      </c>
      <c r="C61" s="158"/>
      <c r="D61" s="158"/>
      <c r="E61" s="159"/>
      <c r="F61" s="55"/>
      <c r="G61" s="157" t="s">
        <v>27</v>
      </c>
      <c r="H61" s="28">
        <f>G18</f>
        <v>40526</v>
      </c>
      <c r="I61" s="158"/>
      <c r="J61" s="158"/>
      <c r="K61" s="159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7.0000000000000007E-2</v>
      </c>
      <c r="C63" s="158"/>
      <c r="D63" s="158"/>
      <c r="E63" s="159"/>
      <c r="F63" s="55"/>
      <c r="G63" s="157" t="s">
        <v>284</v>
      </c>
      <c r="H63" s="214">
        <f>H62+(H62*0.25*(H29/12-1))</f>
        <v>7.0000000000000007E-2</v>
      </c>
      <c r="I63" s="158"/>
      <c r="J63" s="158"/>
      <c r="K63" s="159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B60*B63</f>
        <v>1203.99972</v>
      </c>
      <c r="C64" s="158">
        <v>10000</v>
      </c>
      <c r="D64" s="28">
        <f>B64</f>
        <v>1203.99972</v>
      </c>
      <c r="E64" s="159"/>
      <c r="F64" s="55"/>
      <c r="G64" s="206" t="s">
        <v>102</v>
      </c>
      <c r="H64" s="57">
        <f>H61*H63</f>
        <v>2836.82</v>
      </c>
      <c r="I64" s="158"/>
      <c r="J64" s="28">
        <f>H64</f>
        <v>2836.82</v>
      </c>
      <c r="K64" s="159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>
        <v>100</v>
      </c>
      <c r="C65" s="158"/>
      <c r="D65" s="158"/>
      <c r="E65" s="159"/>
      <c r="F65" s="55"/>
      <c r="G65" s="212" t="s">
        <v>103</v>
      </c>
      <c r="H65" s="213">
        <v>5.0000000000000001E-3</v>
      </c>
      <c r="I65" s="158"/>
      <c r="J65" s="158"/>
      <c r="K65" s="159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158"/>
      <c r="D66" s="158"/>
      <c r="E66" s="159"/>
      <c r="F66" s="55"/>
      <c r="G66" s="157" t="s">
        <v>104</v>
      </c>
      <c r="H66" s="214">
        <f>H65+(H65*0.5*(H29/12-1))</f>
        <v>5.0000000000000001E-3</v>
      </c>
      <c r="I66" s="158"/>
      <c r="J66" s="158"/>
      <c r="K66" s="159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100</v>
      </c>
      <c r="C67" s="158"/>
      <c r="D67" s="28"/>
      <c r="E67" s="159"/>
      <c r="F67" s="55"/>
      <c r="G67" s="206" t="s">
        <v>105</v>
      </c>
      <c r="H67" s="57">
        <f>H61*H66</f>
        <v>202.63</v>
      </c>
      <c r="I67" s="158"/>
      <c r="J67" s="28"/>
      <c r="K67" s="159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158"/>
      <c r="D68" s="15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200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60</v>
      </c>
      <c r="C73" s="158"/>
      <c r="D73" s="28">
        <f>B73+B71</f>
        <v>260</v>
      </c>
      <c r="E73" s="159"/>
      <c r="F73" s="55"/>
      <c r="G73" s="206" t="s">
        <v>111</v>
      </c>
      <c r="H73" s="57">
        <f>H72*H29</f>
        <v>54</v>
      </c>
      <c r="I73" s="158"/>
      <c r="J73" s="28">
        <f>H73+H71</f>
        <v>214</v>
      </c>
      <c r="K73" s="159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0</v>
      </c>
      <c r="C74" s="158"/>
      <c r="D74" s="158"/>
      <c r="E74" s="159"/>
      <c r="F74" s="55"/>
      <c r="G74" s="212" t="s">
        <v>285</v>
      </c>
      <c r="H74" s="74">
        <v>150</v>
      </c>
      <c r="I74" s="158"/>
      <c r="J74" s="158"/>
      <c r="K74" s="159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0</v>
      </c>
      <c r="C75" s="158"/>
      <c r="D75" s="158"/>
      <c r="E75" s="159"/>
      <c r="F75" s="55"/>
      <c r="G75" s="216" t="s">
        <v>286</v>
      </c>
      <c r="H75" s="65">
        <f>IF(G18&gt;40000,325,0)</f>
        <v>325</v>
      </c>
      <c r="I75" s="158"/>
      <c r="J75" s="158"/>
      <c r="K75" s="159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((B74+B75)/12)*(H29+1)</f>
        <v>0</v>
      </c>
      <c r="C76" s="158"/>
      <c r="D76" s="28">
        <f>B76</f>
        <v>0</v>
      </c>
      <c r="E76" s="159"/>
      <c r="F76" s="55"/>
      <c r="G76" s="206" t="s">
        <v>287</v>
      </c>
      <c r="H76" s="57">
        <f>((H74+H75)/12)*(H29-11)</f>
        <v>39.583333333333336</v>
      </c>
      <c r="I76" s="158"/>
      <c r="J76" s="28">
        <f>H76</f>
        <v>39.583333333333336</v>
      </c>
      <c r="K76" s="159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288</v>
      </c>
      <c r="B77" s="74">
        <f>B102/(1-0.1)</f>
        <v>444.44444444444446</v>
      </c>
      <c r="C77" s="158"/>
      <c r="D77" s="28">
        <f>B77</f>
        <v>444.44444444444446</v>
      </c>
      <c r="E77" s="159"/>
      <c r="F77" s="55"/>
      <c r="G77" s="212" t="s">
        <v>288</v>
      </c>
      <c r="H77" s="74">
        <f>H102</f>
        <v>1200</v>
      </c>
      <c r="I77" s="158"/>
      <c r="J77" s="28">
        <f>H77</f>
        <v>1200</v>
      </c>
      <c r="K77" s="159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158"/>
      <c r="D78" s="28">
        <f>B78</f>
        <v>222.22222222222223</v>
      </c>
      <c r="E78" s="159"/>
      <c r="F78" s="55"/>
      <c r="G78" s="157" t="s">
        <v>289</v>
      </c>
      <c r="H78" s="29">
        <f>J102</f>
        <v>0</v>
      </c>
      <c r="I78" s="158"/>
      <c r="J78" s="28">
        <f>H78</f>
        <v>0</v>
      </c>
      <c r="K78" s="159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200</v>
      </c>
      <c r="C79" s="158"/>
      <c r="D79" s="28">
        <f>B79</f>
        <v>200</v>
      </c>
      <c r="E79" s="159"/>
      <c r="F79" s="55"/>
      <c r="G79" s="216" t="s">
        <v>112</v>
      </c>
      <c r="H79" s="65">
        <v>100</v>
      </c>
      <c r="I79" s="158"/>
      <c r="J79" s="28">
        <f>H79</f>
        <v>100</v>
      </c>
      <c r="K79" s="159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200</v>
      </c>
      <c r="C80" s="158"/>
      <c r="D80" s="28">
        <f>B80</f>
        <v>200</v>
      </c>
      <c r="E80" s="159"/>
      <c r="F80" s="55"/>
      <c r="G80" s="219" t="s">
        <v>113</v>
      </c>
      <c r="H80" s="75">
        <v>100</v>
      </c>
      <c r="I80" s="158"/>
      <c r="J80" s="28">
        <f>H80</f>
        <v>100</v>
      </c>
      <c r="K80" s="159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2530.6663866666668</v>
      </c>
      <c r="C81" s="158"/>
      <c r="D81" s="158"/>
      <c r="E81" s="159"/>
      <c r="F81" s="55"/>
      <c r="G81" s="220" t="s">
        <v>114</v>
      </c>
      <c r="H81" s="221">
        <f>SUM(J64:J80)</f>
        <v>4490.4033333333336</v>
      </c>
      <c r="I81" s="158"/>
      <c r="J81" s="158"/>
      <c r="K81" s="159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210.88886555555555</v>
      </c>
      <c r="C82" s="158"/>
      <c r="D82" s="158"/>
      <c r="E82" s="159"/>
      <c r="F82" s="55"/>
      <c r="G82" s="157" t="s">
        <v>115</v>
      </c>
      <c r="H82" s="29">
        <f>H81/H29</f>
        <v>374.20027777777779</v>
      </c>
      <c r="I82" s="158"/>
      <c r="J82" s="158"/>
      <c r="K82" s="159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H46</f>
        <v>501</v>
      </c>
      <c r="C83" s="158"/>
      <c r="D83" s="158"/>
      <c r="E83" s="159"/>
      <c r="F83" s="55"/>
      <c r="G83" s="222" t="s">
        <v>116</v>
      </c>
      <c r="H83" s="52">
        <f>H46</f>
        <v>501</v>
      </c>
      <c r="I83" s="158"/>
      <c r="J83" s="158"/>
      <c r="K83" s="159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158"/>
      <c r="D84" s="158"/>
      <c r="E84" s="159"/>
      <c r="F84" s="55"/>
      <c r="G84" s="157"/>
      <c r="H84" s="28"/>
      <c r="I84" s="158"/>
      <c r="J84" s="158"/>
      <c r="K84" s="159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((B83*(H29)+B81))</f>
        <v>8542.6663866666677</v>
      </c>
      <c r="C85" s="158"/>
      <c r="D85" s="158"/>
      <c r="E85" s="159"/>
      <c r="F85" s="55"/>
      <c r="G85" s="209" t="s">
        <v>126</v>
      </c>
      <c r="H85" s="24">
        <f>((H83*(H27+H28))+H81)*1.2</f>
        <v>12602.884</v>
      </c>
      <c r="I85" s="158"/>
      <c r="J85" s="158"/>
      <c r="K85" s="159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(B85/(1-B70))*B70</f>
        <v>72.366274352561533</v>
      </c>
      <c r="C86" s="158"/>
      <c r="D86" s="158"/>
      <c r="E86" s="159"/>
      <c r="F86" s="55"/>
      <c r="G86" s="157" t="s">
        <v>127</v>
      </c>
      <c r="H86" s="29">
        <f>(((H83*(H27+H28))+H81)/(1-H70))*H70</f>
        <v>88.967515127067387</v>
      </c>
      <c r="I86" s="158"/>
      <c r="J86" s="158"/>
      <c r="K86" s="159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8615.0326610192296</v>
      </c>
      <c r="C87" s="158"/>
      <c r="D87" s="158"/>
      <c r="E87" s="159"/>
      <c r="F87" s="55"/>
      <c r="G87" s="206" t="s">
        <v>128</v>
      </c>
      <c r="H87" s="57">
        <f>IF(H110="YES",((H85+H86)-A151-K114),((H85+H86)-A151))</f>
        <v>12466.851515127068</v>
      </c>
      <c r="I87" s="158"/>
      <c r="J87" s="158"/>
      <c r="K87" s="159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158"/>
      <c r="D88" s="158"/>
      <c r="E88" s="159"/>
      <c r="F88" s="55"/>
      <c r="G88" s="157"/>
      <c r="H88" s="28"/>
      <c r="I88" s="158"/>
      <c r="J88" s="158"/>
      <c r="K88" s="159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3">
        <f>IF(B99=Z102,(((H44*B35)+(H44*B35)*(B105/100))/(B58)),(((H44*B35)+(H44*B35)*(B105/100))/(B57+B58)))</f>
        <v>60</v>
      </c>
      <c r="C89" s="158" t="s">
        <v>10</v>
      </c>
      <c r="D89" s="158"/>
      <c r="E89" s="159"/>
      <c r="F89" s="55"/>
      <c r="G89" s="220" t="s">
        <v>129</v>
      </c>
      <c r="H89" s="221">
        <f>(A41+(A41*H105))*1.2</f>
        <v>72</v>
      </c>
      <c r="I89" s="158"/>
      <c r="J89" s="158"/>
      <c r="K89" s="159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IF(B99=Z102,(B87-D105)/(B58),B87/(B57+B58))</f>
        <v>717.91938841826914</v>
      </c>
      <c r="C90" s="158"/>
      <c r="D90" s="158"/>
      <c r="E90" s="159"/>
      <c r="F90" s="55"/>
      <c r="G90" s="224" t="s">
        <v>130</v>
      </c>
      <c r="H90" s="225">
        <f>IF(H99=AE98,(H87-J105)/(H58),H87/(H57+H58))</f>
        <v>1038.9042929272557</v>
      </c>
      <c r="I90" s="158"/>
      <c r="K90" s="159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777.91938841826914</v>
      </c>
      <c r="C91" s="158"/>
      <c r="D91" s="158"/>
      <c r="E91" s="159"/>
      <c r="F91" s="55"/>
      <c r="G91" s="226" t="s">
        <v>131</v>
      </c>
      <c r="H91" s="227">
        <f>IF(G105="YES",H90+H89,H90)</f>
        <v>1110.9042929272557</v>
      </c>
      <c r="I91" s="158"/>
      <c r="J91" s="158"/>
      <c r="K91" s="159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207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46.5" customHeight="1">
      <c r="A94" s="376" t="s">
        <v>338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/>
      <c r="F95" s="55"/>
      <c r="G95" s="157"/>
      <c r="H95" s="158"/>
      <c r="I95" s="158"/>
      <c r="J95" s="158"/>
      <c r="K95" s="159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7" ht="18.75" customHeight="1">
      <c r="A97" s="157"/>
      <c r="B97" s="158"/>
      <c r="C97" s="158"/>
      <c r="D97" s="158"/>
      <c r="E97" s="159"/>
      <c r="F97" s="55"/>
      <c r="G97" s="157"/>
      <c r="H97" s="158"/>
      <c r="I97" s="158"/>
      <c r="J97" s="158"/>
      <c r="K97" s="159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7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7" ht="18.75" customHeight="1">
      <c r="A99" s="162" t="s">
        <v>292</v>
      </c>
      <c r="B99" s="395" t="s">
        <v>140</v>
      </c>
      <c r="C99" s="395"/>
      <c r="D99" s="348">
        <v>1000</v>
      </c>
      <c r="E99" s="348"/>
      <c r="F99" s="55"/>
      <c r="G99" s="162" t="s">
        <v>292</v>
      </c>
      <c r="H99" s="395" t="s">
        <v>140</v>
      </c>
      <c r="I99" s="395"/>
      <c r="J99" s="348">
        <v>0</v>
      </c>
      <c r="K99" s="348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7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spans="1:27" ht="18.75" customHeight="1">
      <c r="A101" s="157" t="s">
        <v>293</v>
      </c>
      <c r="B101" s="158" t="s">
        <v>294</v>
      </c>
      <c r="C101" s="158"/>
      <c r="D101" s="158" t="s">
        <v>295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 t="s">
        <v>140</v>
      </c>
      <c r="AA101" s="55"/>
    </row>
    <row r="102" spans="1:27" ht="18.75" customHeight="1">
      <c r="A102" s="228">
        <v>750</v>
      </c>
      <c r="B102" s="348">
        <v>400</v>
      </c>
      <c r="C102" s="348"/>
      <c r="D102" s="348">
        <v>200</v>
      </c>
      <c r="E102" s="348"/>
      <c r="F102" s="55"/>
      <c r="G102" s="228">
        <f>199.99*1.2</f>
        <v>239.988</v>
      </c>
      <c r="H102" s="348">
        <v>1200</v>
      </c>
      <c r="I102" s="348"/>
      <c r="J102" s="348">
        <v>0</v>
      </c>
      <c r="K102" s="348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 t="s">
        <v>270</v>
      </c>
      <c r="AA102" s="55"/>
    </row>
    <row r="103" spans="1:27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Z103" s="55" t="s">
        <v>271</v>
      </c>
      <c r="AA103" s="55"/>
    </row>
    <row r="104" spans="1:27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Z104" s="55" t="s">
        <v>272</v>
      </c>
      <c r="AA104" s="55"/>
    </row>
    <row r="105" spans="1:27" ht="18.75" customHeight="1">
      <c r="A105" s="164" t="s">
        <v>385</v>
      </c>
      <c r="B105" s="395">
        <v>20</v>
      </c>
      <c r="C105" s="395"/>
      <c r="D105" s="348">
        <v>200</v>
      </c>
      <c r="E105" s="348"/>
      <c r="F105" s="55"/>
      <c r="G105" s="164" t="s">
        <v>31</v>
      </c>
      <c r="H105" s="396">
        <v>0.2</v>
      </c>
      <c r="I105" s="396"/>
      <c r="J105" s="348">
        <v>0</v>
      </c>
      <c r="K105" s="348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Z105" s="55" t="s">
        <v>273</v>
      </c>
      <c r="AA105" s="55"/>
    </row>
    <row r="106" spans="1:27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Z106" s="55" t="s">
        <v>274</v>
      </c>
      <c r="AA106" s="55"/>
    </row>
    <row r="107" spans="1:27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Z107" s="55" t="s">
        <v>275</v>
      </c>
      <c r="AA107" s="55"/>
    </row>
    <row r="108" spans="1:27" ht="18.75" customHeight="1">
      <c r="A108" s="377" t="s">
        <v>296</v>
      </c>
      <c r="B108" s="377">
        <v>0</v>
      </c>
      <c r="C108" s="377"/>
      <c r="D108" s="377">
        <v>0</v>
      </c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Z108" s="55" t="s">
        <v>276</v>
      </c>
      <c r="AA108" s="55"/>
    </row>
    <row r="109" spans="1:27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Z109" s="55" t="s">
        <v>277</v>
      </c>
    </row>
    <row r="110" spans="1:27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Z110" s="55"/>
    </row>
    <row r="111" spans="1:27" ht="18.75" customHeight="1">
      <c r="A111" s="157"/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Z111" s="55"/>
    </row>
    <row r="112" spans="1:27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10000</v>
      </c>
      <c r="K112" s="92">
        <v>5000</v>
      </c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7000</v>
      </c>
      <c r="K113" s="92">
        <v>7000</v>
      </c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3000</v>
      </c>
      <c r="K114" s="127">
        <f>K112-K113</f>
        <v>-2000</v>
      </c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5000</v>
      </c>
      <c r="K115" s="159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f>D99</f>
        <v>1000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f>A102</f>
        <v>750</v>
      </c>
      <c r="F118" s="55"/>
      <c r="G118" s="157" t="s">
        <v>66</v>
      </c>
      <c r="H118" s="158"/>
      <c r="I118" s="158"/>
      <c r="J118" s="158"/>
      <c r="K118" s="29">
        <f>G102</f>
        <v>239.988</v>
      </c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((E118*1.2)+E117)-D115</f>
        <v>1900</v>
      </c>
      <c r="F119" s="55"/>
      <c r="G119" s="229" t="s">
        <v>298</v>
      </c>
      <c r="H119" s="207"/>
      <c r="I119" s="207"/>
      <c r="J119" s="207"/>
      <c r="K119" s="57">
        <f>(K118+K117)-J115</f>
        <v>-4760.0119999999997</v>
      </c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12</v>
      </c>
      <c r="C125" s="236"/>
      <c r="D125" s="235">
        <f>B160</f>
        <v>5000</v>
      </c>
      <c r="E125" s="233"/>
      <c r="F125" s="55"/>
      <c r="G125" s="157"/>
      <c r="H125" s="158"/>
      <c r="I125" s="158"/>
      <c r="J125" s="158"/>
      <c r="K125" s="159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157" t="s">
        <v>94</v>
      </c>
      <c r="H126" s="158" t="s">
        <v>95</v>
      </c>
      <c r="I126" s="158"/>
      <c r="J126" s="158" t="s">
        <v>97</v>
      </c>
      <c r="K126" s="159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169">
        <f>G152</f>
        <v>12</v>
      </c>
      <c r="H127" s="170">
        <f>A152</f>
        <v>0</v>
      </c>
      <c r="I127" s="171"/>
      <c r="J127" s="170">
        <f>B151</f>
        <v>0</v>
      </c>
      <c r="K127" s="159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717.91938841826914</v>
      </c>
      <c r="B128" s="232">
        <f>IF(A105="YES",B89,0)</f>
        <v>60</v>
      </c>
      <c r="C128" s="237"/>
      <c r="D128" s="232">
        <f>B91</f>
        <v>777.91938841826914</v>
      </c>
      <c r="E128" s="233"/>
      <c r="F128" s="55"/>
      <c r="G128" s="157"/>
      <c r="H128" s="158"/>
      <c r="I128" s="158"/>
      <c r="J128" s="158"/>
      <c r="K128" s="159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7" ht="18.75" customHeight="1">
      <c r="A129" s="157"/>
      <c r="B129" s="158"/>
      <c r="C129" s="158"/>
      <c r="D129" s="158"/>
      <c r="E129" s="159"/>
      <c r="F129" s="55"/>
      <c r="G129" s="238" t="s">
        <v>302</v>
      </c>
      <c r="H129" s="239" t="s">
        <v>303</v>
      </c>
      <c r="I129" s="239"/>
      <c r="J129" s="239" t="s">
        <v>304</v>
      </c>
      <c r="K129" s="159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7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242">
        <f>H90</f>
        <v>1038.9042929272557</v>
      </c>
      <c r="H130" s="133">
        <f>IF(G105="YES",H89*H57,0)</f>
        <v>72</v>
      </c>
      <c r="I130" s="133"/>
      <c r="J130" s="243">
        <f>H91</f>
        <v>1110.9042929272557</v>
      </c>
      <c r="K130" s="90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7" ht="18.75" customHeight="1">
      <c r="A131" s="244" t="str">
        <f>B99</f>
        <v xml:space="preserve"> Monthly in advance </v>
      </c>
      <c r="B131" s="34">
        <f>B90*B57</f>
        <v>717.91938841826914</v>
      </c>
      <c r="C131" s="158"/>
      <c r="D131" s="34">
        <f>IF(A105="YES",B89*B57,0)</f>
        <v>60</v>
      </c>
      <c r="E131" s="159"/>
      <c r="F131" s="55"/>
      <c r="G131" s="157"/>
      <c r="H131" s="158"/>
      <c r="I131" s="158"/>
      <c r="J131" s="158"/>
      <c r="K131" s="159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7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7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1038.9042929272557</v>
      </c>
      <c r="H133" s="34">
        <f>IF(G105="YES",H89*H57,0)</f>
        <v>72</v>
      </c>
      <c r="I133" s="163"/>
      <c r="J133" s="137">
        <f>H91*H57</f>
        <v>1110.9042929272557</v>
      </c>
      <c r="K133" s="159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7" ht="18.75" customHeight="1">
      <c r="A134" s="94">
        <f>B91*B57</f>
        <v>777.91938841826914</v>
      </c>
      <c r="B134" s="34">
        <f>E114</f>
        <v>0</v>
      </c>
      <c r="C134" s="158"/>
      <c r="D134" s="245">
        <f>B58</f>
        <v>11</v>
      </c>
      <c r="E134" s="159"/>
      <c r="F134" s="55"/>
      <c r="G134" s="157"/>
      <c r="H134" s="158"/>
      <c r="I134" s="158"/>
      <c r="J134" s="158"/>
      <c r="K134" s="159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7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7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</v>
      </c>
      <c r="H136" s="34">
        <f>IF(G105="YES",E15*0.000002,0)</f>
        <v>0</v>
      </c>
      <c r="I136" s="34"/>
      <c r="J136" s="34">
        <f>G136+H136</f>
        <v>0</v>
      </c>
      <c r="K136" s="90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7" ht="18.75" customHeight="1">
      <c r="A137" s="94">
        <f>B90</f>
        <v>717.91938841826914</v>
      </c>
      <c r="B137" s="34">
        <f>IF(A105="YES",B89,0)</f>
        <v>60</v>
      </c>
      <c r="C137" s="158"/>
      <c r="D137" s="34">
        <f>B91</f>
        <v>777.91938841826914</v>
      </c>
      <c r="E137" s="159"/>
      <c r="F137" s="55"/>
      <c r="G137" s="157"/>
      <c r="H137" s="158"/>
      <c r="I137" s="158"/>
      <c r="J137" s="158"/>
      <c r="K137" s="159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7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7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239.988</v>
      </c>
      <c r="H139" s="34">
        <f>H67</f>
        <v>202.63</v>
      </c>
      <c r="I139" s="34"/>
      <c r="J139" s="34">
        <f>H102*0.9</f>
        <v>1080</v>
      </c>
      <c r="K139" s="90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7" ht="18.75" customHeight="1">
      <c r="A140" s="250">
        <f>(G18*0.000006)*100</f>
        <v>24.3156</v>
      </c>
      <c r="B140" s="251">
        <f>G18*0.000002*100</f>
        <v>8.1052</v>
      </c>
      <c r="C140" s="252"/>
      <c r="D140" s="251">
        <f>A140+B140</f>
        <v>32.4208</v>
      </c>
      <c r="E140" s="274"/>
      <c r="F140" s="55"/>
      <c r="G140" s="157"/>
      <c r="H140" s="158"/>
      <c r="I140" s="158"/>
      <c r="J140" s="158"/>
      <c r="K140" s="159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7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7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IF(G105="YES",H89*0.1,0)</f>
        <v>7.2</v>
      </c>
      <c r="H142" s="34">
        <f>G102-100</f>
        <v>139.988</v>
      </c>
      <c r="I142" s="34"/>
      <c r="J142" s="34">
        <f>(H139+J139+G142+H142)-H145</f>
        <v>1429.8180000000002</v>
      </c>
      <c r="K142" s="90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7" ht="18.75" customHeight="1">
      <c r="A143" s="94">
        <v>0</v>
      </c>
      <c r="B143" s="34">
        <f>E118</f>
        <v>750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7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f>IF((1200-H102)&lt;=0,0,(1200-H102))</f>
        <v>0</v>
      </c>
      <c r="H145" s="34">
        <f>(H139+J139+G142+H142)*(G145/H64)</f>
        <v>0</v>
      </c>
      <c r="I145" s="158"/>
      <c r="J145" s="158"/>
      <c r="K145" s="159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100</v>
      </c>
      <c r="B148" s="34">
        <f>B102</f>
        <v>400</v>
      </c>
      <c r="C148" s="34"/>
      <c r="D148" s="34">
        <f>IF(A105="YES",(A41*B105)*B125,0)*0.001</f>
        <v>12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225</v>
      </c>
      <c r="B151" s="34">
        <f>(A148+B148+D148+A151)*(A143/B64)</f>
        <v>0</v>
      </c>
      <c r="C151" s="34"/>
      <c r="D151" s="34">
        <f>(A148+B148+D148+A151)-B151-A154</f>
        <v>537</v>
      </c>
      <c r="E151" s="90"/>
      <c r="F151" s="55"/>
      <c r="G151" s="387"/>
      <c r="H151" s="389">
        <f>B51</f>
        <v>5000</v>
      </c>
      <c r="I151" s="389"/>
      <c r="J151" s="158"/>
      <c r="K151" s="159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12</v>
      </c>
      <c r="H152" s="343">
        <f>H91</f>
        <v>1110.9042929272557</v>
      </c>
      <c r="I152" s="343"/>
      <c r="J152" s="158"/>
      <c r="K152" s="159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9.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5000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12</v>
      </c>
      <c r="B161" s="343">
        <f>B91</f>
        <v>777.91938841826914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97" t="s">
        <v>299</v>
      </c>
      <c r="B165" s="397"/>
      <c r="C165" s="397"/>
      <c r="D165" s="397"/>
      <c r="E165" s="397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157"/>
      <c r="B166" s="158"/>
      <c r="C166" s="158"/>
      <c r="D166" s="158"/>
      <c r="E166" s="159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230" t="s">
        <v>137</v>
      </c>
      <c r="B167" s="231" t="s">
        <v>52</v>
      </c>
      <c r="C167" s="232"/>
      <c r="D167" s="231" t="s">
        <v>95</v>
      </c>
      <c r="E167" s="233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234" t="s">
        <v>292</v>
      </c>
      <c r="B168" s="259">
        <f>A161</f>
        <v>12</v>
      </c>
      <c r="C168" s="236"/>
      <c r="D168" s="232">
        <f>B160</f>
        <v>5000</v>
      </c>
      <c r="E168" s="233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230"/>
      <c r="B169" s="231"/>
      <c r="C169" s="231"/>
      <c r="D169" s="231"/>
      <c r="E169" s="233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230" t="s">
        <v>130</v>
      </c>
      <c r="B170" s="231" t="s">
        <v>300</v>
      </c>
      <c r="C170" s="232"/>
      <c r="D170" s="231" t="s">
        <v>301</v>
      </c>
      <c r="E170" s="233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234">
        <f>B90</f>
        <v>717.91938841826914</v>
      </c>
      <c r="B171" s="232">
        <f>IF(A105="YES",B89,0)</f>
        <v>60</v>
      </c>
      <c r="C171" s="237"/>
      <c r="D171" s="232">
        <f>B91</f>
        <v>777.91938841826914</v>
      </c>
      <c r="E171" s="233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40" t="s">
        <v>36</v>
      </c>
      <c r="B173" s="241" t="s">
        <v>305</v>
      </c>
      <c r="C173" s="171"/>
      <c r="D173" s="241" t="s">
        <v>306</v>
      </c>
      <c r="E173" s="159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44" t="str">
        <f>B99</f>
        <v xml:space="preserve"> Monthly in advance </v>
      </c>
      <c r="B174" s="34">
        <f>B90*B57</f>
        <v>717.91938841826914</v>
      </c>
      <c r="C174" s="158"/>
      <c r="D174" s="34">
        <f>IF(A105="YES",B89*B57,0)</f>
        <v>60</v>
      </c>
      <c r="E174" s="159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157"/>
      <c r="B175" s="158"/>
      <c r="C175" s="158"/>
      <c r="D175" s="158"/>
      <c r="E175" s="159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93" t="s">
        <v>310</v>
      </c>
      <c r="B176" s="35" t="s">
        <v>311</v>
      </c>
      <c r="C176" s="163"/>
      <c r="D176" s="179" t="s">
        <v>218</v>
      </c>
      <c r="E176" s="159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94">
        <f>B91*B57</f>
        <v>777.91938841826914</v>
      </c>
      <c r="B177" s="34">
        <f>E114</f>
        <v>0</v>
      </c>
      <c r="C177" s="158"/>
      <c r="D177" s="245">
        <f>B58</f>
        <v>11</v>
      </c>
      <c r="E177" s="159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94"/>
      <c r="B178" s="246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53" t="s">
        <v>130</v>
      </c>
      <c r="B179" s="247" t="s">
        <v>300</v>
      </c>
      <c r="C179" s="158"/>
      <c r="D179" s="158" t="s">
        <v>301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94">
        <f>B90</f>
        <v>717.91938841826914</v>
      </c>
      <c r="B180" s="34">
        <f>IF(A105="YES",B89,0)</f>
        <v>60</v>
      </c>
      <c r="C180" s="158"/>
      <c r="D180" s="34">
        <f>B91</f>
        <v>777.91938841826914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248" t="s">
        <v>80</v>
      </c>
      <c r="B182" s="249" t="s">
        <v>318</v>
      </c>
      <c r="C182" s="34"/>
      <c r="D182" s="249" t="s">
        <v>85</v>
      </c>
      <c r="E182" s="90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250">
        <f>(G18*0.000006)*100</f>
        <v>24.3156</v>
      </c>
      <c r="B183" s="251">
        <f>G18*0.000002*100</f>
        <v>8.1052</v>
      </c>
      <c r="C183" s="252"/>
      <c r="D183" s="251">
        <f>A183+B183</f>
        <v>32.4208</v>
      </c>
      <c r="E183" s="274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253"/>
      <c r="B184" s="254"/>
      <c r="C184" s="158"/>
      <c r="D184" s="254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248" t="s">
        <v>322</v>
      </c>
      <c r="B185" s="249" t="s">
        <v>66</v>
      </c>
      <c r="C185" s="34"/>
      <c r="D185" s="249" t="s">
        <v>288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v>0</v>
      </c>
      <c r="B186" s="34">
        <f>E118</f>
        <v>750</v>
      </c>
      <c r="C186" s="158"/>
      <c r="D186" s="119">
        <f>B102</f>
        <v>400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94"/>
      <c r="B187" s="34"/>
      <c r="C187" s="158"/>
      <c r="D187" s="34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55" t="s">
        <v>325</v>
      </c>
      <c r="B188" s="256"/>
      <c r="C188" s="257"/>
      <c r="D188" s="256"/>
      <c r="E188" s="258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3"/>
      <c r="B189" s="254"/>
      <c r="C189" s="158"/>
      <c r="D189" s="254"/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157" t="s">
        <v>326</v>
      </c>
      <c r="B190" s="158" t="s">
        <v>327</v>
      </c>
      <c r="C190" s="158"/>
      <c r="D190" s="158" t="s">
        <v>328</v>
      </c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94">
        <f>B67</f>
        <v>100</v>
      </c>
      <c r="B191" s="34">
        <f>B102</f>
        <v>400</v>
      </c>
      <c r="C191" s="34"/>
      <c r="D191" s="34">
        <f>IF(A105="YES",(A38/100*B105)*B125,0)*0.001</f>
        <v>12</v>
      </c>
      <c r="E191" s="90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157"/>
      <c r="B192" s="158"/>
      <c r="C192" s="158"/>
      <c r="D192" s="158"/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157" t="s">
        <v>330</v>
      </c>
      <c r="B193" s="158" t="s">
        <v>324</v>
      </c>
      <c r="C193" s="158"/>
      <c r="D193" s="158" t="s">
        <v>321</v>
      </c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94">
        <f>A151</f>
        <v>225</v>
      </c>
      <c r="B194" s="34">
        <f>(A148+B148+D148+A151)*(A143/B64)</f>
        <v>0</v>
      </c>
      <c r="C194" s="34"/>
      <c r="D194" s="34">
        <f>D151</f>
        <v>537</v>
      </c>
      <c r="E194" s="90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157"/>
      <c r="B195" s="158"/>
      <c r="C195" s="158"/>
      <c r="D195" s="158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331</v>
      </c>
      <c r="B196" s="158"/>
      <c r="C196" s="158"/>
      <c r="D196" s="158"/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D102</f>
        <v>200</v>
      </c>
      <c r="B197" s="34"/>
      <c r="C197" s="158"/>
      <c r="D197" s="158"/>
      <c r="E197" s="159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206"/>
      <c r="B198" s="207"/>
      <c r="C198" s="207"/>
      <c r="D198" s="207"/>
      <c r="E198" s="208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397" t="s">
        <v>224</v>
      </c>
      <c r="B201" s="397"/>
      <c r="C201" s="397"/>
      <c r="D201" s="397"/>
      <c r="E201" s="397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/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230" t="s">
        <v>225</v>
      </c>
      <c r="B203" s="260">
        <f>H29</f>
        <v>12</v>
      </c>
      <c r="C203" s="232" t="s">
        <v>227</v>
      </c>
      <c r="D203" s="261">
        <f>D64</f>
        <v>1203.99972</v>
      </c>
      <c r="E203" s="233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34"/>
      <c r="B204" s="235"/>
      <c r="C204" s="236"/>
      <c r="D204" s="235"/>
      <c r="E204" s="233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230" t="s">
        <v>228</v>
      </c>
      <c r="B205" s="232">
        <f>B213</f>
        <v>100</v>
      </c>
      <c r="C205" s="231" t="s">
        <v>229</v>
      </c>
      <c r="D205" s="261">
        <f>B219+E215+B215+B217</f>
        <v>585</v>
      </c>
      <c r="E205" s="233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230"/>
      <c r="B206" s="262"/>
      <c r="C206" s="232"/>
      <c r="D206" s="231"/>
      <c r="E206" s="233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234" t="s">
        <v>230</v>
      </c>
      <c r="B207" s="232">
        <f>E217</f>
        <v>1688.99972</v>
      </c>
      <c r="C207" s="236"/>
      <c r="D207" s="232"/>
      <c r="E207" s="233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247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169" t="s">
        <v>225</v>
      </c>
      <c r="B209" s="263">
        <v>6.5000000000000002E-2</v>
      </c>
      <c r="C209" s="171"/>
      <c r="D209" s="241"/>
      <c r="E209" s="159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44"/>
      <c r="B210" s="35"/>
      <c r="C210" s="158"/>
      <c r="D210" s="34"/>
      <c r="E210" s="159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162" t="s">
        <v>227</v>
      </c>
      <c r="B211" s="89">
        <f>D64</f>
        <v>1203.99972</v>
      </c>
      <c r="C211" s="178" t="s">
        <v>233</v>
      </c>
      <c r="D211" s="158"/>
      <c r="E211" s="214">
        <f>B66</f>
        <v>0</v>
      </c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138"/>
      <c r="B212" s="35"/>
      <c r="C212" s="163"/>
      <c r="D212" s="179"/>
      <c r="E212" s="159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94" t="s">
        <v>233</v>
      </c>
      <c r="B213" s="89">
        <f>B67</f>
        <v>100</v>
      </c>
      <c r="C213" s="163" t="s">
        <v>332</v>
      </c>
      <c r="D213" s="245"/>
      <c r="E213" s="72">
        <v>1E-3</v>
      </c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94"/>
      <c r="B214" s="247"/>
      <c r="C214" s="163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94" t="s">
        <v>332</v>
      </c>
      <c r="B215" s="179">
        <f>B191*E213*100</f>
        <v>40</v>
      </c>
      <c r="C215" s="163" t="s">
        <v>235</v>
      </c>
      <c r="D215" s="158"/>
      <c r="E215" s="29">
        <f>A194</f>
        <v>225</v>
      </c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94"/>
      <c r="B216" s="35"/>
      <c r="C216" s="163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333</v>
      </c>
      <c r="B217" s="179">
        <f>B78-(B78*(E213*100))</f>
        <v>200</v>
      </c>
      <c r="C217" s="163" t="s">
        <v>230</v>
      </c>
      <c r="D217" s="158"/>
      <c r="E217" s="29">
        <f>(B211-B205+D205)</f>
        <v>1688.99972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264"/>
      <c r="B218" s="249"/>
      <c r="C218" s="34"/>
      <c r="D218" s="249"/>
      <c r="E218" s="127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264" t="s">
        <v>334</v>
      </c>
      <c r="B219" s="249">
        <f>D191/0.1</f>
        <v>120</v>
      </c>
      <c r="C219" s="34"/>
      <c r="D219" s="249"/>
      <c r="E219" s="127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264"/>
      <c r="B220" s="249"/>
      <c r="C220" s="34"/>
      <c r="D220" s="249"/>
      <c r="E220" s="127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255" t="s">
        <v>335</v>
      </c>
      <c r="B221" s="265"/>
      <c r="C221" s="257"/>
      <c r="D221" s="256"/>
      <c r="E221" s="258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253"/>
      <c r="B222" s="266"/>
      <c r="C222" s="158"/>
      <c r="D222" s="25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253" t="s">
        <v>237</v>
      </c>
      <c r="B223" s="89">
        <f>B71</f>
        <v>200</v>
      </c>
      <c r="C223" s="163" t="s">
        <v>238</v>
      </c>
      <c r="D223" s="254"/>
      <c r="E223" s="118">
        <f>B72</f>
        <v>5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53"/>
      <c r="B224" s="266"/>
      <c r="C224" s="163" t="s">
        <v>239</v>
      </c>
      <c r="D224" s="254"/>
      <c r="E224" s="29">
        <f>D73</f>
        <v>260</v>
      </c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53" t="s">
        <v>240</v>
      </c>
      <c r="B225" s="267">
        <f>B68</f>
        <v>7.4999999999999997E-3</v>
      </c>
      <c r="C225" s="163" t="s">
        <v>241</v>
      </c>
      <c r="D225" s="254"/>
      <c r="E225" s="214">
        <f>B69</f>
        <v>0.12</v>
      </c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53"/>
      <c r="B226" s="266"/>
      <c r="C226" s="163" t="s">
        <v>242</v>
      </c>
      <c r="D226" s="254"/>
      <c r="E226" s="29">
        <f>B86</f>
        <v>72.366274352561533</v>
      </c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3" t="s">
        <v>243</v>
      </c>
      <c r="B227" s="89">
        <f>B79</f>
        <v>200</v>
      </c>
      <c r="C227" s="268" t="s">
        <v>336</v>
      </c>
      <c r="D227" s="269"/>
      <c r="E227" s="118">
        <f>B74</f>
        <v>0</v>
      </c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162"/>
      <c r="B228" s="247"/>
      <c r="C228" s="268"/>
      <c r="D228" s="270"/>
      <c r="E228" s="271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94" t="s">
        <v>244</v>
      </c>
      <c r="B229" s="89">
        <f>B80</f>
        <v>200</v>
      </c>
      <c r="C229" s="272" t="s">
        <v>337</v>
      </c>
      <c r="D229" s="272"/>
      <c r="E229" s="118">
        <f>B75</f>
        <v>0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157"/>
      <c r="B230" s="158"/>
      <c r="C230" s="158"/>
      <c r="D230" s="158"/>
      <c r="E230" s="159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157"/>
      <c r="B231" s="158"/>
      <c r="C231" s="158"/>
      <c r="D231" s="158"/>
      <c r="E231" s="159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94"/>
      <c r="B232" s="34"/>
      <c r="C232" s="34"/>
      <c r="D232" s="34"/>
      <c r="E232" s="90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157"/>
      <c r="B233" s="158"/>
      <c r="C233" s="158"/>
      <c r="D233" s="158"/>
      <c r="E233" s="159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57"/>
      <c r="B234" s="158"/>
      <c r="C234" s="158"/>
      <c r="D234" s="158"/>
      <c r="E234" s="159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/>
      <c r="B235" s="34"/>
      <c r="C235" s="158"/>
      <c r="D235" s="158"/>
      <c r="E235" s="159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206"/>
      <c r="B236" s="207"/>
      <c r="C236" s="207"/>
      <c r="D236" s="207"/>
      <c r="E236" s="208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6">
    <mergeCell ref="B161:C161"/>
    <mergeCell ref="A165:E165"/>
    <mergeCell ref="A201:E201"/>
    <mergeCell ref="G150:G151"/>
    <mergeCell ref="H150:I150"/>
    <mergeCell ref="H151:I151"/>
    <mergeCell ref="H152:I152"/>
    <mergeCell ref="A159:A160"/>
    <mergeCell ref="B159:C159"/>
    <mergeCell ref="B160:C160"/>
    <mergeCell ref="A108:E108"/>
    <mergeCell ref="G108:K108"/>
    <mergeCell ref="A122:E122"/>
    <mergeCell ref="G122:K122"/>
    <mergeCell ref="H124:I124"/>
    <mergeCell ref="B102:C102"/>
    <mergeCell ref="D102:E102"/>
    <mergeCell ref="H102:I102"/>
    <mergeCell ref="J102:K102"/>
    <mergeCell ref="B105:C105"/>
    <mergeCell ref="D105:E105"/>
    <mergeCell ref="H105:I105"/>
    <mergeCell ref="J105:K105"/>
    <mergeCell ref="G94:K94"/>
    <mergeCell ref="A96:E96"/>
    <mergeCell ref="G96:K96"/>
    <mergeCell ref="B99:C99"/>
    <mergeCell ref="D99:E99"/>
    <mergeCell ref="H99:I99"/>
    <mergeCell ref="J99:K99"/>
    <mergeCell ref="A50:A51"/>
    <mergeCell ref="B50:C50"/>
    <mergeCell ref="B51:C51"/>
    <mergeCell ref="B52:C52"/>
    <mergeCell ref="A94:E94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B38 A105 B110" xr:uid="{00000000-0002-0000-0900-000001000000}">
      <formula1>"NO,YES"</formula1>
      <formula2>0</formula2>
    </dataValidation>
    <dataValidation type="list" allowBlank="1" showErrorMessage="1" sqref="H99 N99:O99 G105 M105 O107 H110 N110" xr:uid="{00000000-0002-0000-0900-000002000000}">
      <formula1>#REF!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900-000000000000}">
          <x14:formula1>
            <xm:f>'BCH (Formula 3) - BCH'!$Z$101:$Z$109</xm:f>
          </x14:formula1>
          <x14:formula2>
            <xm:f>0</xm:f>
          </x14:formula2>
          <xm:sqref>A32 B99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A175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40526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25" t="s">
        <v>36</v>
      </c>
      <c r="H26" s="26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30" t="s">
        <v>38</v>
      </c>
      <c r="H27" s="31">
        <v>1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30" t="s">
        <v>40</v>
      </c>
      <c r="H28" s="3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98">
        <f ca="1">TODAY()+1</f>
        <v>45777</v>
      </c>
      <c r="E29" s="398"/>
      <c r="F29" s="55"/>
      <c r="G29" s="25" t="s">
        <v>41</v>
      </c>
      <c r="H29" s="33">
        <f>A32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25" t="s">
        <v>45</v>
      </c>
      <c r="H30" s="33">
        <f>B32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52</v>
      </c>
      <c r="B31" s="163" t="s">
        <v>53</v>
      </c>
      <c r="C31" s="158"/>
      <c r="D31" s="163" t="s">
        <v>54</v>
      </c>
      <c r="E31" s="159"/>
      <c r="F31" s="55"/>
      <c r="G31" s="25" t="s">
        <v>48</v>
      </c>
      <c r="H31" s="37" t="str">
        <f>A41</f>
        <v>6000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89">
        <v>12</v>
      </c>
      <c r="B32" s="378">
        <v>5000</v>
      </c>
      <c r="C32" s="378"/>
      <c r="D32" s="346">
        <f>(A32/12)*B32</f>
        <v>5000</v>
      </c>
      <c r="E32" s="346"/>
      <c r="F32" s="55"/>
      <c r="G32" s="25" t="s">
        <v>49</v>
      </c>
      <c r="H32" s="37">
        <f>A44*A32</f>
        <v>600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30"/>
      <c r="H33" s="43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339</v>
      </c>
      <c r="B34" s="172" t="s">
        <v>61</v>
      </c>
      <c r="C34" s="171" t="s">
        <v>10</v>
      </c>
      <c r="D34" s="173" t="s">
        <v>62</v>
      </c>
      <c r="E34" s="159"/>
      <c r="F34" s="55"/>
      <c r="G34" s="5"/>
      <c r="H34" s="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93">
        <f>E19</f>
        <v>17199.995999999999</v>
      </c>
      <c r="B35" s="378" t="s">
        <v>398</v>
      </c>
      <c r="C35" s="378"/>
      <c r="D35" s="394">
        <f>A35-B35</f>
        <v>16199.995999999999</v>
      </c>
      <c r="E35" s="394"/>
      <c r="F35" s="55"/>
      <c r="G35" s="45" t="s">
        <v>59</v>
      </c>
      <c r="H35" s="275">
        <v>6.5000000000000002E-2</v>
      </c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" t="s">
        <v>63</v>
      </c>
      <c r="H36" s="5">
        <f>B38</f>
        <v>11</v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66</v>
      </c>
      <c r="B37" s="163" t="s">
        <v>67</v>
      </c>
      <c r="C37" s="158" t="s">
        <v>58</v>
      </c>
      <c r="D37" s="163" t="s">
        <v>68</v>
      </c>
      <c r="E37" s="159"/>
      <c r="F37" s="55"/>
      <c r="G37" s="5"/>
      <c r="H37" s="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65" t="s">
        <v>393</v>
      </c>
      <c r="B38" s="383">
        <f>A32-1</f>
        <v>11</v>
      </c>
      <c r="C38" s="383"/>
      <c r="D38" s="346" t="s">
        <v>390</v>
      </c>
      <c r="E38" s="346"/>
      <c r="F38" s="55"/>
      <c r="G38" s="337" t="s">
        <v>65</v>
      </c>
      <c r="H38" s="337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" t="s">
        <v>69</v>
      </c>
      <c r="H39" s="5" t="str">
        <f>D38</f>
        <v>500</v>
      </c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76</v>
      </c>
      <c r="B40" s="178" t="s">
        <v>74</v>
      </c>
      <c r="C40" s="171"/>
      <c r="D40" s="137" t="s">
        <v>75</v>
      </c>
      <c r="E40" s="159"/>
      <c r="F40" s="55" t="s">
        <v>70</v>
      </c>
      <c r="G40" s="5" t="s">
        <v>71</v>
      </c>
      <c r="H40" s="5">
        <f>C15</f>
        <v>2866.6660000000002</v>
      </c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392</v>
      </c>
      <c r="B41" s="346" t="s">
        <v>401</v>
      </c>
      <c r="C41" s="346"/>
      <c r="D41" s="378" t="s">
        <v>31</v>
      </c>
      <c r="E41" s="378"/>
      <c r="F41" s="55"/>
      <c r="G41" s="5" t="s">
        <v>72</v>
      </c>
      <c r="H41" s="5" t="str">
        <f>IF(D41="Yes",A44,0)</f>
        <v>50</v>
      </c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5" t="s">
        <v>76</v>
      </c>
      <c r="H42" s="5" t="str">
        <f>A41</f>
        <v>6000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63" t="s">
        <v>129</v>
      </c>
      <c r="B43" s="178" t="s">
        <v>80</v>
      </c>
      <c r="C43" s="171" t="s">
        <v>340</v>
      </c>
      <c r="D43" s="178" t="s">
        <v>221</v>
      </c>
      <c r="E43" s="181"/>
      <c r="F43" s="55"/>
      <c r="G43" s="5" t="s">
        <v>77</v>
      </c>
      <c r="H43" s="5">
        <f>A32</f>
        <v>12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388</v>
      </c>
      <c r="B44" s="346" t="s">
        <v>394</v>
      </c>
      <c r="C44" s="346"/>
      <c r="D44" s="346" t="s">
        <v>394</v>
      </c>
      <c r="E44" s="346"/>
      <c r="F44" s="55"/>
      <c r="G44" s="5" t="s">
        <v>78</v>
      </c>
      <c r="H44" s="5">
        <f>((H40-(((H42/(1.2))*0.2)))/(H43))</f>
        <v>155.55550000000002</v>
      </c>
      <c r="I44" s="276">
        <f>((A41*(B35-1))+D32)/B35</f>
        <v>5999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" t="s">
        <v>82</v>
      </c>
      <c r="H45" s="5">
        <f>(H39-H44)+H41</f>
        <v>394.44449999999995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341</v>
      </c>
      <c r="B46" s="171" t="s">
        <v>342</v>
      </c>
      <c r="C46" s="171" t="s">
        <v>10</v>
      </c>
      <c r="D46" s="171"/>
      <c r="E46" s="181"/>
      <c r="F46" s="55">
        <v>0</v>
      </c>
      <c r="G46" s="5" t="s">
        <v>83</v>
      </c>
      <c r="H46" s="5">
        <v>0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93" t="s">
        <v>341</v>
      </c>
      <c r="B47" s="171"/>
      <c r="C47" s="171"/>
      <c r="D47" s="171"/>
      <c r="E47" s="181"/>
      <c r="F47" s="55"/>
      <c r="G47" s="5" t="s">
        <v>84</v>
      </c>
      <c r="H47" s="5">
        <f>A38/H29</f>
        <v>1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48" t="s">
        <v>86</v>
      </c>
      <c r="H48" s="5">
        <f>B41/H29</f>
        <v>1.6666666666666667</v>
      </c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48" t="s">
        <v>87</v>
      </c>
      <c r="H49" s="5">
        <f>H45+H48+H47</f>
        <v>397.11116666666663</v>
      </c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71"/>
      <c r="E50" s="181"/>
      <c r="F50" s="55"/>
      <c r="G50" s="5" t="s">
        <v>343</v>
      </c>
      <c r="H50" s="5">
        <f>H49-H41</f>
        <v>347.11116666666663</v>
      </c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5000</v>
      </c>
      <c r="C51" s="389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12</v>
      </c>
      <c r="B52" s="343">
        <f>H49</f>
        <v>397.11116666666663</v>
      </c>
      <c r="C52" s="343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H49</f>
        <v>397.11116666666663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17199.995999999999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40526</v>
      </c>
      <c r="C67" s="158"/>
      <c r="D67" s="158"/>
      <c r="E67" s="159"/>
      <c r="F67" s="55"/>
      <c r="G67" s="157" t="s">
        <v>27</v>
      </c>
      <c r="H67" s="28">
        <f>G18</f>
        <v>40526</v>
      </c>
      <c r="I67" s="158"/>
      <c r="J67" s="158"/>
      <c r="K67" s="159"/>
      <c r="L67" s="55"/>
      <c r="M67" s="157" t="s">
        <v>27</v>
      </c>
      <c r="N67" s="28">
        <f>G18</f>
        <v>40526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B67*B69</f>
        <v>2836.82</v>
      </c>
      <c r="C70" s="158">
        <v>10000</v>
      </c>
      <c r="D70" s="28">
        <f>B70-A149</f>
        <v>2836.82</v>
      </c>
      <c r="E70" s="159">
        <f>D70/12</f>
        <v>236.40166666666667</v>
      </c>
      <c r="F70" s="55"/>
      <c r="G70" s="206" t="s">
        <v>102</v>
      </c>
      <c r="H70" s="57">
        <f>H67*H69</f>
        <v>2836.82</v>
      </c>
      <c r="I70" s="158"/>
      <c r="J70" s="28">
        <f>H70-G151</f>
        <v>2836.82</v>
      </c>
      <c r="K70" s="159"/>
      <c r="L70" s="55"/>
      <c r="M70" s="206" t="s">
        <v>102</v>
      </c>
      <c r="N70" s="57">
        <f>N67*N69</f>
        <v>2836.82</v>
      </c>
      <c r="O70" s="158"/>
      <c r="P70" s="28">
        <f>N70-M151</f>
        <v>2836.82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202.63</v>
      </c>
      <c r="I73" s="158"/>
      <c r="J73" s="28"/>
      <c r="K73" s="159"/>
      <c r="L73" s="55"/>
      <c r="M73" s="206" t="s">
        <v>105</v>
      </c>
      <c r="N73" s="57">
        <f>N67*N72</f>
        <v>202.63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275</v>
      </c>
      <c r="C80" s="158"/>
      <c r="D80" s="158"/>
      <c r="E80" s="274">
        <f>E79+D82</f>
        <v>957.91666666666674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79.8263888888889</v>
      </c>
      <c r="F81" s="55"/>
      <c r="G81" s="216" t="s">
        <v>286</v>
      </c>
      <c r="H81" s="65">
        <f>IF(G18&gt;40000,325,0)</f>
        <v>325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297.91666666666669</v>
      </c>
      <c r="C82" s="158"/>
      <c r="D82" s="28">
        <f>IF(A50="YES",0,B82)</f>
        <v>297.91666666666669</v>
      </c>
      <c r="E82" s="159"/>
      <c r="F82" s="55"/>
      <c r="G82" s="206" t="s">
        <v>287</v>
      </c>
      <c r="H82" s="57">
        <f>((H80+H81)/12)*(H29-11)</f>
        <v>39.583333333333336</v>
      </c>
      <c r="I82" s="158"/>
      <c r="J82" s="28">
        <f>IF(A50="YES",0,H82)</f>
        <v>39.583333333333336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4461.4033333333336</v>
      </c>
      <c r="C87" s="158"/>
      <c r="D87" s="158"/>
      <c r="E87" s="159"/>
      <c r="F87" s="55"/>
      <c r="G87" s="220" t="s">
        <v>114</v>
      </c>
      <c r="H87" s="221">
        <f>SUM(J70:J86)</f>
        <v>5990.4033333333336</v>
      </c>
      <c r="I87" s="158"/>
      <c r="J87" s="158"/>
      <c r="K87" s="159"/>
      <c r="L87" s="55"/>
      <c r="M87" s="220" t="s">
        <v>114</v>
      </c>
      <c r="N87" s="221">
        <f>SUM(P70:P86)</f>
        <v>5950.82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371.78361111111116</v>
      </c>
      <c r="C88" s="158"/>
      <c r="D88" s="158"/>
      <c r="E88" s="159"/>
      <c r="F88" s="55"/>
      <c r="G88" s="157" t="s">
        <v>115</v>
      </c>
      <c r="H88" s="29">
        <f>H87/H29</f>
        <v>499.20027777777779</v>
      </c>
      <c r="I88" s="158"/>
      <c r="J88" s="158"/>
      <c r="K88" s="159"/>
      <c r="L88" s="55"/>
      <c r="M88" s="157" t="s">
        <v>115</v>
      </c>
      <c r="N88" s="29">
        <f>N87/H29</f>
        <v>495.90166666666664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H50</f>
        <v>347.11116666666663</v>
      </c>
      <c r="C89" s="158"/>
      <c r="D89" s="158"/>
      <c r="E89" s="159"/>
      <c r="F89" s="55"/>
      <c r="G89" s="222" t="s">
        <v>116</v>
      </c>
      <c r="H89" s="52">
        <f>H46</f>
        <v>0</v>
      </c>
      <c r="I89" s="158"/>
      <c r="J89" s="158"/>
      <c r="K89" s="159"/>
      <c r="L89" s="55"/>
      <c r="M89" s="222" t="s">
        <v>116</v>
      </c>
      <c r="N89" s="52">
        <f>H46</f>
        <v>0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((B89*H29)+B87)*1.2</f>
        <v>10352.084800000001</v>
      </c>
      <c r="C91" s="158"/>
      <c r="D91" s="158"/>
      <c r="E91" s="159"/>
      <c r="F91" s="55"/>
      <c r="G91" s="209" t="s">
        <v>126</v>
      </c>
      <c r="H91" s="24">
        <f>((H89*H29)+H87)*1.2</f>
        <v>7188.4840000000004</v>
      </c>
      <c r="I91" s="158"/>
      <c r="J91" s="158"/>
      <c r="K91" s="159"/>
      <c r="L91" s="55"/>
      <c r="M91" s="209" t="s">
        <v>126</v>
      </c>
      <c r="N91" s="24">
        <f>((N89*H29)+N87)</f>
        <v>5950.82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73.078452601855616</v>
      </c>
      <c r="C92" s="158"/>
      <c r="D92" s="158"/>
      <c r="E92" s="283"/>
      <c r="F92" s="55"/>
      <c r="G92" s="157" t="s">
        <v>127</v>
      </c>
      <c r="H92" s="29">
        <f>(((H89*H29)+H87)/(1-H76))*H76</f>
        <v>50.745651472367904</v>
      </c>
      <c r="I92" s="158"/>
      <c r="J92" s="158"/>
      <c r="K92" s="159"/>
      <c r="L92" s="55"/>
      <c r="M92" s="157" t="s">
        <v>127</v>
      </c>
      <c r="N92" s="29">
        <f>(N91/(1-N76))*N76</f>
        <v>50.410334812424374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10425.163252601857</v>
      </c>
      <c r="C93" s="158"/>
      <c r="D93" s="158"/>
      <c r="E93" s="159"/>
      <c r="F93" s="55"/>
      <c r="G93" s="206" t="s">
        <v>128</v>
      </c>
      <c r="H93" s="57">
        <f>IF(H116="YES",((H91+H92)-K120),(H91+H92))</f>
        <v>9239.2296514723676</v>
      </c>
      <c r="I93" s="158"/>
      <c r="J93" s="158"/>
      <c r="K93" s="159"/>
      <c r="L93" s="55"/>
      <c r="M93" s="206" t="s">
        <v>128</v>
      </c>
      <c r="N93" s="57">
        <f>IF(N116="YES",((N91+N92)-K120),(N91+N92))</f>
        <v>8001.2303348124242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IF(B105=Z104,(((H41*A32)+(H41*A32)*(B111/100))/(B64)),(((H41*A32)+(H41*A32)*(B111/100))/(B63+B64)))*1.2</f>
        <v>78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868.76360438348809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946.76360438348809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900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385</v>
      </c>
      <c r="B111" s="395">
        <v>30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900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(E124+E123)-E120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868.76360438348809</v>
      </c>
      <c r="B134" s="232">
        <f>IF(A111="YES",B95,0)</f>
        <v>78</v>
      </c>
      <c r="C134" s="236"/>
      <c r="D134" s="232">
        <f>B97</f>
        <v>946.76360438348809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868.76360438348809</v>
      </c>
      <c r="C137" s="158"/>
      <c r="D137" s="34">
        <f>IF(A111="YES",B95*B63,0)</f>
        <v>78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946.76360438348809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868.76360438348809</v>
      </c>
      <c r="B143" s="34">
        <f>IF(A111="YES",B95,0)</f>
        <v>78</v>
      </c>
      <c r="C143" s="158"/>
      <c r="D143" s="34">
        <f>B97</f>
        <v>946.76360438348809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168.85833333333335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168.85833333333335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(G18*0.000006)*1.2*100</f>
        <v>29.178720000000002</v>
      </c>
      <c r="B146" s="251">
        <f>G18*0.000002*1.2*100</f>
        <v>9.7262400000000007</v>
      </c>
      <c r="C146" s="252"/>
      <c r="D146" s="251">
        <f>A146+B146</f>
        <v>38.904960000000003</v>
      </c>
      <c r="E146" s="274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1440</v>
      </c>
      <c r="H148" s="34">
        <f>G108-100</f>
        <v>139.988</v>
      </c>
      <c r="I148" s="34"/>
      <c r="J148" s="34">
        <f>(H145+J145+G148+H148)-H151</f>
        <v>2828.8463333333334</v>
      </c>
      <c r="K148" s="90"/>
      <c r="L148" s="55"/>
      <c r="M148" s="94">
        <f>IF(M111="YES",((A41*N111)*0.1)*(M133),0)</f>
        <v>1440</v>
      </c>
      <c r="N148" s="34">
        <f>M108-100</f>
        <v>99.990000000000009</v>
      </c>
      <c r="O148" s="34"/>
      <c r="P148" s="34">
        <f>(N145+P145+M148+N148)-N151</f>
        <v>2788.8483333333334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900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IF(A111="YES",(A44/100*B111)*B131,0)*0.1</f>
        <v>18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2866.6660000000002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543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946.76360438348809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868.76360438348809</v>
      </c>
      <c r="B177" s="232">
        <f>IF(A111="YES",B95,0)</f>
        <v>78</v>
      </c>
      <c r="C177" s="236"/>
      <c r="D177" s="232">
        <f>A177+B177</f>
        <v>946.76360438348809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868.76360438348809</v>
      </c>
      <c r="C180" s="158"/>
      <c r="D180" s="34">
        <f>IF(A111="YES",B95*B63,0)</f>
        <v>78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946.76360438348809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868.76360438348809</v>
      </c>
      <c r="B186" s="34">
        <f>IF(A111="YES",B95,0)</f>
        <v>78</v>
      </c>
      <c r="C186" s="158"/>
      <c r="D186" s="34">
        <f>B97</f>
        <v>946.76360438348809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(G18*0.000006)*1.2*100</f>
        <v>29.178720000000002</v>
      </c>
      <c r="B189" s="251">
        <f>G18*0.000002*1.2*100</f>
        <v>9.7262400000000007</v>
      </c>
      <c r="C189" s="252"/>
      <c r="D189" s="251">
        <f>A189+B189</f>
        <v>38.904960000000003</v>
      </c>
      <c r="E189" s="274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900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IF(A111="YES",(A44/100*B111)*B131,0)*0.1</f>
        <v>18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543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6.5000000000000002E-2</v>
      </c>
      <c r="C209" s="232" t="s">
        <v>227</v>
      </c>
      <c r="D209" s="261">
        <f>D70</f>
        <v>2836.82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645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3381.82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2836.82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3381.82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180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73.078452601855616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275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6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A50:A51"/>
    <mergeCell ref="B50:C50"/>
    <mergeCell ref="B51:C51"/>
    <mergeCell ref="B52:C52"/>
    <mergeCell ref="A56:A57"/>
    <mergeCell ref="B56:C56"/>
    <mergeCell ref="B57:C57"/>
    <mergeCell ref="G38:H38"/>
    <mergeCell ref="B41:C41"/>
    <mergeCell ref="D41:E41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D41 A111 G111 M111 O113 B116 H116 N116" xr:uid="{00000000-0002-0000-0A00-000000000000}">
      <formula1>$Z$19:$Z$20</formula1>
      <formula2>0</formula2>
    </dataValidation>
    <dataValidation type="list" allowBlank="1" showErrorMessage="1" sqref="H105 N105" xr:uid="{00000000-0002-0000-0A00-000002000000}">
      <formula1>$Y$103:$Y$112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A00-000001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topLeftCell="A145" zoomScale="110" zoomScaleNormal="110" workbookViewId="0">
      <selection activeCell="D158" sqref="D158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40526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25" t="s">
        <v>36</v>
      </c>
      <c r="H26" s="26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30" t="s">
        <v>38</v>
      </c>
      <c r="H27" s="31">
        <v>1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30" t="s">
        <v>40</v>
      </c>
      <c r="H28" s="3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98">
        <f ca="1">TODAY()+1</f>
        <v>45777</v>
      </c>
      <c r="E29" s="398"/>
      <c r="F29" s="55"/>
      <c r="G29" s="25" t="s">
        <v>41</v>
      </c>
      <c r="H29" s="33">
        <f>A32</f>
        <v>12</v>
      </c>
      <c r="I29" s="55" t="b">
        <f>ISNUMBER(I31)</f>
        <v>0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25" t="s">
        <v>45</v>
      </c>
      <c r="H30" s="33">
        <f>B32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52</v>
      </c>
      <c r="B31" s="163" t="s">
        <v>53</v>
      </c>
      <c r="C31" s="158"/>
      <c r="D31" s="163" t="s">
        <v>54</v>
      </c>
      <c r="E31" s="159"/>
      <c r="F31" s="55"/>
      <c r="G31" s="25" t="s">
        <v>48</v>
      </c>
      <c r="H31" s="37" t="str">
        <f>A41</f>
        <v>6000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89">
        <v>12</v>
      </c>
      <c r="B32" s="378">
        <v>5000</v>
      </c>
      <c r="C32" s="378"/>
      <c r="D32" s="346">
        <f>(A32/12)*B32</f>
        <v>5000</v>
      </c>
      <c r="E32" s="346"/>
      <c r="F32" s="55"/>
      <c r="G32" s="25" t="s">
        <v>49</v>
      </c>
      <c r="H32" s="37">
        <f>A44*A32</f>
        <v>600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30"/>
      <c r="H33" s="43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351</v>
      </c>
      <c r="B34" s="172" t="s">
        <v>61</v>
      </c>
      <c r="C34" s="171" t="s">
        <v>10</v>
      </c>
      <c r="D34" s="173" t="s">
        <v>62</v>
      </c>
      <c r="E34" s="159"/>
      <c r="F34" s="55"/>
      <c r="G34" s="5"/>
      <c r="H34" s="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93">
        <f>E19</f>
        <v>17199.995999999999</v>
      </c>
      <c r="B35" s="378" t="s">
        <v>398</v>
      </c>
      <c r="C35" s="378"/>
      <c r="D35" s="394">
        <f>A35-B35</f>
        <v>16199.995999999999</v>
      </c>
      <c r="E35" s="394"/>
      <c r="F35" s="55"/>
      <c r="G35" s="45" t="s">
        <v>59</v>
      </c>
      <c r="H35" s="275">
        <v>6.5000000000000002E-2</v>
      </c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" t="s">
        <v>63</v>
      </c>
      <c r="H36" s="5">
        <f>B38</f>
        <v>11</v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66</v>
      </c>
      <c r="B37" s="163" t="s">
        <v>67</v>
      </c>
      <c r="C37" s="158" t="s">
        <v>10</v>
      </c>
      <c r="D37" s="163" t="s">
        <v>68</v>
      </c>
      <c r="E37" s="159"/>
      <c r="F37" s="55"/>
      <c r="G37" s="5"/>
      <c r="H37" s="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65" t="s">
        <v>393</v>
      </c>
      <c r="B38" s="383">
        <f>A32-1</f>
        <v>11</v>
      </c>
      <c r="C38" s="383"/>
      <c r="D38" s="346" t="s">
        <v>390</v>
      </c>
      <c r="E38" s="346"/>
      <c r="F38" s="55"/>
      <c r="G38" s="337" t="s">
        <v>65</v>
      </c>
      <c r="H38" s="337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" t="s">
        <v>69</v>
      </c>
      <c r="H39" s="5" t="str">
        <f>D38</f>
        <v>500</v>
      </c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76</v>
      </c>
      <c r="B40" s="178" t="s">
        <v>74</v>
      </c>
      <c r="C40" s="171"/>
      <c r="D40" s="137" t="s">
        <v>75</v>
      </c>
      <c r="E40" s="159"/>
      <c r="F40" s="55" t="s">
        <v>10</v>
      </c>
      <c r="G40" s="5" t="s">
        <v>71</v>
      </c>
      <c r="H40" s="5">
        <f>C15</f>
        <v>2866.6660000000002</v>
      </c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392</v>
      </c>
      <c r="B41" s="346" t="s">
        <v>401</v>
      </c>
      <c r="C41" s="346"/>
      <c r="D41" s="378" t="s">
        <v>31</v>
      </c>
      <c r="E41" s="378"/>
      <c r="F41" s="55"/>
      <c r="G41" s="5" t="s">
        <v>72</v>
      </c>
      <c r="H41" s="5" t="str">
        <f>IF(D41="Yes",A44,0)</f>
        <v>50</v>
      </c>
      <c r="I41" s="5" t="s">
        <v>10</v>
      </c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5" t="s">
        <v>76</v>
      </c>
      <c r="H42" s="5" t="str">
        <f>A41</f>
        <v>6000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63" t="s">
        <v>129</v>
      </c>
      <c r="B43" s="178" t="s">
        <v>80</v>
      </c>
      <c r="C43" s="171" t="s">
        <v>10</v>
      </c>
      <c r="D43" s="178" t="s">
        <v>221</v>
      </c>
      <c r="E43" s="181"/>
      <c r="F43" s="55"/>
      <c r="G43" s="5" t="s">
        <v>77</v>
      </c>
      <c r="H43" s="5">
        <f>A32</f>
        <v>12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388</v>
      </c>
      <c r="B44" s="346" t="s">
        <v>394</v>
      </c>
      <c r="C44" s="346"/>
      <c r="D44" s="346" t="s">
        <v>394</v>
      </c>
      <c r="E44" s="346"/>
      <c r="F44" s="55"/>
      <c r="G44" s="5" t="s">
        <v>78</v>
      </c>
      <c r="H44" s="5">
        <f>((H40-(((H42/(1.2))*0.2)))/(H43))</f>
        <v>155.55550000000002</v>
      </c>
      <c r="I44" s="276">
        <f>((A41*(B35-1))+D32)/B35</f>
        <v>5999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" t="s">
        <v>82</v>
      </c>
      <c r="H45" s="5">
        <f>(H39-H44)+H41</f>
        <v>394.44449999999995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341</v>
      </c>
      <c r="B46" s="171" t="s">
        <v>342</v>
      </c>
      <c r="C46" s="171" t="s">
        <v>10</v>
      </c>
      <c r="D46" s="171"/>
      <c r="E46" s="181"/>
      <c r="F46" s="55">
        <v>0</v>
      </c>
      <c r="G46" s="5" t="s">
        <v>83</v>
      </c>
      <c r="H46" s="5">
        <v>0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93" t="s">
        <v>341</v>
      </c>
      <c r="B47" s="171"/>
      <c r="C47" s="171"/>
      <c r="D47" s="171"/>
      <c r="E47" s="181"/>
      <c r="F47" s="55"/>
      <c r="G47" s="5" t="s">
        <v>84</v>
      </c>
      <c r="H47" s="5">
        <f>A38/H29</f>
        <v>1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48" t="s">
        <v>86</v>
      </c>
      <c r="H48" s="5">
        <f>B41/H29</f>
        <v>1.6666666666666667</v>
      </c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48" t="s">
        <v>87</v>
      </c>
      <c r="H49" s="5">
        <f>H45+H48+H47</f>
        <v>397.11116666666663</v>
      </c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93"/>
      <c r="B50" s="171"/>
      <c r="C50" s="171"/>
      <c r="D50" s="171"/>
      <c r="E50" s="181"/>
      <c r="F50" s="55"/>
      <c r="G50" s="5" t="s">
        <v>343</v>
      </c>
      <c r="H50" s="5">
        <f>H49-H41</f>
        <v>347.11116666666663</v>
      </c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/>
      <c r="B52" s="343"/>
      <c r="C52" s="343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H49</f>
        <v>397.11116666666663</v>
      </c>
      <c r="C58" s="343"/>
      <c r="D58" s="184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 t="s">
        <v>10</v>
      </c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17199.995999999999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40526</v>
      </c>
      <c r="C67" s="158"/>
      <c r="D67" s="158"/>
      <c r="E67" s="159"/>
      <c r="F67" s="55"/>
      <c r="G67" s="157" t="s">
        <v>27</v>
      </c>
      <c r="H67" s="28">
        <f>G18</f>
        <v>40526</v>
      </c>
      <c r="I67" s="158"/>
      <c r="J67" s="158"/>
      <c r="K67" s="159"/>
      <c r="L67" s="55"/>
      <c r="M67" s="157" t="s">
        <v>27</v>
      </c>
      <c r="N67" s="28">
        <f>G18</f>
        <v>40526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B66*B69</f>
        <v>1203.99972</v>
      </c>
      <c r="C70" s="158">
        <v>10000</v>
      </c>
      <c r="D70" s="28">
        <f>B70-A149</f>
        <v>1203.99972</v>
      </c>
      <c r="E70" s="159">
        <f>D70/12</f>
        <v>100.33331</v>
      </c>
      <c r="F70" s="55"/>
      <c r="G70" s="206" t="s">
        <v>102</v>
      </c>
      <c r="H70" s="57">
        <f>H67*H69</f>
        <v>2836.82</v>
      </c>
      <c r="I70" s="158"/>
      <c r="J70" s="28">
        <f>H70-G151</f>
        <v>2836.82</v>
      </c>
      <c r="K70" s="159"/>
      <c r="L70" s="55"/>
      <c r="M70" s="206" t="s">
        <v>102</v>
      </c>
      <c r="N70" s="57">
        <f>N67*N69</f>
        <v>2836.82</v>
      </c>
      <c r="O70" s="158"/>
      <c r="P70" s="28">
        <f>N70-M151</f>
        <v>2836.82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202.63</v>
      </c>
      <c r="I73" s="158"/>
      <c r="J73" s="28"/>
      <c r="K73" s="159"/>
      <c r="L73" s="55"/>
      <c r="M73" s="206" t="s">
        <v>105</v>
      </c>
      <c r="N73" s="57">
        <f>N67*N72</f>
        <v>202.63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275</v>
      </c>
      <c r="C80" s="158"/>
      <c r="D80" s="158"/>
      <c r="E80" s="274">
        <f>E79+D82</f>
        <v>957.91666666666674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79.8263888888889</v>
      </c>
      <c r="F81" s="55"/>
      <c r="G81" s="216" t="s">
        <v>286</v>
      </c>
      <c r="H81" s="65">
        <f>IF(G18&gt;40000,325,0)</f>
        <v>325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297.91666666666669</v>
      </c>
      <c r="C82" s="158"/>
      <c r="D82" s="28">
        <f>IF(A50="YES",0,B82)</f>
        <v>297.91666666666669</v>
      </c>
      <c r="E82" s="159"/>
      <c r="F82" s="55"/>
      <c r="G82" s="206" t="s">
        <v>287</v>
      </c>
      <c r="H82" s="57">
        <f>((H80+H81)/12)*(H29-11)</f>
        <v>39.583333333333336</v>
      </c>
      <c r="I82" s="158"/>
      <c r="J82" s="28">
        <f>IF(A50="YES",0,H82)</f>
        <v>39.583333333333336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2828.5830533333333</v>
      </c>
      <c r="C87" s="158"/>
      <c r="D87" s="158"/>
      <c r="E87" s="159"/>
      <c r="F87" s="55"/>
      <c r="G87" s="220" t="s">
        <v>114</v>
      </c>
      <c r="H87" s="221">
        <f>SUM(J70:J86)</f>
        <v>5990.4033333333336</v>
      </c>
      <c r="I87" s="158"/>
      <c r="J87" s="158"/>
      <c r="K87" s="159"/>
      <c r="L87" s="55"/>
      <c r="M87" s="220" t="s">
        <v>114</v>
      </c>
      <c r="N87" s="221">
        <f>SUM(P70:P86)</f>
        <v>5950.82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235.71525444444444</v>
      </c>
      <c r="C88" s="158"/>
      <c r="D88" s="158"/>
      <c r="E88" s="159"/>
      <c r="F88" s="55"/>
      <c r="G88" s="157" t="s">
        <v>115</v>
      </c>
      <c r="H88" s="29">
        <f>H87/H29</f>
        <v>499.20027777777779</v>
      </c>
      <c r="I88" s="158"/>
      <c r="J88" s="158"/>
      <c r="K88" s="159"/>
      <c r="L88" s="55"/>
      <c r="M88" s="157" t="s">
        <v>115</v>
      </c>
      <c r="N88" s="29">
        <f>N87/H29</f>
        <v>495.90166666666664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H50</f>
        <v>347.11116666666663</v>
      </c>
      <c r="C89" s="158"/>
      <c r="D89" s="158"/>
      <c r="E89" s="159"/>
      <c r="F89" s="55"/>
      <c r="G89" s="222" t="s">
        <v>116</v>
      </c>
      <c r="H89" s="52">
        <f>H46</f>
        <v>0</v>
      </c>
      <c r="I89" s="158"/>
      <c r="J89" s="158"/>
      <c r="K89" s="159"/>
      <c r="L89" s="55"/>
      <c r="M89" s="222" t="s">
        <v>116</v>
      </c>
      <c r="N89" s="52">
        <f>H46</f>
        <v>0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6993.9170533333327</v>
      </c>
      <c r="C91" s="158"/>
      <c r="D91" s="158"/>
      <c r="E91" s="159"/>
      <c r="F91" s="55"/>
      <c r="G91" s="209" t="s">
        <v>126</v>
      </c>
      <c r="H91" s="24">
        <f>((H89*H29)+H87)*1.2</f>
        <v>7188.4840000000004</v>
      </c>
      <c r="I91" s="158"/>
      <c r="J91" s="158"/>
      <c r="K91" s="159"/>
      <c r="L91" s="55"/>
      <c r="M91" s="209" t="s">
        <v>126</v>
      </c>
      <c r="N91" s="24">
        <f>((N89*H29)+N87)</f>
        <v>5950.82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59.246574473578058</v>
      </c>
      <c r="C92" s="158"/>
      <c r="D92" s="158"/>
      <c r="E92" s="283"/>
      <c r="F92" s="55"/>
      <c r="G92" s="157" t="s">
        <v>127</v>
      </c>
      <c r="H92" s="29">
        <f>(((H89*H29)+H87)/(1-H76))*H76</f>
        <v>50.745651472367904</v>
      </c>
      <c r="I92" s="158"/>
      <c r="J92" s="158"/>
      <c r="K92" s="159"/>
      <c r="L92" s="55"/>
      <c r="M92" s="157" t="s">
        <v>127</v>
      </c>
      <c r="N92" s="29">
        <f>(N91/(1-N76))*N76</f>
        <v>50.410334812424374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7053.1636278069109</v>
      </c>
      <c r="C93" s="158"/>
      <c r="D93" s="158"/>
      <c r="E93" s="159"/>
      <c r="F93" s="55"/>
      <c r="G93" s="206" t="s">
        <v>128</v>
      </c>
      <c r="H93" s="57">
        <f>IF(H116="YES",((H91+H92)-K120),(H91+H92))</f>
        <v>9239.2296514723676</v>
      </c>
      <c r="I93" s="158"/>
      <c r="J93" s="158"/>
      <c r="K93" s="159"/>
      <c r="L93" s="55"/>
      <c r="M93" s="206" t="s">
        <v>128</v>
      </c>
      <c r="N93" s="57">
        <f>IF(N116="YES",((N91+N92)-K120),(N91+N92))</f>
        <v>8001.2303348124242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IF(B105=Z104,(((H41*A32)+(H41*A32)*(B111/100))/(B64)),(((H41*A32)+(H41*A32)*(B111/100))/(B63+B64)))</f>
        <v>60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587.76363565057591</v>
      </c>
      <c r="C96" s="158" t="s">
        <v>10</v>
      </c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647.76363565057591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750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385</v>
      </c>
      <c r="B111" s="395">
        <v>20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750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587.76363565057591</v>
      </c>
      <c r="B134" s="232">
        <f>IF(A111="YES",B95,0)</f>
        <v>60</v>
      </c>
      <c r="C134" s="237"/>
      <c r="D134" s="232">
        <f>B97</f>
        <v>647.76363565057591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587.76363565057591</v>
      </c>
      <c r="C137" s="158"/>
      <c r="D137" s="34">
        <f>IF(A111="YES",B95*B63,0)</f>
        <v>60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647.76363565057591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587.76363565057591</v>
      </c>
      <c r="B143" s="34">
        <f>IF(A111="YES",B95,0)</f>
        <v>60</v>
      </c>
      <c r="C143" s="158"/>
      <c r="D143" s="34">
        <f>B97</f>
        <v>647.76363565057591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168.85833333333335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168.85833333333335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24.3156</v>
      </c>
      <c r="B146" s="251">
        <f>G18*0.000002*100</f>
        <v>8.1052</v>
      </c>
      <c r="C146" s="252"/>
      <c r="D146" s="251">
        <f>A146+B146</f>
        <v>32.4208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1440</v>
      </c>
      <c r="H148" s="34">
        <f>G108-100</f>
        <v>139.988</v>
      </c>
      <c r="I148" s="34"/>
      <c r="J148" s="34">
        <f>(H145+J145+G148+H148)-H151</f>
        <v>2828.8463333333334</v>
      </c>
      <c r="K148" s="90"/>
      <c r="L148" s="55"/>
      <c r="M148" s="94">
        <f>IF(M111="YES",((A41*N111)*0.1)*(M133),0)</f>
        <v>1440</v>
      </c>
      <c r="N148" s="34">
        <f>M108-100</f>
        <v>99.990000000000009</v>
      </c>
      <c r="O148" s="34"/>
      <c r="P148" s="34">
        <f>(N145+P145+M148+N148)-N151</f>
        <v>2788.8483333333334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750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IF(A111="YES",(A44/100*B111)*B131,0)*0.1</f>
        <v>12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2866.6660000000002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537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647.76363565057591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 t="b">
        <f>ISNUMBER(B183)</f>
        <v>1</v>
      </c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587.76363565057591</v>
      </c>
      <c r="B177" s="232">
        <f>IF(A111="YES",B95,0)</f>
        <v>60</v>
      </c>
      <c r="C177" s="237"/>
      <c r="D177" s="232">
        <f>B91</f>
        <v>6993.9170533333327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587.76363565057591</v>
      </c>
      <c r="C180" s="158"/>
      <c r="D180" s="34">
        <f>IF(A111="YES",B95*B63,0)</f>
        <v>60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647.76363565057591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587.76363565057591</v>
      </c>
      <c r="B186" s="34">
        <f>IF(A111="YES",B95,0)</f>
        <v>60</v>
      </c>
      <c r="C186" s="158"/>
      <c r="D186" s="34">
        <f>B97</f>
        <v>647.76363565057591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24.3156</v>
      </c>
      <c r="B189" s="251">
        <f>G18*0.000002*100</f>
        <v>8.1052</v>
      </c>
      <c r="C189" s="252"/>
      <c r="D189" s="251">
        <f>A189+B189</f>
        <v>32.4208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750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IF(A111="YES",(A44/100*B111)*B131,0)*0.1</f>
        <v>12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537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6.5000000000000002E-2</v>
      </c>
      <c r="C209" s="232" t="s">
        <v>227</v>
      </c>
      <c r="D209" s="261">
        <f>D70</f>
        <v>1203.99972</v>
      </c>
      <c r="E209" s="233"/>
      <c r="F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585</v>
      </c>
      <c r="E211" s="233"/>
      <c r="F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1688.99972</v>
      </c>
      <c r="C213" s="236"/>
      <c r="D213" s="232"/>
      <c r="E213" s="233"/>
      <c r="F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1203.99972</v>
      </c>
      <c r="C217" s="178" t="s">
        <v>233</v>
      </c>
      <c r="D217" s="158"/>
      <c r="E217" s="214">
        <f>B72</f>
        <v>0</v>
      </c>
      <c r="F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1688.99972</v>
      </c>
      <c r="F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120</v>
      </c>
      <c r="C225" s="34"/>
      <c r="D225" s="249"/>
      <c r="E225" s="127"/>
      <c r="F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59.246574473578058</v>
      </c>
      <c r="F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275</v>
      </c>
      <c r="F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157"/>
      <c r="B243" s="158"/>
      <c r="C243" s="158"/>
      <c r="D243" s="158"/>
      <c r="E243" s="159"/>
      <c r="F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94"/>
      <c r="B244" s="34"/>
      <c r="C244" s="34"/>
      <c r="D244" s="34"/>
      <c r="E244" s="90"/>
      <c r="F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157"/>
      <c r="B245" s="158"/>
      <c r="C245" s="158"/>
      <c r="D245" s="158"/>
      <c r="E245" s="159"/>
      <c r="F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157"/>
      <c r="B246" s="158"/>
      <c r="C246" s="158"/>
      <c r="D246" s="158"/>
      <c r="E246" s="159"/>
      <c r="F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94"/>
      <c r="B247" s="34"/>
      <c r="C247" s="158"/>
      <c r="D247" s="158"/>
      <c r="E247" s="159"/>
      <c r="F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206"/>
      <c r="B248" s="207"/>
      <c r="C248" s="207"/>
      <c r="D248" s="207"/>
      <c r="E248" s="208"/>
      <c r="F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3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A100:E100"/>
    <mergeCell ref="G100:K100"/>
    <mergeCell ref="M100:Q100"/>
    <mergeCell ref="A102:E102"/>
    <mergeCell ref="G102:K102"/>
    <mergeCell ref="M102:Q102"/>
    <mergeCell ref="B52:C52"/>
    <mergeCell ref="A56:A57"/>
    <mergeCell ref="B56:C56"/>
    <mergeCell ref="B57:C57"/>
    <mergeCell ref="B58:C58"/>
    <mergeCell ref="G38:H38"/>
    <mergeCell ref="B41:C41"/>
    <mergeCell ref="D41:E41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D41 A111 G111 M111 O113 B116 H116 N116" xr:uid="{00000000-0002-0000-0B00-000000000000}">
      <formula1>$Z$19:$Z$20</formula1>
      <formula2>0</formula2>
    </dataValidation>
    <dataValidation type="list" allowBlank="1" showErrorMessage="1" sqref="H105 N105" xr:uid="{00000000-0002-0000-0B00-000002000000}">
      <formula1>$Y$103:$Y$112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B00-000001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topLeftCell="A175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40526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 t="str">
        <f>A41</f>
        <v>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 t="str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387</v>
      </c>
      <c r="B41" s="383" t="str">
        <f>IF(B38="YES",D38+A41,D38)</f>
        <v>500</v>
      </c>
      <c r="C41" s="383"/>
      <c r="D41" s="346" t="s">
        <v>392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46" t="s">
        <v>394</v>
      </c>
      <c r="C44" s="346"/>
      <c r="D44" s="346" t="s">
        <v>387</v>
      </c>
      <c r="E44" s="346"/>
      <c r="F44" s="55"/>
      <c r="G44" s="55" t="s">
        <v>264</v>
      </c>
      <c r="H44" s="5" t="str">
        <f>H32</f>
        <v>0</v>
      </c>
      <c r="I44" s="276">
        <f>((A41*(B35-1))+D32)/B35</f>
        <v>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401" t="s">
        <v>396</v>
      </c>
      <c r="C47" s="401"/>
      <c r="D47" s="346" t="s">
        <v>396</v>
      </c>
      <c r="E47" s="346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501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 t="s">
        <v>342</v>
      </c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9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3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B65" s="158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17199.995999999999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40526</v>
      </c>
      <c r="C67" s="158"/>
      <c r="D67" s="158"/>
      <c r="E67" s="159"/>
      <c r="F67" s="55"/>
      <c r="G67" s="157" t="s">
        <v>27</v>
      </c>
      <c r="H67" s="28">
        <f>G18</f>
        <v>40526</v>
      </c>
      <c r="I67" s="158"/>
      <c r="J67" s="158"/>
      <c r="K67" s="159"/>
      <c r="L67" s="55"/>
      <c r="M67" s="157" t="s">
        <v>27</v>
      </c>
      <c r="N67" s="28">
        <f>G18</f>
        <v>40526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B66*B69</f>
        <v>1203.99972</v>
      </c>
      <c r="C70" s="158">
        <v>10000</v>
      </c>
      <c r="D70" s="28">
        <f>B70-A149</f>
        <v>1203.99972</v>
      </c>
      <c r="E70" s="159">
        <f>D70/12</f>
        <v>100.33331</v>
      </c>
      <c r="F70" s="55"/>
      <c r="G70" s="206" t="s">
        <v>102</v>
      </c>
      <c r="H70" s="57">
        <f>H67*H69</f>
        <v>2836.82</v>
      </c>
      <c r="I70" s="158"/>
      <c r="J70" s="28">
        <f>H70-G151</f>
        <v>2836.82</v>
      </c>
      <c r="K70" s="159"/>
      <c r="L70" s="55"/>
      <c r="M70" s="206" t="s">
        <v>102</v>
      </c>
      <c r="N70" s="57">
        <f>N67*N69</f>
        <v>2836.82</v>
      </c>
      <c r="O70" s="158"/>
      <c r="P70" s="28">
        <f>N70-M151</f>
        <v>2836.82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202.63</v>
      </c>
      <c r="I73" s="158"/>
      <c r="J73" s="28"/>
      <c r="K73" s="159"/>
      <c r="L73" s="55"/>
      <c r="M73" s="206" t="s">
        <v>105</v>
      </c>
      <c r="N73" s="57">
        <f>N67*N72</f>
        <v>202.63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77" t="s">
        <v>285</v>
      </c>
      <c r="B80" s="278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79" t="s">
        <v>286</v>
      </c>
      <c r="B81" s="280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325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39.583333333333336</v>
      </c>
      <c r="I82" s="158"/>
      <c r="J82" s="28">
        <f>IF(A50="YES",0,H82)</f>
        <v>39.583333333333336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2530.6663866666668</v>
      </c>
      <c r="C87" s="158"/>
      <c r="D87" s="158"/>
      <c r="E87" s="159"/>
      <c r="F87" s="55"/>
      <c r="G87" s="220" t="s">
        <v>114</v>
      </c>
      <c r="H87" s="221">
        <f>SUM(J70:J86)</f>
        <v>5990.4033333333336</v>
      </c>
      <c r="I87" s="158"/>
      <c r="J87" s="158"/>
      <c r="K87" s="159"/>
      <c r="L87" s="55"/>
      <c r="M87" s="220" t="s">
        <v>114</v>
      </c>
      <c r="N87" s="221">
        <f>SUM(P70:P86)</f>
        <v>5950.82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210.88886555555555</v>
      </c>
      <c r="C88" s="158"/>
      <c r="D88" s="158"/>
      <c r="E88" s="159"/>
      <c r="F88" s="55"/>
      <c r="G88" s="157" t="s">
        <v>115</v>
      </c>
      <c r="H88" s="29">
        <f>H87/H29</f>
        <v>499.20027777777779</v>
      </c>
      <c r="I88" s="158"/>
      <c r="J88" s="158"/>
      <c r="K88" s="159"/>
      <c r="L88" s="55"/>
      <c r="M88" s="157" t="s">
        <v>115</v>
      </c>
      <c r="N88" s="29">
        <f>N87/H29</f>
        <v>495.90166666666664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8542.6663866666677</v>
      </c>
      <c r="C91" s="158"/>
      <c r="D91" s="158"/>
      <c r="E91" s="159"/>
      <c r="F91" s="55"/>
      <c r="G91" s="209" t="s">
        <v>126</v>
      </c>
      <c r="H91" s="24">
        <f>((H89*H29)+H87)*1.2</f>
        <v>14402.884</v>
      </c>
      <c r="I91" s="158"/>
      <c r="J91" s="158"/>
      <c r="K91" s="159"/>
      <c r="L91" s="55"/>
      <c r="M91" s="209" t="s">
        <v>126</v>
      </c>
      <c r="N91" s="24">
        <f>((N89*H29)+N87)</f>
        <v>11962.82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72.366274352561533</v>
      </c>
      <c r="C92" s="158"/>
      <c r="D92" s="158"/>
      <c r="E92" s="283"/>
      <c r="F92" s="55"/>
      <c r="G92" s="157" t="s">
        <v>127</v>
      </c>
      <c r="H92" s="29">
        <f>(((H89*H29)+H87)/(1-H76))*H76</f>
        <v>101.67425171440098</v>
      </c>
      <c r="I92" s="158"/>
      <c r="J92" s="158"/>
      <c r="K92" s="159"/>
      <c r="L92" s="55"/>
      <c r="M92" s="157" t="s">
        <v>127</v>
      </c>
      <c r="N92" s="29">
        <f>(N91/(1-N76))*N76</f>
        <v>101.33893505445745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8615.0326610192296</v>
      </c>
      <c r="C93" s="158"/>
      <c r="D93" s="158"/>
      <c r="E93" s="159"/>
      <c r="F93" s="55"/>
      <c r="G93" s="206" t="s">
        <v>128</v>
      </c>
      <c r="H93" s="57">
        <f>IF(H116="YES",((H91+H92)-K120),(H91+H92))</f>
        <v>16504.558251714399</v>
      </c>
      <c r="I93" s="158"/>
      <c r="J93" s="158"/>
      <c r="K93" s="159"/>
      <c r="L93" s="55"/>
      <c r="M93" s="206" t="s">
        <v>128</v>
      </c>
      <c r="N93" s="57">
        <f>IF(N116="YES",((N91+N92)-K120),(N91+N92))</f>
        <v>14064.158935054456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</f>
        <v>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717.91938841826914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717.91938841826914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352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353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750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6">
        <v>0</v>
      </c>
      <c r="C111" s="396"/>
      <c r="D111" s="348" t="s">
        <v>404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750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3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3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717.91938841826914</v>
      </c>
      <c r="B134" s="232">
        <f>IF(A111="YES",B95,0)</f>
        <v>0</v>
      </c>
      <c r="C134" s="237"/>
      <c r="D134" s="232">
        <f>B97</f>
        <v>717.91938841826914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Terminal pause with 9 down </v>
      </c>
      <c r="B137" s="34">
        <f>B96*B63</f>
        <v>6461.2744957644227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6461.2744957644227</v>
      </c>
      <c r="B140" s="34">
        <f>E120</f>
        <v>0</v>
      </c>
      <c r="C140" s="158"/>
      <c r="D140" s="245">
        <f>B64</f>
        <v>3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717.91938841826914</v>
      </c>
      <c r="B143" s="34">
        <f>IF(A111="YES",B95,0)</f>
        <v>0</v>
      </c>
      <c r="C143" s="158"/>
      <c r="D143" s="34">
        <f>B97</f>
        <v>717.91938841826914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168.85833333333335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168.85833333333335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24.3156</v>
      </c>
      <c r="B146" s="251">
        <f>G18*0.000002*100</f>
        <v>8.1052</v>
      </c>
      <c r="C146" s="252"/>
      <c r="D146" s="251">
        <f>A146+B146</f>
        <v>32.4208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0</v>
      </c>
      <c r="H148" s="34">
        <f>G108-100</f>
        <v>139.988</v>
      </c>
      <c r="I148" s="34"/>
      <c r="J148" s="34">
        <f>(H145+J145+G148+H148)-H151</f>
        <v>1388.8463333333334</v>
      </c>
      <c r="K148" s="90"/>
      <c r="L148" s="55"/>
      <c r="M148" s="94">
        <f>IF(M111="YES",((A41*N111)*0.1)*(M133),0)</f>
        <v>0</v>
      </c>
      <c r="N148" s="34">
        <f>M108-100</f>
        <v>99.990000000000009</v>
      </c>
      <c r="O148" s="34"/>
      <c r="P148" s="34">
        <f>(N145+P145+M148+N148)-N151</f>
        <v>1348.8483333333334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750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717.91938841826914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717.91938841826914</v>
      </c>
      <c r="B177" s="232">
        <f>IF(A111="YES",B95,0)</f>
        <v>0</v>
      </c>
      <c r="C177" s="237"/>
      <c r="D177" s="232">
        <f>B91</f>
        <v>8542.6663866666677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Terminal pause with 9 down </v>
      </c>
      <c r="B180" s="34">
        <f>B96*B63</f>
        <v>6461.2744957644227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6461.2744957644227</v>
      </c>
      <c r="B183" s="34">
        <f>E120</f>
        <v>0</v>
      </c>
      <c r="C183" s="158"/>
      <c r="D183" s="245">
        <f>B64</f>
        <v>3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717.91938841826914</v>
      </c>
      <c r="B186" s="34">
        <f>IF(A111="YES",B95,0)</f>
        <v>0</v>
      </c>
      <c r="C186" s="158"/>
      <c r="D186" s="34">
        <f>B97</f>
        <v>717.91938841826914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24.3156</v>
      </c>
      <c r="B189" s="251">
        <f>G18*0.000002*100</f>
        <v>8.1052</v>
      </c>
      <c r="C189" s="252"/>
      <c r="D189" s="251">
        <f>A189+B189</f>
        <v>32.4208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750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E124-100</f>
        <v>650</v>
      </c>
      <c r="B200" s="34">
        <f>(A154+B154+D154+A157)*(A149/B70)</f>
        <v>0</v>
      </c>
      <c r="C200" s="34"/>
      <c r="D200" s="34">
        <f>D157</f>
        <v>525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1203.99972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890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1993.99972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1203.99972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650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1993.99972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72.366274352561533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B47:C47"/>
    <mergeCell ref="D47:E47"/>
    <mergeCell ref="A56:A57"/>
    <mergeCell ref="B56:C56"/>
    <mergeCell ref="B57:C57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B38 A111 G111 M111 O113 B116 H116 N116" xr:uid="{00000000-0002-0000-0C00-000001000000}">
      <formula1>$Z$19:$Z$20</formula1>
      <formula2>0</formula2>
    </dataValidation>
    <dataValidation type="list" allowBlank="1" showErrorMessage="1" sqref="H105 N105" xr:uid="{00000000-0002-0000-0C00-000003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C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0C00-000002000000}">
          <x14:formula1>
            <xm:f>'FL (Formula 3) - BCH, PCH, FL'!$Z$103:$Z$111</xm:f>
          </x14:formula1>
          <x14:formula2>
            <xm:f>0</xm:f>
          </x14:formula2>
          <xm:sqref>B65 B105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topLeftCell="A175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40526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50</v>
      </c>
      <c r="E32" s="381"/>
      <c r="F32" s="55"/>
      <c r="G32" s="168" t="s">
        <v>253</v>
      </c>
      <c r="H32" s="166" t="str">
        <f>A41</f>
        <v>50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 t="str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550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388</v>
      </c>
      <c r="B41" s="383">
        <f>IF(B38="YES",D38+A41,D38)</f>
        <v>550</v>
      </c>
      <c r="C41" s="383"/>
      <c r="D41" s="346" t="s">
        <v>392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46" t="s">
        <v>394</v>
      </c>
      <c r="C44" s="346"/>
      <c r="D44" s="346" t="s">
        <v>396</v>
      </c>
      <c r="E44" s="346"/>
      <c r="F44" s="55"/>
      <c r="G44" s="55" t="s">
        <v>264</v>
      </c>
      <c r="H44" s="5" t="str">
        <f>H32</f>
        <v>50</v>
      </c>
      <c r="I44" s="276">
        <f>((A41*(B35-1))+D32)/B35</f>
        <v>50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551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401" t="s">
        <v>396</v>
      </c>
      <c r="C47" s="401"/>
      <c r="D47" s="346" t="s">
        <v>396</v>
      </c>
      <c r="E47" s="346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551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 t="s">
        <v>10</v>
      </c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B65" s="158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17199.995999999999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40526</v>
      </c>
      <c r="C67" s="158"/>
      <c r="D67" s="158"/>
      <c r="E67" s="159"/>
      <c r="F67" s="55"/>
      <c r="G67" s="157" t="s">
        <v>27</v>
      </c>
      <c r="H67" s="28">
        <f>G18</f>
        <v>40526</v>
      </c>
      <c r="I67" s="158"/>
      <c r="J67" s="158"/>
      <c r="K67" s="159"/>
      <c r="L67" s="55"/>
      <c r="M67" s="157" t="s">
        <v>27</v>
      </c>
      <c r="N67" s="28">
        <f>G18</f>
        <v>40526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B66*B69</f>
        <v>1203.99972</v>
      </c>
      <c r="C70" s="158">
        <v>10000</v>
      </c>
      <c r="D70" s="28">
        <f>B70-A149</f>
        <v>1203.99972</v>
      </c>
      <c r="E70" s="159">
        <f>D70/12</f>
        <v>100.33331</v>
      </c>
      <c r="F70" s="55"/>
      <c r="G70" s="206" t="s">
        <v>102</v>
      </c>
      <c r="H70" s="57">
        <f>H67*H69</f>
        <v>2836.82</v>
      </c>
      <c r="I70" s="158"/>
      <c r="J70" s="28">
        <f>H70-G151</f>
        <v>2836.82</v>
      </c>
      <c r="K70" s="159"/>
      <c r="L70" s="55"/>
      <c r="M70" s="206" t="s">
        <v>102</v>
      </c>
      <c r="N70" s="57">
        <f>N67*N69</f>
        <v>2836.82</v>
      </c>
      <c r="O70" s="158"/>
      <c r="P70" s="28">
        <f>N70-M151</f>
        <v>2836.82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202.63</v>
      </c>
      <c r="I73" s="158"/>
      <c r="J73" s="28"/>
      <c r="K73" s="159"/>
      <c r="L73" s="55"/>
      <c r="M73" s="206" t="s">
        <v>105</v>
      </c>
      <c r="N73" s="57">
        <f>N67*N72</f>
        <v>202.63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275</v>
      </c>
      <c r="C80" s="158"/>
      <c r="D80" s="158"/>
      <c r="E80" s="274">
        <f>E79+D82</f>
        <v>957.91666666666674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79.8263888888889</v>
      </c>
      <c r="F81" s="55"/>
      <c r="G81" s="216" t="s">
        <v>286</v>
      </c>
      <c r="H81" s="65">
        <f>IF(G18&gt;40000,325,0)</f>
        <v>325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297.91666666666669</v>
      </c>
      <c r="C82" s="158"/>
      <c r="D82" s="28">
        <f>IF(A50="YES",0,B82)</f>
        <v>297.91666666666669</v>
      </c>
      <c r="E82" s="159"/>
      <c r="F82" s="55"/>
      <c r="G82" s="206" t="s">
        <v>287</v>
      </c>
      <c r="H82" s="57">
        <f>((H80+H81)/12)*(H29-11)</f>
        <v>39.583333333333336</v>
      </c>
      <c r="I82" s="158"/>
      <c r="J82" s="28">
        <f>IF(A50="YES",0,H82)</f>
        <v>39.583333333333336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2828.5830533333333</v>
      </c>
      <c r="C87" s="158"/>
      <c r="D87" s="158"/>
      <c r="E87" s="159"/>
      <c r="F87" s="55"/>
      <c r="G87" s="220" t="s">
        <v>114</v>
      </c>
      <c r="H87" s="221">
        <f>SUM(J70:J86)</f>
        <v>5990.4033333333336</v>
      </c>
      <c r="I87" s="158"/>
      <c r="J87" s="158"/>
      <c r="K87" s="159"/>
      <c r="L87" s="55"/>
      <c r="M87" s="220" t="s">
        <v>114</v>
      </c>
      <c r="N87" s="221">
        <f>SUM(P70:P86)</f>
        <v>5950.82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235.71525444444444</v>
      </c>
      <c r="C88" s="158"/>
      <c r="D88" s="158"/>
      <c r="E88" s="159"/>
      <c r="F88" s="55"/>
      <c r="G88" s="157" t="s">
        <v>115</v>
      </c>
      <c r="H88" s="29">
        <f>H87/H29</f>
        <v>499.20027777777779</v>
      </c>
      <c r="I88" s="158"/>
      <c r="J88" s="158"/>
      <c r="K88" s="159"/>
      <c r="L88" s="55"/>
      <c r="M88" s="157" t="s">
        <v>115</v>
      </c>
      <c r="N88" s="29">
        <f>N87/H29</f>
        <v>495.90166666666664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((B89*H29)+B87)*1.2</f>
        <v>10608.699664</v>
      </c>
      <c r="C91" s="158"/>
      <c r="D91" s="158"/>
      <c r="E91" s="159"/>
      <c r="F91" s="55"/>
      <c r="G91" s="209" t="s">
        <v>126</v>
      </c>
      <c r="H91" s="24">
        <f>((H89*H29)+H87)*1.2</f>
        <v>14402.884</v>
      </c>
      <c r="I91" s="158"/>
      <c r="J91" s="158"/>
      <c r="K91" s="159"/>
      <c r="L91" s="55"/>
      <c r="M91" s="209" t="s">
        <v>126</v>
      </c>
      <c r="N91" s="24">
        <f>((N89*H29)+N87)</f>
        <v>11962.82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74.889973424768058</v>
      </c>
      <c r="C92" s="158"/>
      <c r="D92" s="158"/>
      <c r="E92" s="283"/>
      <c r="F92" s="55"/>
      <c r="G92" s="157" t="s">
        <v>127</v>
      </c>
      <c r="H92" s="29">
        <f>(((H89*H29)+H87)/(1-H76))*H76</f>
        <v>101.67425171440098</v>
      </c>
      <c r="I92" s="158"/>
      <c r="J92" s="158"/>
      <c r="K92" s="159"/>
      <c r="L92" s="55"/>
      <c r="M92" s="157" t="s">
        <v>127</v>
      </c>
      <c r="N92" s="29">
        <f>(N91/(1-N76))*N76</f>
        <v>101.33893505445745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10683.589637424768</v>
      </c>
      <c r="C93" s="158"/>
      <c r="D93" s="158"/>
      <c r="E93" s="159"/>
      <c r="F93" s="55"/>
      <c r="G93" s="206" t="s">
        <v>128</v>
      </c>
      <c r="H93" s="57">
        <f>IF(H116="YES",((H91+H92)-K120),(H91+H92))</f>
        <v>16504.558251714399</v>
      </c>
      <c r="I93" s="158"/>
      <c r="J93" s="158"/>
      <c r="K93" s="159"/>
      <c r="L93" s="55"/>
      <c r="M93" s="206" t="s">
        <v>128</v>
      </c>
      <c r="N93" s="57">
        <f>IF(N116="YES",((N91+N92)-K120),(N91+N92))</f>
        <v>14064.158935054456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IF(B105=Z104,(((H44*B35)+(H44*B35)*(B111/100))/(B64)),(((H44*B35)+(H44*B35)*(B111/100))/(B63+B64)))*1.2</f>
        <v>78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890.29913645206398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968.29913645206398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290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900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385</v>
      </c>
      <c r="B111" s="395">
        <v>30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900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(E124+E123)-E120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890.29913645206398</v>
      </c>
      <c r="B134" s="232">
        <f>IF(A111="YES",B95,0)</f>
        <v>78</v>
      </c>
      <c r="C134" s="237"/>
      <c r="D134" s="232">
        <f>B97</f>
        <v>968.29913645206398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890.29913645206398</v>
      </c>
      <c r="C137" s="158"/>
      <c r="D137" s="34">
        <f>IF(A111="YES",B95*B63,0)</f>
        <v>78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968.29913645206398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890.29913645206398</v>
      </c>
      <c r="B143" s="34">
        <f>IF(A111="YES",B95,0)</f>
        <v>78</v>
      </c>
      <c r="C143" s="158"/>
      <c r="D143" s="34">
        <f>B97</f>
        <v>968.29913645206398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168.85833333333335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168.85833333333335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(G18*0.000006)*1.2*100</f>
        <v>29.178720000000002</v>
      </c>
      <c r="B146" s="251">
        <f>G18*0.000002*1.2*100</f>
        <v>9.7262400000000007</v>
      </c>
      <c r="C146" s="252"/>
      <c r="D146" s="251">
        <f>A146+B146</f>
        <v>38.904960000000003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12</v>
      </c>
      <c r="H148" s="34">
        <f>G108-100</f>
        <v>139.988</v>
      </c>
      <c r="I148" s="34"/>
      <c r="J148" s="34">
        <f>(H145+J145+G148+H148)-H151</f>
        <v>1400.8463333333334</v>
      </c>
      <c r="K148" s="90"/>
      <c r="L148" s="55"/>
      <c r="M148" s="94">
        <f>IF(M111="YES",((A41*N111)*0.1)*(M133),0)</f>
        <v>12</v>
      </c>
      <c r="N148" s="34">
        <f>M108-100</f>
        <v>99.990000000000009</v>
      </c>
      <c r="O148" s="34"/>
      <c r="P148" s="34">
        <f>(N145+P145+M148+N148)-N151</f>
        <v>1360.8483333333334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900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18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543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968.29913645206398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890.29913645206398</v>
      </c>
      <c r="B177" s="232">
        <f>IF(A111="YES",B95,0)</f>
        <v>78</v>
      </c>
      <c r="C177" s="237"/>
      <c r="D177" s="232">
        <f>B97</f>
        <v>968.29913645206398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890.29913645206398</v>
      </c>
      <c r="C180" s="158"/>
      <c r="D180" s="34">
        <f>IF(A111="YES",B95*B63,0)</f>
        <v>78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968.29913645206398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890.29913645206398</v>
      </c>
      <c r="B186" s="34">
        <f>IF(A111="YES",B95,0)</f>
        <v>78</v>
      </c>
      <c r="C186" s="158"/>
      <c r="D186" s="34">
        <f>B97</f>
        <v>968.29913645206398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(G18*0.000006)*1.2*100</f>
        <v>29.178720000000002</v>
      </c>
      <c r="B189" s="251">
        <f>G18*0.000002*1.2*100</f>
        <v>9.7262400000000007</v>
      </c>
      <c r="C189" s="252"/>
      <c r="D189" s="251">
        <f>A189+B189</f>
        <v>38.904960000000003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900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IF(A111="YES",(A41/100*B111)*B131,0)*0.1</f>
        <v>18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543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1203.99972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645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1748.99972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1203.99972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1748.99972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180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74.889973424768058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275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B47:C47"/>
    <mergeCell ref="D47:E47"/>
    <mergeCell ref="A56:A57"/>
    <mergeCell ref="B56:C56"/>
    <mergeCell ref="B57:C57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B38 A111 G111 M111 O113 B116 H116 N116" xr:uid="{00000000-0002-0000-0D00-000001000000}">
      <formula1>$Z$19:$Z$20</formula1>
      <formula2>0</formula2>
    </dataValidation>
    <dataValidation type="list" allowBlank="1" showErrorMessage="1" sqref="H105 N105" xr:uid="{00000000-0002-0000-0D00-000003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D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0D00-000002000000}">
          <x14:formula1>
            <xm:f>'FL (Formula 3) - BCH, PCH, FL'!$Z$103:$Z$111</xm:f>
          </x14:formula1>
          <x14:formula2>
            <xm:f>0</xm:f>
          </x14:formula2>
          <xm:sqref>B65 B105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topLeftCell="A175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40526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50</v>
      </c>
      <c r="E32" s="381"/>
      <c r="F32" s="55"/>
      <c r="G32" s="168" t="s">
        <v>253</v>
      </c>
      <c r="H32" s="166" t="str">
        <f>A41</f>
        <v>50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 t="str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550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388</v>
      </c>
      <c r="B41" s="383">
        <f>IF(B38="YES",D38+A41,D38)</f>
        <v>550</v>
      </c>
      <c r="C41" s="383"/>
      <c r="D41" s="346" t="s">
        <v>392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46" t="s">
        <v>394</v>
      </c>
      <c r="C44" s="346"/>
      <c r="D44" s="346" t="s">
        <v>396</v>
      </c>
      <c r="E44" s="346"/>
      <c r="F44" s="55"/>
      <c r="G44" s="55" t="s">
        <v>264</v>
      </c>
      <c r="H44" s="5" t="str">
        <f>H32</f>
        <v>50</v>
      </c>
      <c r="I44" s="276">
        <f>((A41*(B35-1))+D32)/B35</f>
        <v>50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551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401" t="s">
        <v>396</v>
      </c>
      <c r="C47" s="401"/>
      <c r="D47" s="346" t="s">
        <v>396</v>
      </c>
      <c r="E47" s="346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551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17199.995999999999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40526</v>
      </c>
      <c r="C67" s="158"/>
      <c r="D67" s="158"/>
      <c r="E67" s="159"/>
      <c r="F67" s="55"/>
      <c r="G67" s="157" t="s">
        <v>27</v>
      </c>
      <c r="H67" s="28">
        <f>G18</f>
        <v>40526</v>
      </c>
      <c r="I67" s="158"/>
      <c r="J67" s="158"/>
      <c r="K67" s="159"/>
      <c r="L67" s="55"/>
      <c r="M67" s="157" t="s">
        <v>27</v>
      </c>
      <c r="N67" s="28">
        <f>G18</f>
        <v>40526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B66*B69</f>
        <v>1203.99972</v>
      </c>
      <c r="C70" s="158">
        <v>10000</v>
      </c>
      <c r="D70" s="28">
        <f>B70-A149</f>
        <v>1203.99972</v>
      </c>
      <c r="E70" s="159">
        <f>D70/12</f>
        <v>100.33331</v>
      </c>
      <c r="F70" s="55"/>
      <c r="G70" s="206" t="s">
        <v>102</v>
      </c>
      <c r="H70" s="57">
        <f>H67*H69</f>
        <v>2836.82</v>
      </c>
      <c r="I70" s="158"/>
      <c r="J70" s="28">
        <f>H70-G151</f>
        <v>2836.82</v>
      </c>
      <c r="K70" s="159"/>
      <c r="L70" s="55"/>
      <c r="M70" s="206" t="s">
        <v>102</v>
      </c>
      <c r="N70" s="57">
        <f>N67*N69</f>
        <v>2836.82</v>
      </c>
      <c r="O70" s="158"/>
      <c r="P70" s="28">
        <f>N70-M151</f>
        <v>2836.82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202.63</v>
      </c>
      <c r="I73" s="158"/>
      <c r="J73" s="28"/>
      <c r="K73" s="159"/>
      <c r="L73" s="55"/>
      <c r="M73" s="206" t="s">
        <v>105</v>
      </c>
      <c r="N73" s="57">
        <f>N67*N72</f>
        <v>202.63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275</v>
      </c>
      <c r="C80" s="158"/>
      <c r="D80" s="158"/>
      <c r="E80" s="274">
        <f>E79+D82</f>
        <v>957.91666666666674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79.8263888888889</v>
      </c>
      <c r="F81" s="55"/>
      <c r="G81" s="216" t="s">
        <v>286</v>
      </c>
      <c r="H81" s="65">
        <f>IF(G18&gt;40000,325,0)</f>
        <v>325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297.91666666666669</v>
      </c>
      <c r="C82" s="158"/>
      <c r="D82" s="28">
        <f>IF(A50="YES",0,B82)</f>
        <v>297.91666666666669</v>
      </c>
      <c r="E82" s="159"/>
      <c r="F82" s="55"/>
      <c r="G82" s="206" t="s">
        <v>287</v>
      </c>
      <c r="H82" s="57">
        <f>((H80+H81)/12)*(H29-11)</f>
        <v>39.583333333333336</v>
      </c>
      <c r="I82" s="158"/>
      <c r="J82" s="28">
        <f>IF(A50="YES",0,H82)</f>
        <v>39.583333333333336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2828.5830533333333</v>
      </c>
      <c r="C87" s="158"/>
      <c r="D87" s="158"/>
      <c r="E87" s="159"/>
      <c r="F87" s="55"/>
      <c r="G87" s="220" t="s">
        <v>114</v>
      </c>
      <c r="H87" s="221">
        <f>SUM(J70:J86)</f>
        <v>5990.4033333333336</v>
      </c>
      <c r="I87" s="158"/>
      <c r="J87" s="158"/>
      <c r="K87" s="159"/>
      <c r="L87" s="55"/>
      <c r="M87" s="220" t="s">
        <v>114</v>
      </c>
      <c r="N87" s="221">
        <f>SUM(P70:P86)</f>
        <v>5950.82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235.71525444444444</v>
      </c>
      <c r="C88" s="158"/>
      <c r="D88" s="158"/>
      <c r="E88" s="159"/>
      <c r="F88" s="55"/>
      <c r="G88" s="157" t="s">
        <v>115</v>
      </c>
      <c r="H88" s="29">
        <f>H87/H29</f>
        <v>499.20027777777779</v>
      </c>
      <c r="I88" s="158"/>
      <c r="J88" s="158"/>
      <c r="K88" s="159"/>
      <c r="L88" s="55"/>
      <c r="M88" s="157" t="s">
        <v>115</v>
      </c>
      <c r="N88" s="29">
        <f>N87/H29</f>
        <v>495.90166666666664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8840.5830533333337</v>
      </c>
      <c r="C91" s="158"/>
      <c r="D91" s="158"/>
      <c r="E91" s="159"/>
      <c r="F91" s="55"/>
      <c r="G91" s="209" t="s">
        <v>126</v>
      </c>
      <c r="H91" s="24">
        <f>((H89*H29)+H87)*1.2</f>
        <v>14402.884</v>
      </c>
      <c r="I91" s="158"/>
      <c r="J91" s="158"/>
      <c r="K91" s="159"/>
      <c r="L91" s="55"/>
      <c r="M91" s="209" t="s">
        <v>126</v>
      </c>
      <c r="N91" s="24">
        <f>((N89*H29)+N87)</f>
        <v>11962.82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74.889973424768058</v>
      </c>
      <c r="C92" s="158"/>
      <c r="D92" s="158"/>
      <c r="E92" s="283"/>
      <c r="F92" s="55"/>
      <c r="G92" s="157" t="s">
        <v>127</v>
      </c>
      <c r="H92" s="29">
        <f>(((H89*H29)+H87)/(1-H76))*H76</f>
        <v>101.67425171440098</v>
      </c>
      <c r="I92" s="158"/>
      <c r="J92" s="158"/>
      <c r="K92" s="159"/>
      <c r="L92" s="55"/>
      <c r="M92" s="157" t="s">
        <v>127</v>
      </c>
      <c r="N92" s="29">
        <f>(N91/(1-N76))*N76</f>
        <v>101.33893505445745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8915.4730267581017</v>
      </c>
      <c r="C93" s="158"/>
      <c r="D93" s="158"/>
      <c r="E93" s="159"/>
      <c r="F93" s="55"/>
      <c r="G93" s="206" t="s">
        <v>128</v>
      </c>
      <c r="H93" s="57">
        <f>IF(H116="YES",((H91+H92)-K120),(H91+H92))</f>
        <v>16504.558251714399</v>
      </c>
      <c r="I93" s="158"/>
      <c r="J93" s="158"/>
      <c r="K93" s="159"/>
      <c r="L93" s="55"/>
      <c r="M93" s="206" t="s">
        <v>128</v>
      </c>
      <c r="N93" s="57">
        <f>IF(N116="YES",((N91+N92)-K120),(N91+N92))</f>
        <v>14064.158935054456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</f>
        <v>65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742.95608556317518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807.95608556317518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750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385</v>
      </c>
      <c r="B111" s="395">
        <v>30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750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742.95608556317518</v>
      </c>
      <c r="B134" s="232">
        <f>IF(A111="YES",B95,0)</f>
        <v>65</v>
      </c>
      <c r="C134" s="237"/>
      <c r="D134" s="232">
        <f>B97</f>
        <v>807.95608556317518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742.95608556317518</v>
      </c>
      <c r="C137" s="158"/>
      <c r="D137" s="34">
        <f>IF(A111="YES",B95*B63,0)</f>
        <v>65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807.95608556317518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742.95608556317518</v>
      </c>
      <c r="B143" s="34">
        <f>IF(A111="YES",B95,0)</f>
        <v>65</v>
      </c>
      <c r="C143" s="158"/>
      <c r="D143" s="34">
        <f>B97</f>
        <v>807.95608556317518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168.85833333333335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168.85833333333335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24.3156</v>
      </c>
      <c r="B146" s="251">
        <f>G18*0.000002*100</f>
        <v>8.1052</v>
      </c>
      <c r="C146" s="252"/>
      <c r="D146" s="251">
        <f>A146+B146</f>
        <v>32.4208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12</v>
      </c>
      <c r="H148" s="34">
        <f>G108-100</f>
        <v>139.988</v>
      </c>
      <c r="I148" s="34"/>
      <c r="J148" s="34">
        <f>(H145+J145+G148+H148)-H151</f>
        <v>1400.8463333333334</v>
      </c>
      <c r="K148" s="90"/>
      <c r="L148" s="55"/>
      <c r="M148" s="94">
        <f>IF(M111="YES",((A41*N111)*0.1)*(M133),0)</f>
        <v>12</v>
      </c>
      <c r="N148" s="34">
        <f>M108-100</f>
        <v>99.990000000000009</v>
      </c>
      <c r="O148" s="34"/>
      <c r="P148" s="34">
        <f>(N145+P145+M148+N148)-N151</f>
        <v>1360.8483333333334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750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18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543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807.95608556317518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742.95608556317518</v>
      </c>
      <c r="B177" s="232">
        <f>IF(A111="YES",B95,0)</f>
        <v>65</v>
      </c>
      <c r="C177" s="237"/>
      <c r="D177" s="232">
        <f>B91</f>
        <v>8840.5830533333337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742.95608556317518</v>
      </c>
      <c r="C180" s="158"/>
      <c r="D180" s="34">
        <f>IF(A111="YES",B95*B63,0)</f>
        <v>65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807.95608556317518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742.95608556317518</v>
      </c>
      <c r="B186" s="34">
        <f>IF(A111="YES",B95,0)</f>
        <v>65</v>
      </c>
      <c r="C186" s="158"/>
      <c r="D186" s="34">
        <f>B97</f>
        <v>807.95608556317518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3">
        <f>(G18*0.000006)*100</f>
        <v>24.3156</v>
      </c>
      <c r="B189" s="254">
        <f>G18*0.000002*100</f>
        <v>8.1052</v>
      </c>
      <c r="C189" s="158"/>
      <c r="D189" s="254">
        <f>A189+B189</f>
        <v>32.4208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750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B154</f>
        <v>400</v>
      </c>
      <c r="C197" s="34"/>
      <c r="D197" s="34">
        <f>IF(A111="YES",(A41/100*B111)*B131,0)*0.1</f>
        <v>18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543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1203.99972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645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1748.99972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1203.99972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1748.99972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180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74.889973424768058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275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B47:C47"/>
    <mergeCell ref="D47:E47"/>
    <mergeCell ref="A56:A57"/>
    <mergeCell ref="B56:C56"/>
    <mergeCell ref="B57:C57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B38 A111 G111 M111 O113 B116 H116 N116" xr:uid="{00000000-0002-0000-0E00-000001000000}">
      <formula1>$Z$19:$Z$20</formula1>
      <formula2>0</formula2>
    </dataValidation>
    <dataValidation type="list" allowBlank="1" showErrorMessage="1" sqref="H105 N105" xr:uid="{00000000-0002-0000-0E00-000003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E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0E00-000002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topLeftCell="A175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40526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>
        <f>A41</f>
        <v>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>
        <v>0</v>
      </c>
      <c r="B41" s="383" t="str">
        <f>IF(B38="YES",D38+A41,D38)</f>
        <v>500</v>
      </c>
      <c r="C41" s="383"/>
      <c r="D41" s="385">
        <v>6000</v>
      </c>
      <c r="E41" s="385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0</v>
      </c>
      <c r="I44" s="276">
        <f>((A41*(B35-1))+D32)/B35</f>
        <v>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501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9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3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B65" s="158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17199.995999999999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40526</v>
      </c>
      <c r="C67" s="158"/>
      <c r="D67" s="158"/>
      <c r="E67" s="159"/>
      <c r="F67" s="55"/>
      <c r="G67" s="157" t="s">
        <v>27</v>
      </c>
      <c r="H67" s="28">
        <f>G18</f>
        <v>40526</v>
      </c>
      <c r="I67" s="158"/>
      <c r="J67" s="158"/>
      <c r="K67" s="159"/>
      <c r="L67" s="55"/>
      <c r="M67" s="157" t="s">
        <v>27</v>
      </c>
      <c r="N67" s="28">
        <f>G18</f>
        <v>40526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B66*B69</f>
        <v>1203.99972</v>
      </c>
      <c r="C70" s="158">
        <v>10000</v>
      </c>
      <c r="D70" s="28">
        <f>B70-A149</f>
        <v>1203.99972</v>
      </c>
      <c r="E70" s="159">
        <f>D70/12</f>
        <v>100.33331</v>
      </c>
      <c r="F70" s="55"/>
      <c r="G70" s="206" t="s">
        <v>102</v>
      </c>
      <c r="H70" s="57">
        <f>H67*H69</f>
        <v>2836.82</v>
      </c>
      <c r="I70" s="158"/>
      <c r="J70" s="28">
        <f>H70-G151</f>
        <v>2836.82</v>
      </c>
      <c r="K70" s="159"/>
      <c r="L70" s="55"/>
      <c r="M70" s="206" t="s">
        <v>102</v>
      </c>
      <c r="N70" s="57">
        <f>N67*N69</f>
        <v>2836.82</v>
      </c>
      <c r="O70" s="158"/>
      <c r="P70" s="28">
        <f>N70-M151</f>
        <v>2836.82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202.63</v>
      </c>
      <c r="I73" s="158"/>
      <c r="J73" s="28"/>
      <c r="K73" s="159"/>
      <c r="L73" s="55"/>
      <c r="M73" s="206" t="s">
        <v>105</v>
      </c>
      <c r="N73" s="57">
        <f>N67*N72</f>
        <v>202.63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77" t="s">
        <v>285</v>
      </c>
      <c r="B80" s="278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79" t="s">
        <v>286</v>
      </c>
      <c r="B81" s="280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325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((B80+B81)/12)*(H29-11)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39.583333333333336</v>
      </c>
      <c r="I82" s="158"/>
      <c r="J82" s="28">
        <f>IF(A50="YES",0,H82)</f>
        <v>39.583333333333336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2530.6663866666668</v>
      </c>
      <c r="C87" s="158"/>
      <c r="D87" s="158"/>
      <c r="E87" s="159"/>
      <c r="F87" s="55"/>
      <c r="G87" s="220" t="s">
        <v>114</v>
      </c>
      <c r="H87" s="221">
        <f>SUM(J70:J86)</f>
        <v>5990.4033333333336</v>
      </c>
      <c r="I87" s="158"/>
      <c r="J87" s="158"/>
      <c r="K87" s="159"/>
      <c r="L87" s="55"/>
      <c r="M87" s="220" t="s">
        <v>114</v>
      </c>
      <c r="N87" s="221">
        <f>SUM(P70:P86)</f>
        <v>5950.82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210.88886555555555</v>
      </c>
      <c r="C88" s="158"/>
      <c r="D88" s="158"/>
      <c r="E88" s="159"/>
      <c r="F88" s="55"/>
      <c r="G88" s="157" t="s">
        <v>115</v>
      </c>
      <c r="H88" s="29">
        <f>H87/H29</f>
        <v>499.20027777777779</v>
      </c>
      <c r="I88" s="158"/>
      <c r="J88" s="158"/>
      <c r="K88" s="159"/>
      <c r="L88" s="55"/>
      <c r="M88" s="157" t="s">
        <v>115</v>
      </c>
      <c r="N88" s="29">
        <f>N87/H29</f>
        <v>495.90166666666664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8542.6663866666677</v>
      </c>
      <c r="C91" s="158"/>
      <c r="D91" s="158"/>
      <c r="E91" s="159"/>
      <c r="F91" s="55"/>
      <c r="G91" s="209" t="s">
        <v>126</v>
      </c>
      <c r="H91" s="24">
        <f>((H89*H29)+H87)*1.2</f>
        <v>14402.884</v>
      </c>
      <c r="I91" s="158"/>
      <c r="J91" s="158"/>
      <c r="K91" s="159"/>
      <c r="L91" s="55"/>
      <c r="M91" s="209" t="s">
        <v>126</v>
      </c>
      <c r="N91" s="24">
        <f>((N89*H29)+N87)</f>
        <v>11962.82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72.366274352561533</v>
      </c>
      <c r="C92" s="158"/>
      <c r="D92" s="158"/>
      <c r="E92" s="283"/>
      <c r="F92" s="55"/>
      <c r="G92" s="157" t="s">
        <v>127</v>
      </c>
      <c r="H92" s="29">
        <f>(((H89*H29)+H87)/(1-H76))*H76</f>
        <v>101.67425171440098</v>
      </c>
      <c r="I92" s="158"/>
      <c r="J92" s="158"/>
      <c r="K92" s="159"/>
      <c r="L92" s="55"/>
      <c r="M92" s="157" t="s">
        <v>127</v>
      </c>
      <c r="N92" s="29">
        <f>(N91/(1-N76))*N76</f>
        <v>101.33893505445745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8615.0326610192296</v>
      </c>
      <c r="C93" s="158"/>
      <c r="D93" s="158"/>
      <c r="E93" s="159"/>
      <c r="F93" s="55"/>
      <c r="G93" s="206" t="s">
        <v>128</v>
      </c>
      <c r="H93" s="57">
        <f>IF(H116="YES",((H91+H92)-K120),(H91+H92))</f>
        <v>16504.558251714399</v>
      </c>
      <c r="I93" s="158"/>
      <c r="J93" s="158"/>
      <c r="K93" s="159"/>
      <c r="L93" s="55"/>
      <c r="M93" s="206" t="s">
        <v>128</v>
      </c>
      <c r="N93" s="57">
        <f>IF(N116="YES",((N91+N92)-K120),(N91+N92))</f>
        <v>14064.158935054456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</f>
        <v>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717.91938841826914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717.91938841826914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345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353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750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5">
        <v>0</v>
      </c>
      <c r="C111" s="395"/>
      <c r="D111" s="348" t="s">
        <v>404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750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3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3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717.91938841826914</v>
      </c>
      <c r="B134" s="232">
        <f>IF(A111="YES",B95,0)</f>
        <v>0</v>
      </c>
      <c r="C134" s="237"/>
      <c r="D134" s="232">
        <f>B97</f>
        <v>717.91938841826914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Terminal pause with 9 down </v>
      </c>
      <c r="B137" s="34">
        <f>B96*B63</f>
        <v>6461.2744957644227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6461.2744957644227</v>
      </c>
      <c r="B140" s="34">
        <f>E120</f>
        <v>0</v>
      </c>
      <c r="C140" s="158"/>
      <c r="D140" s="245">
        <f>B64</f>
        <v>3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717.91938841826914</v>
      </c>
      <c r="B143" s="34">
        <f>IF(A111="YES",B95,0)</f>
        <v>0</v>
      </c>
      <c r="C143" s="158"/>
      <c r="D143" s="34">
        <f>B97</f>
        <v>717.91938841826914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168.85833333333335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168.85833333333335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24.3156</v>
      </c>
      <c r="B146" s="251">
        <f>G18*0.000002*100</f>
        <v>8.1052</v>
      </c>
      <c r="C146" s="252"/>
      <c r="D146" s="251">
        <f>A146+B146</f>
        <v>32.4208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0</v>
      </c>
      <c r="H148" s="34">
        <f>G108-100</f>
        <v>139.988</v>
      </c>
      <c r="I148" s="34"/>
      <c r="J148" s="34">
        <f>(H145+J145+G148+H148)-H151</f>
        <v>1388.8463333333334</v>
      </c>
      <c r="K148" s="90"/>
      <c r="L148" s="55"/>
      <c r="M148" s="94">
        <f>IF(M111="YES",((A41*N111)*0.1)*(M133),0)</f>
        <v>0</v>
      </c>
      <c r="N148" s="34">
        <f>M108-100</f>
        <v>99.990000000000009</v>
      </c>
      <c r="O148" s="34"/>
      <c r="P148" s="34">
        <f>(N145+P145+M148+N148)-N151</f>
        <v>1348.8483333333334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750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717.91938841826914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717.91938841826914</v>
      </c>
      <c r="B177" s="232">
        <f>IF(A111="YES",B95,0)</f>
        <v>0</v>
      </c>
      <c r="C177" s="237"/>
      <c r="D177" s="232">
        <f>B91</f>
        <v>8542.6663866666677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Terminal pause with 9 down </v>
      </c>
      <c r="B180" s="34">
        <f>B96*B63</f>
        <v>6461.2744957644227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6461.2744957644227</v>
      </c>
      <c r="B183" s="34">
        <f>E120</f>
        <v>0</v>
      </c>
      <c r="C183" s="158"/>
      <c r="D183" s="245">
        <f>B64</f>
        <v>3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717.91938841826914</v>
      </c>
      <c r="B186" s="34">
        <f>IF(A111="YES",B95,0)</f>
        <v>0</v>
      </c>
      <c r="C186" s="158"/>
      <c r="D186" s="34">
        <f>B97</f>
        <v>717.91938841826914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(G18*0.000006)*1.2*100</f>
        <v>29.178720000000002</v>
      </c>
      <c r="B189" s="251">
        <f>G18*0.000002*1.2*100</f>
        <v>9.7262400000000007</v>
      </c>
      <c r="C189" s="158"/>
      <c r="D189" s="251">
        <f>A189+B189</f>
        <v>38.904960000000003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750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1203.99972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465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1568.99972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1203.99972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1568.99972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72.366274352561533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B47:C47"/>
    <mergeCell ref="D47:E47"/>
    <mergeCell ref="A56:A57"/>
    <mergeCell ref="B56:C56"/>
    <mergeCell ref="B57:C57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B38 A111 G111 M111 O113 B116 H116 N116" xr:uid="{00000000-0002-0000-0F00-000001000000}">
      <formula1>$Z$19:$Z$20</formula1>
      <formula2>0</formula2>
    </dataValidation>
    <dataValidation type="list" allowBlank="1" showErrorMessage="1" sqref="H105 N105" xr:uid="{00000000-0002-0000-0F00-000003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F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0F00-000002000000}">
          <x14:formula1>
            <xm:f>'FL (Formula 3) - BCH, PCH, FL'!$Z$103:$Z$111</xm:f>
          </x14:formula1>
          <x14:formula2>
            <xm:f>0</xm:f>
          </x14:formula2>
          <xm:sqref>B65 B105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0"/>
  <sheetViews>
    <sheetView topLeftCell="A175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40526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>
        <f>A41</f>
        <v>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>
        <v>0</v>
      </c>
      <c r="B41" s="383" t="str">
        <f>IF(B38="YES",D38+A41,D38)</f>
        <v>500</v>
      </c>
      <c r="C41" s="383"/>
      <c r="D41" s="385">
        <v>6000</v>
      </c>
      <c r="E41" s="385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0</v>
      </c>
      <c r="I44" s="276">
        <f>((A41*(B35-1))+D32)/B35</f>
        <v>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501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17199.995999999999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40526</v>
      </c>
      <c r="C67" s="158"/>
      <c r="D67" s="158"/>
      <c r="E67" s="159"/>
      <c r="F67" s="55"/>
      <c r="G67" s="157" t="s">
        <v>27</v>
      </c>
      <c r="H67" s="28">
        <f>G18</f>
        <v>40526</v>
      </c>
      <c r="I67" s="158"/>
      <c r="J67" s="158"/>
      <c r="K67" s="159"/>
      <c r="L67" s="55"/>
      <c r="M67" s="157" t="s">
        <v>27</v>
      </c>
      <c r="N67" s="28">
        <f>G18</f>
        <v>40526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B66*B69</f>
        <v>1203.99972</v>
      </c>
      <c r="C70" s="158">
        <v>10000</v>
      </c>
      <c r="D70" s="28">
        <f>B70-A149</f>
        <v>1203.99972</v>
      </c>
      <c r="E70" s="159">
        <f>D70/12</f>
        <v>100.33331</v>
      </c>
      <c r="F70" s="55"/>
      <c r="G70" s="206" t="s">
        <v>102</v>
      </c>
      <c r="H70" s="57">
        <f>H67*H69</f>
        <v>2836.82</v>
      </c>
      <c r="I70" s="158"/>
      <c r="J70" s="28">
        <f>H70-G151</f>
        <v>2836.82</v>
      </c>
      <c r="K70" s="159"/>
      <c r="L70" s="55"/>
      <c r="M70" s="206" t="s">
        <v>102</v>
      </c>
      <c r="N70" s="57">
        <f>N67*N69</f>
        <v>2836.82</v>
      </c>
      <c r="O70" s="158"/>
      <c r="P70" s="28">
        <f>N70-M151</f>
        <v>2836.82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202.63</v>
      </c>
      <c r="I73" s="158"/>
      <c r="J73" s="28"/>
      <c r="K73" s="159"/>
      <c r="L73" s="55"/>
      <c r="M73" s="206" t="s">
        <v>105</v>
      </c>
      <c r="N73" s="57">
        <f>N67*N72</f>
        <v>202.63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275</v>
      </c>
      <c r="C80" s="158"/>
      <c r="D80" s="158"/>
      <c r="E80" s="274">
        <f>E79+D82</f>
        <v>957.91666666666674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79.8263888888889</v>
      </c>
      <c r="F81" s="55"/>
      <c r="G81" s="216" t="s">
        <v>286</v>
      </c>
      <c r="H81" s="65">
        <f>IF(G18&gt;40000,325,0)</f>
        <v>325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297.91666666666669</v>
      </c>
      <c r="C82" s="158"/>
      <c r="D82" s="28">
        <f>IF(A50="YES",0,B82)</f>
        <v>297.91666666666669</v>
      </c>
      <c r="E82" s="159"/>
      <c r="F82" s="55"/>
      <c r="G82" s="206" t="s">
        <v>287</v>
      </c>
      <c r="H82" s="57">
        <f>((H80+H81)/12)*(H29-11)</f>
        <v>39.583333333333336</v>
      </c>
      <c r="I82" s="158"/>
      <c r="J82" s="28">
        <f>IF(A50="YES",0,H82)</f>
        <v>39.583333333333336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0</v>
      </c>
      <c r="C83" s="158"/>
      <c r="D83" s="28">
        <f>B83</f>
        <v>0</v>
      </c>
      <c r="E83" s="159">
        <f>D83/12</f>
        <v>0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0</v>
      </c>
      <c r="C84" s="158"/>
      <c r="D84" s="28">
        <f>B84</f>
        <v>0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2161.9163866666668</v>
      </c>
      <c r="C87" s="158"/>
      <c r="D87" s="158"/>
      <c r="E87" s="159"/>
      <c r="F87" s="55"/>
      <c r="G87" s="220" t="s">
        <v>114</v>
      </c>
      <c r="H87" s="221">
        <f>SUM(J70:J86)</f>
        <v>5990.4033333333336</v>
      </c>
      <c r="I87" s="158"/>
      <c r="J87" s="158"/>
      <c r="K87" s="159"/>
      <c r="L87" s="55"/>
      <c r="M87" s="220" t="s">
        <v>114</v>
      </c>
      <c r="N87" s="221">
        <f>SUM(P70:P86)</f>
        <v>5950.82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180.1596988888889</v>
      </c>
      <c r="C88" s="158"/>
      <c r="D88" s="158"/>
      <c r="E88" s="159"/>
      <c r="F88" s="55"/>
      <c r="G88" s="157" t="s">
        <v>115</v>
      </c>
      <c r="H88" s="29">
        <f>H87/H29</f>
        <v>499.20027777777779</v>
      </c>
      <c r="I88" s="158"/>
      <c r="J88" s="158"/>
      <c r="K88" s="159"/>
      <c r="L88" s="55"/>
      <c r="M88" s="157" t="s">
        <v>115</v>
      </c>
      <c r="N88" s="29">
        <f>N87/H29</f>
        <v>495.90166666666664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((B89*H29)+B87)*1.2</f>
        <v>9808.6996639999998</v>
      </c>
      <c r="C91" s="158"/>
      <c r="D91" s="158"/>
      <c r="E91" s="159"/>
      <c r="F91" s="55"/>
      <c r="G91" s="209" t="s">
        <v>126</v>
      </c>
      <c r="H91" s="24">
        <f>((H89*H29)+H87)*1.2</f>
        <v>14402.884</v>
      </c>
      <c r="I91" s="158"/>
      <c r="J91" s="158"/>
      <c r="K91" s="159"/>
      <c r="L91" s="55"/>
      <c r="M91" s="209" t="s">
        <v>126</v>
      </c>
      <c r="N91" s="24">
        <f>((N89*H29)+N87)</f>
        <v>11962.82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69.24253494150868</v>
      </c>
      <c r="C92" s="158"/>
      <c r="D92" s="158"/>
      <c r="E92" s="283"/>
      <c r="F92" s="55"/>
      <c r="G92" s="157" t="s">
        <v>127</v>
      </c>
      <c r="H92" s="29">
        <f>(((H89*H29)+H87)/(1-H76))*H76</f>
        <v>101.67425171440098</v>
      </c>
      <c r="I92" s="158"/>
      <c r="J92" s="158"/>
      <c r="K92" s="159"/>
      <c r="L92" s="55"/>
      <c r="M92" s="157" t="s">
        <v>127</v>
      </c>
      <c r="N92" s="29">
        <f>(N91/(1-N76))*N76</f>
        <v>101.33893505445745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9877.9421989415077</v>
      </c>
      <c r="C93" s="158"/>
      <c r="D93" s="158"/>
      <c r="E93" s="159"/>
      <c r="F93" s="55"/>
      <c r="G93" s="206" t="s">
        <v>128</v>
      </c>
      <c r="H93" s="57">
        <f>IF(H116="YES",((H91+H92)-K120),(H91+H92))</f>
        <v>16504.558251714399</v>
      </c>
      <c r="I93" s="158"/>
      <c r="J93" s="158"/>
      <c r="K93" s="159"/>
      <c r="L93" s="55"/>
      <c r="M93" s="206" t="s">
        <v>128</v>
      </c>
      <c r="N93" s="57">
        <f>IF(N116="YES",((N91+N92)-K120),(N91+N92))</f>
        <v>14064.158935054456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IF(B105=Z104,(((H44*B35)+(H44*B35)*(B111/100))/(B64)),(((H44*B35)+(H44*B35)*(B111/100))/(B63+B64)))*1.2</f>
        <v>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823.16184991179227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823.16184991179227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290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900</v>
      </c>
      <c r="B108" s="348">
        <v>0</v>
      </c>
      <c r="C108" s="348"/>
      <c r="D108" s="348">
        <v>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5">
        <v>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900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(E124+E123)-E120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823.16184991179227</v>
      </c>
      <c r="B134" s="232">
        <f>IF(A111="YES",B95,0)</f>
        <v>0</v>
      </c>
      <c r="C134" s="237"/>
      <c r="D134" s="232">
        <f>B97</f>
        <v>823.16184991179227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823.16184991179227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823.16184991179227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823.16184991179227</v>
      </c>
      <c r="B143" s="34">
        <f>IF(A111="YES",B95,0)</f>
        <v>0</v>
      </c>
      <c r="C143" s="158"/>
      <c r="D143" s="34">
        <f>B97</f>
        <v>823.16184991179227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168.85833333333335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168.85833333333335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(G18*0.000006)*1.2*100</f>
        <v>29.178720000000002</v>
      </c>
      <c r="B146" s="251">
        <f>G18*0.000002*1.2*100</f>
        <v>9.7262400000000007</v>
      </c>
      <c r="C146" s="252"/>
      <c r="D146" s="251">
        <f>A146+B146</f>
        <v>38.904960000000003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0</v>
      </c>
      <c r="H148" s="34">
        <f>G108-100</f>
        <v>139.988</v>
      </c>
      <c r="I148" s="34"/>
      <c r="J148" s="34">
        <f>(H145+J145+G148+H148)-H151</f>
        <v>1388.8463333333334</v>
      </c>
      <c r="K148" s="90"/>
      <c r="L148" s="55"/>
      <c r="M148" s="94">
        <f>IF(M111="YES",((A41*N111)*0.1)*(M133),0)</f>
        <v>0</v>
      </c>
      <c r="N148" s="34">
        <f>M108-100</f>
        <v>99.990000000000009</v>
      </c>
      <c r="O148" s="34"/>
      <c r="P148" s="34">
        <f>(N145+P145+M148+N148)-N151</f>
        <v>1348.8483333333334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900</v>
      </c>
      <c r="C149" s="158"/>
      <c r="D149" s="119">
        <f>B108</f>
        <v>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325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823.16184991179227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823.16184991179227</v>
      </c>
      <c r="B177" s="232">
        <f>IF(A111="YES",B95,0)</f>
        <v>0</v>
      </c>
      <c r="C177" s="237"/>
      <c r="D177" s="232">
        <f>B91</f>
        <v>9808.6996639999998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823.16184991179227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823.16184991179227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823.16184991179227</v>
      </c>
      <c r="B186" s="34">
        <f>IF(A111="YES",B95,0)</f>
        <v>0</v>
      </c>
      <c r="C186" s="158"/>
      <c r="D186" s="34">
        <f>B97</f>
        <v>823.16184991179227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(G18*0.000006)*1.2*100</f>
        <v>29.178720000000002</v>
      </c>
      <c r="B189" s="251">
        <f>G18*0.000002*1.2*100</f>
        <v>9.7262400000000007</v>
      </c>
      <c r="C189" s="252"/>
      <c r="D189" s="251">
        <f>A189+B189</f>
        <v>38.904960000000003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900</v>
      </c>
      <c r="C192" s="158"/>
      <c r="D192" s="119">
        <f>B108</f>
        <v>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325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1203.99972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225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1328.99972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1203.99972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0</v>
      </c>
      <c r="C223" s="163" t="s">
        <v>230</v>
      </c>
      <c r="D223" s="158"/>
      <c r="E223" s="29">
        <f>(B217-B211+D211)</f>
        <v>1328.99972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69.24253494150868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275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B47:C47"/>
    <mergeCell ref="D47:E47"/>
    <mergeCell ref="A56:A57"/>
    <mergeCell ref="B56:C56"/>
    <mergeCell ref="B57:C57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B38 A111 G111 M111 O113 B116 H116 N116" xr:uid="{00000000-0002-0000-1000-000001000000}">
      <formula1>$Z$19:$Z$20</formula1>
      <formula2>0</formula2>
    </dataValidation>
    <dataValidation type="list" allowBlank="1" showErrorMessage="1" sqref="H105 N105" xr:uid="{00000000-0002-0000-1000-000002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0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1000-000003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topLeftCell="A145" zoomScale="110" zoomScaleNormal="110" workbookViewId="0">
      <selection activeCell="D157" sqref="D157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40526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31.83</v>
      </c>
      <c r="E32" s="381"/>
      <c r="F32" s="55"/>
      <c r="G32" s="168" t="s">
        <v>253</v>
      </c>
      <c r="H32" s="166" t="str">
        <f>A41</f>
        <v>31.83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531.83000000000004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408</v>
      </c>
      <c r="B41" s="383">
        <f>IF(B38="YES",D38+A41,D38)</f>
        <v>531.83000000000004</v>
      </c>
      <c r="C41" s="383"/>
      <c r="D41" s="385">
        <v>6000</v>
      </c>
      <c r="E41" s="385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 t="str">
        <f>H32</f>
        <v>31.83</v>
      </c>
      <c r="I44" s="276">
        <f>((A41*(B35-1))+D32)/B35</f>
        <v>31.83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532.83000000000004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532.83000000000004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17199.995999999999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40526</v>
      </c>
      <c r="C67" s="158"/>
      <c r="D67" s="158"/>
      <c r="E67" s="159"/>
      <c r="F67" s="55"/>
      <c r="G67" s="157" t="s">
        <v>27</v>
      </c>
      <c r="H67" s="28">
        <f>G18</f>
        <v>40526</v>
      </c>
      <c r="I67" s="158"/>
      <c r="J67" s="158"/>
      <c r="K67" s="159"/>
      <c r="L67" s="55"/>
      <c r="M67" s="157" t="s">
        <v>27</v>
      </c>
      <c r="N67" s="28">
        <f>G18</f>
        <v>40526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B66*B69</f>
        <v>1203.99972</v>
      </c>
      <c r="C70" s="158">
        <v>10000</v>
      </c>
      <c r="D70" s="28">
        <f>B70-A149</f>
        <v>1203.99972</v>
      </c>
      <c r="E70" s="159">
        <f>D70/12</f>
        <v>100.33331</v>
      </c>
      <c r="F70" s="55"/>
      <c r="G70" s="206" t="s">
        <v>102</v>
      </c>
      <c r="H70" s="57">
        <f>H67*H69</f>
        <v>2836.82</v>
      </c>
      <c r="I70" s="158"/>
      <c r="J70" s="28">
        <f>H70-G151</f>
        <v>2836.82</v>
      </c>
      <c r="K70" s="159"/>
      <c r="L70" s="55"/>
      <c r="M70" s="206" t="s">
        <v>102</v>
      </c>
      <c r="N70" s="57">
        <f>N67*N69</f>
        <v>2836.82</v>
      </c>
      <c r="O70" s="158"/>
      <c r="P70" s="28">
        <f>N70-M151</f>
        <v>2836.82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202.63</v>
      </c>
      <c r="I73" s="158"/>
      <c r="J73" s="28"/>
      <c r="K73" s="159"/>
      <c r="L73" s="55"/>
      <c r="M73" s="206" t="s">
        <v>105</v>
      </c>
      <c r="N73" s="57">
        <f>N67*N72</f>
        <v>202.63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275</v>
      </c>
      <c r="C80" s="158"/>
      <c r="D80" s="158"/>
      <c r="E80" s="274">
        <f>E79+D82</f>
        <v>957.91666666666674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79.8263888888889</v>
      </c>
      <c r="F81" s="55"/>
      <c r="G81" s="216" t="s">
        <v>286</v>
      </c>
      <c r="H81" s="65">
        <f>IF(G18&gt;40000,325,0)</f>
        <v>325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297.91666666666669</v>
      </c>
      <c r="C82" s="158"/>
      <c r="D82" s="28">
        <f>IF(A50="YES",0,B82)</f>
        <v>297.91666666666669</v>
      </c>
      <c r="E82" s="159"/>
      <c r="F82" s="55"/>
      <c r="G82" s="206" t="s">
        <v>287</v>
      </c>
      <c r="H82" s="57">
        <f>((H80+H81)/12)*(H29-11)</f>
        <v>39.583333333333336</v>
      </c>
      <c r="I82" s="158"/>
      <c r="J82" s="28">
        <f>IF(A50="YES",0,H82)</f>
        <v>39.583333333333336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2828.5830533333333</v>
      </c>
      <c r="C87" s="158"/>
      <c r="D87" s="158"/>
      <c r="E87" s="159"/>
      <c r="F87" s="55"/>
      <c r="G87" s="220" t="s">
        <v>114</v>
      </c>
      <c r="H87" s="221">
        <f>SUM(J70:J86)</f>
        <v>5990.4033333333336</v>
      </c>
      <c r="I87" s="158"/>
      <c r="J87" s="158"/>
      <c r="K87" s="159"/>
      <c r="L87" s="55"/>
      <c r="M87" s="220" t="s">
        <v>114</v>
      </c>
      <c r="N87" s="221">
        <f>SUM(P70:P86)</f>
        <v>5950.82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235.71525444444444</v>
      </c>
      <c r="C88" s="158"/>
      <c r="D88" s="158"/>
      <c r="E88" s="159"/>
      <c r="F88" s="55"/>
      <c r="G88" s="157" t="s">
        <v>115</v>
      </c>
      <c r="H88" s="29">
        <f>H87/H29</f>
        <v>499.20027777777779</v>
      </c>
      <c r="I88" s="158"/>
      <c r="J88" s="158"/>
      <c r="K88" s="159"/>
      <c r="L88" s="55"/>
      <c r="M88" s="157" t="s">
        <v>115</v>
      </c>
      <c r="N88" s="29">
        <f>N87/H29</f>
        <v>495.90166666666664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8840.5830533333337</v>
      </c>
      <c r="C91" s="158"/>
      <c r="D91" s="158"/>
      <c r="E91" s="159"/>
      <c r="F91" s="55"/>
      <c r="G91" s="209" t="s">
        <v>126</v>
      </c>
      <c r="H91" s="24">
        <f>((H89*H29)+H87)*1.2</f>
        <v>14402.884</v>
      </c>
      <c r="I91" s="158"/>
      <c r="J91" s="158"/>
      <c r="K91" s="159"/>
      <c r="L91" s="55"/>
      <c r="M91" s="209" t="s">
        <v>126</v>
      </c>
      <c r="N91" s="24">
        <f>((N89*H29)+N87)</f>
        <v>11962.82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74.889973424768058</v>
      </c>
      <c r="C92" s="158"/>
      <c r="D92" s="158"/>
      <c r="E92" s="283"/>
      <c r="F92" s="55"/>
      <c r="G92" s="157" t="s">
        <v>127</v>
      </c>
      <c r="H92" s="29">
        <f>(((H89*H29)+H87)/(1-H76))*H76</f>
        <v>101.67425171440098</v>
      </c>
      <c r="I92" s="158"/>
      <c r="J92" s="158"/>
      <c r="K92" s="159"/>
      <c r="L92" s="55"/>
      <c r="M92" s="157" t="s">
        <v>127</v>
      </c>
      <c r="N92" s="29">
        <f>(N91/(1-N76))*N76</f>
        <v>101.33893505445745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8915.4730267581017</v>
      </c>
      <c r="C93" s="158"/>
      <c r="D93" s="158"/>
      <c r="E93" s="159"/>
      <c r="F93" s="55"/>
      <c r="G93" s="206" t="s">
        <v>128</v>
      </c>
      <c r="H93" s="57">
        <f>IF(H116="YES",((H91+H92)-K120),(H91+H92))</f>
        <v>16504.558251714399</v>
      </c>
      <c r="I93" s="158"/>
      <c r="J93" s="158"/>
      <c r="K93" s="159"/>
      <c r="L93" s="55"/>
      <c r="M93" s="206" t="s">
        <v>128</v>
      </c>
      <c r="N93" s="57">
        <f>IF(N116="YES",((N91+N92)-K120),(N91+N92))</f>
        <v>14064.158935054456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</f>
        <v>41.378999999999998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742.95608556317518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784.3350855631752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750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385</v>
      </c>
      <c r="B111" s="395">
        <v>30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750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742.95608556317518</v>
      </c>
      <c r="B134" s="232">
        <f>IF(A111="YES",B95,0)</f>
        <v>41.378999999999998</v>
      </c>
      <c r="C134" s="237"/>
      <c r="D134" s="232">
        <f>B97</f>
        <v>784.3350855631752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742.95608556317518</v>
      </c>
      <c r="C137" s="158"/>
      <c r="D137" s="34">
        <f>IF(A111="YES",B95*B63,0)</f>
        <v>41.378999999999998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784.3350855631752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742.95608556317518</v>
      </c>
      <c r="B143" s="34">
        <f>IF(A111="YES",B95,0)</f>
        <v>41.378999999999998</v>
      </c>
      <c r="C143" s="158"/>
      <c r="D143" s="34">
        <f>B97</f>
        <v>784.3350855631752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168.85833333333335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168.85833333333335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24.3156</v>
      </c>
      <c r="B146" s="251">
        <f>G18*0.000002*100</f>
        <v>8.1052</v>
      </c>
      <c r="C146" s="252"/>
      <c r="D146" s="251">
        <f>A146+B146</f>
        <v>32.4208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7.6392000000000007</v>
      </c>
      <c r="H148" s="34">
        <f>G108-100</f>
        <v>139.988</v>
      </c>
      <c r="I148" s="34"/>
      <c r="J148" s="34">
        <f>(H145+J145+G148+H148)-H151</f>
        <v>1396.4855333333335</v>
      </c>
      <c r="K148" s="90"/>
      <c r="L148" s="55"/>
      <c r="M148" s="94">
        <f>IF(M111="YES",((A41*N111)*0.1)*(M133),0)</f>
        <v>7.6392000000000007</v>
      </c>
      <c r="N148" s="34">
        <f>M108-100</f>
        <v>99.990000000000009</v>
      </c>
      <c r="O148" s="34"/>
      <c r="P148" s="34">
        <f>(N145+P145+M148+N148)-N151</f>
        <v>1356.4875333333334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750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11.4588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536.4588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784.3350855631752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742.95608556317518</v>
      </c>
      <c r="B177" s="232">
        <f>IF(A111="YES",B95,0)</f>
        <v>41.378999999999998</v>
      </c>
      <c r="C177" s="237"/>
      <c r="D177" s="232">
        <f>B91</f>
        <v>8840.5830533333337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742.95608556317518</v>
      </c>
      <c r="C180" s="158"/>
      <c r="D180" s="34">
        <f>IF(A111="YES",B95*B63,0)</f>
        <v>41.378999999999998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784.3350855631752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742.95608556317518</v>
      </c>
      <c r="B186" s="34">
        <f>IF(A111="YES",B95,0)</f>
        <v>41.378999999999998</v>
      </c>
      <c r="C186" s="158"/>
      <c r="D186" s="34">
        <f>B97</f>
        <v>784.3350855631752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24.3156</v>
      </c>
      <c r="B189" s="251">
        <f>G18*0.000002*100</f>
        <v>8.1052</v>
      </c>
      <c r="C189" s="252"/>
      <c r="D189" s="251">
        <f>A189+B189</f>
        <v>32.4208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750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IF(A111="YES",(A41/100*B111)*B131,0)*0.1</f>
        <v>11.4588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536.4588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1203.99972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579.58799999999997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1683.58772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1203.99972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1683.58772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114.58799999999999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74.889973424768058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275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B47:C47"/>
    <mergeCell ref="D47:E47"/>
    <mergeCell ref="A56:A57"/>
    <mergeCell ref="B56:C56"/>
    <mergeCell ref="B57:C57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B38 A111 G111 M111 O113 B116 H116 N116" xr:uid="{00000000-0002-0000-1100-000001000000}">
      <formula1>$Z$19:$Z$20</formula1>
      <formula2>0</formula2>
    </dataValidation>
    <dataValidation type="list" allowBlank="1" showErrorMessage="1" sqref="H105 N105" xr:uid="{00000000-0002-0000-1100-000002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1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1100-000003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P272"/>
  <sheetViews>
    <sheetView topLeftCell="A246" zoomScale="110" zoomScaleNormal="110" workbookViewId="0">
      <selection activeCell="F262" sqref="F262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91" t="s">
        <v>14</v>
      </c>
      <c r="B1" s="391"/>
      <c r="C1" s="391"/>
      <c r="D1" s="391"/>
      <c r="E1" s="391"/>
      <c r="F1" s="391"/>
      <c r="G1" s="86"/>
      <c r="H1" s="86"/>
      <c r="I1" s="5"/>
      <c r="J1" s="5"/>
    </row>
    <row r="2" spans="1:25" ht="2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286"/>
      <c r="H2" s="287"/>
      <c r="I2" s="5"/>
      <c r="J2" s="5"/>
    </row>
    <row r="3" spans="1:25">
      <c r="A3" s="191"/>
      <c r="B3" s="192"/>
      <c r="C3" s="192"/>
      <c r="D3" s="192"/>
      <c r="E3" s="192"/>
      <c r="F3" s="193" t="s">
        <v>10</v>
      </c>
      <c r="G3" s="288"/>
      <c r="H3" s="289"/>
      <c r="I3" s="5"/>
      <c r="J3" s="5"/>
    </row>
    <row r="4" spans="1:25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103"/>
      <c r="H4" s="105"/>
      <c r="I4" s="5"/>
      <c r="J4" s="5"/>
    </row>
    <row r="5" spans="1:25">
      <c r="A5" s="55"/>
      <c r="B5" s="55"/>
      <c r="C5" s="55"/>
      <c r="D5" s="55"/>
      <c r="E5" s="55"/>
      <c r="F5" s="55" t="s">
        <v>10</v>
      </c>
      <c r="G5" s="288"/>
      <c r="H5" s="29"/>
      <c r="I5" s="5"/>
      <c r="J5" s="5"/>
    </row>
    <row r="6" spans="1:25">
      <c r="A6" s="55"/>
      <c r="B6" s="55"/>
      <c r="C6" s="55"/>
      <c r="D6" s="55"/>
      <c r="E6" s="55"/>
      <c r="F6" s="55"/>
      <c r="G6" s="121"/>
      <c r="H6" s="29"/>
      <c r="I6" s="5"/>
      <c r="J6" s="5"/>
    </row>
    <row r="7" spans="1:25">
      <c r="A7" s="12" t="s">
        <v>19</v>
      </c>
      <c r="B7" s="12" t="s">
        <v>20</v>
      </c>
      <c r="C7" s="12" t="s">
        <v>16</v>
      </c>
      <c r="D7" s="392"/>
      <c r="E7" s="392"/>
      <c r="F7" s="55"/>
      <c r="G7" s="121"/>
      <c r="H7" s="29"/>
      <c r="I7" s="5"/>
      <c r="J7" s="5"/>
    </row>
    <row r="8" spans="1:25">
      <c r="A8" s="196"/>
      <c r="B8" s="55"/>
      <c r="C8" s="55"/>
      <c r="D8" s="392"/>
      <c r="E8" s="392"/>
      <c r="F8" s="55"/>
      <c r="G8" s="28"/>
      <c r="H8" s="29"/>
      <c r="I8" s="5"/>
      <c r="J8" s="5"/>
      <c r="L8" s="14" t="s">
        <v>17</v>
      </c>
      <c r="M8" s="11">
        <f>H13+H14</f>
        <v>0</v>
      </c>
    </row>
    <row r="9" spans="1:25" ht="2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109"/>
      <c r="H9" s="290"/>
      <c r="I9" s="5"/>
      <c r="J9" s="5"/>
      <c r="K9" s="4" t="s">
        <v>31</v>
      </c>
      <c r="L9" s="11"/>
      <c r="M9" s="11"/>
    </row>
    <row r="10" spans="1:25">
      <c r="A10" s="197"/>
      <c r="B10" s="55"/>
      <c r="C10" s="55"/>
      <c r="D10" s="392"/>
      <c r="E10" s="392"/>
      <c r="F10" s="55"/>
      <c r="G10" s="121"/>
      <c r="H10" s="289"/>
      <c r="I10" s="5"/>
      <c r="J10" s="5"/>
      <c r="K10" s="4" t="s">
        <v>32</v>
      </c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121"/>
      <c r="H11" s="29"/>
      <c r="I11" s="5"/>
      <c r="J11" s="5"/>
      <c r="L11" s="11"/>
      <c r="M11" s="11"/>
    </row>
    <row r="12" spans="1:25">
      <c r="A12" s="197"/>
      <c r="B12" s="55"/>
      <c r="C12" s="55"/>
      <c r="D12" s="392"/>
      <c r="E12" s="392"/>
      <c r="F12" s="55"/>
      <c r="G12" s="121"/>
      <c r="H12" s="289"/>
      <c r="I12" s="5"/>
      <c r="J12" s="5"/>
    </row>
    <row r="13" spans="1:25">
      <c r="A13" s="12" t="s">
        <v>23</v>
      </c>
      <c r="B13" s="15">
        <v>0</v>
      </c>
      <c r="C13" s="11"/>
      <c r="D13" s="392"/>
      <c r="E13" s="392"/>
      <c r="F13" s="55"/>
      <c r="G13" s="121"/>
      <c r="H13" s="289"/>
      <c r="I13" s="5"/>
      <c r="J13" s="5"/>
    </row>
    <row r="14" spans="1:25">
      <c r="A14" s="197"/>
      <c r="B14" s="55"/>
      <c r="C14" s="55"/>
      <c r="D14" s="392"/>
      <c r="E14" s="392"/>
      <c r="F14" s="55"/>
      <c r="G14" s="121"/>
      <c r="H14" s="289"/>
      <c r="I14" s="5"/>
      <c r="J14" s="5" t="s">
        <v>24</v>
      </c>
    </row>
    <row r="15" spans="1:25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21"/>
      <c r="H15" s="291"/>
      <c r="I15" s="5"/>
      <c r="J15" s="17">
        <f>H15</f>
        <v>0</v>
      </c>
    </row>
    <row r="16" spans="1:25">
      <c r="A16" s="393"/>
      <c r="B16" s="393"/>
      <c r="C16" s="393"/>
      <c r="D16" s="392"/>
      <c r="E16" s="392"/>
      <c r="F16" s="55"/>
      <c r="G16" s="121"/>
      <c r="H16" s="289"/>
      <c r="I16" s="5"/>
      <c r="J16" s="5"/>
      <c r="Y16" s="18" t="s">
        <v>26</v>
      </c>
    </row>
    <row r="17" spans="1:26">
      <c r="A17" s="393"/>
      <c r="B17" s="393"/>
      <c r="C17" s="393"/>
      <c r="D17" s="392"/>
      <c r="E17" s="392"/>
      <c r="F17" s="55"/>
      <c r="G17" s="34"/>
      <c r="H17" s="29"/>
      <c r="I17" s="5"/>
      <c r="J17" s="5" t="s">
        <v>27</v>
      </c>
      <c r="Y17" s="18" t="s">
        <v>28</v>
      </c>
    </row>
    <row r="18" spans="1:26">
      <c r="A18" s="393"/>
      <c r="B18" s="393"/>
      <c r="C18" s="393"/>
      <c r="D18" s="392"/>
      <c r="E18" s="392"/>
      <c r="F18" s="55"/>
      <c r="G18" s="35"/>
      <c r="H18" s="292"/>
      <c r="I18" s="5"/>
      <c r="J18" s="17">
        <v>40526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35"/>
      <c r="H19" s="292"/>
      <c r="I19" s="5"/>
      <c r="J19" s="5"/>
      <c r="Z19" s="5" t="s">
        <v>31</v>
      </c>
    </row>
    <row r="20" spans="1:26">
      <c r="A20" s="199"/>
      <c r="B20" s="55"/>
      <c r="C20" s="55"/>
      <c r="D20" s="55"/>
      <c r="E20" s="200"/>
      <c r="F20" s="55"/>
      <c r="G20" s="35"/>
      <c r="H20" s="292"/>
      <c r="I20" s="5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293"/>
      <c r="H21" s="294"/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354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>
      <c r="A26" s="32" t="s">
        <v>138</v>
      </c>
      <c r="B26" s="36" t="s">
        <v>386</v>
      </c>
      <c r="C26" s="28"/>
      <c r="D26" s="28"/>
      <c r="E26" s="28"/>
      <c r="F26" s="28"/>
      <c r="G26" s="28"/>
      <c r="H26" s="29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 ht="23.25">
      <c r="A28" s="335" t="s">
        <v>136</v>
      </c>
      <c r="B28" s="335"/>
      <c r="C28" s="335"/>
      <c r="D28" s="335"/>
      <c r="E28" s="335"/>
      <c r="F28" s="335"/>
      <c r="G28" s="335"/>
      <c r="H28" s="335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>
        <v>36</v>
      </c>
      <c r="I29" s="28"/>
      <c r="J29" s="25" t="s">
        <v>94</v>
      </c>
      <c r="K29" s="295">
        <v>35</v>
      </c>
    </row>
    <row r="30" spans="1:26">
      <c r="A30" s="27" t="s">
        <v>193</v>
      </c>
      <c r="B30" s="346" t="s">
        <v>387</v>
      </c>
      <c r="C30" s="346"/>
      <c r="D30" s="346"/>
      <c r="E30" s="28"/>
      <c r="F30" s="28"/>
      <c r="G30" s="28"/>
      <c r="H30" s="29">
        <v>10000</v>
      </c>
      <c r="I30" s="28"/>
      <c r="J30" s="25" t="s">
        <v>45</v>
      </c>
      <c r="K30" s="33">
        <v>35000</v>
      </c>
    </row>
    <row r="31" spans="1:26">
      <c r="A31" s="27"/>
      <c r="B31" s="28"/>
      <c r="C31" s="28"/>
      <c r="D31" s="28"/>
      <c r="E31" s="28"/>
      <c r="F31" s="28"/>
      <c r="G31" s="28"/>
      <c r="H31" s="29">
        <v>27500</v>
      </c>
      <c r="I31" s="28"/>
      <c r="J31" s="25" t="s">
        <v>48</v>
      </c>
      <c r="K31" s="37">
        <v>0</v>
      </c>
    </row>
    <row r="32" spans="1:26" ht="36">
      <c r="A32" s="27" t="s">
        <v>94</v>
      </c>
      <c r="B32" s="28" t="s">
        <v>95</v>
      </c>
      <c r="C32" s="28"/>
      <c r="D32" s="28"/>
      <c r="E32" s="28" t="s">
        <v>355</v>
      </c>
      <c r="F32" s="28"/>
      <c r="G32" s="28"/>
      <c r="H32" s="29"/>
      <c r="I32" s="5"/>
      <c r="J32" s="25" t="s">
        <v>49</v>
      </c>
      <c r="K32" s="37">
        <v>0</v>
      </c>
    </row>
    <row r="33" spans="1:16" ht="36">
      <c r="A33" s="134">
        <f>A52</f>
        <v>35</v>
      </c>
      <c r="B33" s="173">
        <f>B51</f>
        <v>35000</v>
      </c>
      <c r="C33" s="28"/>
      <c r="D33" s="28"/>
      <c r="E33" s="402">
        <f>K48</f>
        <v>450.67382589595121</v>
      </c>
      <c r="F33" s="402"/>
      <c r="G33" s="402"/>
      <c r="H33" s="42"/>
      <c r="I33" s="5"/>
      <c r="J33" s="30" t="s">
        <v>356</v>
      </c>
      <c r="K33" s="43">
        <f>E21</f>
        <v>14333.33</v>
      </c>
      <c r="L33" s="4">
        <f>H21-H11+(H16*20%)</f>
        <v>0</v>
      </c>
    </row>
    <row r="34" spans="1:16">
      <c r="A34" s="27"/>
      <c r="B34" s="28"/>
      <c r="C34" s="28"/>
      <c r="D34" s="28"/>
      <c r="E34" s="38"/>
      <c r="F34" s="38"/>
      <c r="G34" s="38"/>
      <c r="H34" s="42"/>
      <c r="I34" s="5"/>
      <c r="J34" s="5"/>
      <c r="K34" s="5"/>
    </row>
    <row r="35" spans="1:16">
      <c r="A35" s="27" t="s">
        <v>357</v>
      </c>
      <c r="B35" s="28" t="s">
        <v>358</v>
      </c>
      <c r="C35" s="28"/>
      <c r="E35" s="28" t="s">
        <v>359</v>
      </c>
      <c r="F35" s="38"/>
      <c r="G35" s="38"/>
      <c r="H35" s="42"/>
      <c r="I35" s="5"/>
      <c r="J35" s="45" t="s">
        <v>59</v>
      </c>
      <c r="K35" s="4">
        <v>6.5000000000000002E-2</v>
      </c>
    </row>
    <row r="36" spans="1:16">
      <c r="A36" s="138">
        <f>K47</f>
        <v>450.67382589595121</v>
      </c>
      <c r="B36" s="173" t="str">
        <f>IF(B26="YES",K42,"0.00")</f>
        <v>0.00</v>
      </c>
      <c r="C36" s="173"/>
      <c r="D36" s="173"/>
      <c r="E36" s="402">
        <f>K31</f>
        <v>0</v>
      </c>
      <c r="F36" s="402"/>
      <c r="G36" s="402"/>
      <c r="H36" s="42"/>
      <c r="I36" s="5"/>
      <c r="J36" s="5" t="s">
        <v>63</v>
      </c>
      <c r="K36" s="5">
        <f>K29</f>
        <v>35</v>
      </c>
    </row>
    <row r="37" spans="1:16">
      <c r="A37" s="94"/>
      <c r="B37" s="34"/>
      <c r="C37" s="38"/>
      <c r="D37" s="38"/>
      <c r="E37" s="38"/>
      <c r="F37" s="38"/>
      <c r="G37" s="38"/>
      <c r="H37" s="42"/>
      <c r="I37" s="5"/>
      <c r="J37" s="5"/>
      <c r="K37" s="5"/>
    </row>
    <row r="38" spans="1:16">
      <c r="A38" s="27"/>
      <c r="B38" s="28"/>
      <c r="C38" s="38"/>
      <c r="D38" s="38"/>
      <c r="E38" s="38"/>
      <c r="F38" s="38"/>
      <c r="G38" s="38"/>
      <c r="H38" s="42"/>
      <c r="J38" s="337" t="s">
        <v>65</v>
      </c>
      <c r="K38" s="337"/>
      <c r="L38" s="5">
        <v>42030.76</v>
      </c>
      <c r="N38" s="4">
        <f>80.88*36</f>
        <v>2911.68</v>
      </c>
    </row>
    <row r="39" spans="1:16">
      <c r="A39" s="27" t="s">
        <v>360</v>
      </c>
      <c r="B39" s="28" t="s">
        <v>361</v>
      </c>
      <c r="C39" s="28"/>
      <c r="E39" s="28" t="s">
        <v>362</v>
      </c>
      <c r="F39" s="38"/>
      <c r="G39" s="38"/>
      <c r="H39" s="42"/>
      <c r="J39" s="5" t="s">
        <v>96</v>
      </c>
      <c r="K39" s="5">
        <f>K33</f>
        <v>14333.33</v>
      </c>
      <c r="L39" s="5">
        <f>(L47*K46)+K44</f>
        <v>25443.376875069182</v>
      </c>
      <c r="N39" s="4">
        <f>K39-L39</f>
        <v>-11110.046875069182</v>
      </c>
    </row>
    <row r="40" spans="1:16">
      <c r="A40" s="92">
        <f>E36*A45/100</f>
        <v>0</v>
      </c>
      <c r="B40" s="348" t="str">
        <f>IF(B26="YES",K42,"0.00")</f>
        <v>0.00</v>
      </c>
      <c r="C40" s="348"/>
      <c r="D40" s="348"/>
      <c r="E40" s="137">
        <f>K32</f>
        <v>0</v>
      </c>
      <c r="F40" s="38"/>
      <c r="G40" s="38"/>
      <c r="H40" s="42"/>
      <c r="J40" s="5" t="s">
        <v>118</v>
      </c>
      <c r="K40" s="5">
        <f>(A40)/1.2</f>
        <v>0</v>
      </c>
      <c r="L40" s="5">
        <f>K39-L39</f>
        <v>-11110.046875069182</v>
      </c>
      <c r="N40" s="4">
        <f>N38-N39</f>
        <v>14021.726875069182</v>
      </c>
    </row>
    <row r="41" spans="1:16">
      <c r="A41" s="27"/>
      <c r="B41" s="28"/>
      <c r="C41" s="28"/>
      <c r="D41" s="28"/>
      <c r="E41" s="28"/>
      <c r="F41" s="38"/>
      <c r="G41" s="38"/>
      <c r="H41" s="42"/>
      <c r="J41" s="5" t="s">
        <v>363</v>
      </c>
      <c r="K41" s="5">
        <f>K35/12</f>
        <v>5.4166666666666669E-3</v>
      </c>
      <c r="L41" s="5"/>
    </row>
    <row r="42" spans="1:16">
      <c r="A42" s="49"/>
      <c r="B42" s="50"/>
      <c r="C42" s="50"/>
      <c r="D42" s="50"/>
      <c r="E42" s="50"/>
      <c r="F42" s="50"/>
      <c r="G42" s="51"/>
      <c r="H42" s="52"/>
      <c r="J42" s="5" t="s">
        <v>364</v>
      </c>
      <c r="K42" s="5">
        <f>(K32/K36)*C45/100</f>
        <v>0</v>
      </c>
      <c r="L42" s="5"/>
    </row>
    <row r="43" spans="1:16">
      <c r="A43" s="22"/>
      <c r="B43" s="23"/>
      <c r="C43" s="23"/>
      <c r="D43" s="23"/>
      <c r="E43" s="23"/>
      <c r="F43" s="23"/>
      <c r="G43" s="23"/>
      <c r="H43" s="24"/>
      <c r="J43" s="5" t="s">
        <v>365</v>
      </c>
      <c r="K43" s="5"/>
      <c r="L43" s="5"/>
    </row>
    <row r="44" spans="1:16">
      <c r="A44" s="53" t="s">
        <v>89</v>
      </c>
      <c r="B44" s="28"/>
      <c r="C44" s="28" t="s">
        <v>90</v>
      </c>
      <c r="D44" s="28"/>
      <c r="E44" s="28"/>
      <c r="F44" s="28"/>
      <c r="G44" s="28"/>
      <c r="H44" s="29"/>
      <c r="J44" s="5" t="s">
        <v>366</v>
      </c>
      <c r="K44" s="5">
        <f>(K40/(1+K41)^(K36+1))</f>
        <v>0</v>
      </c>
      <c r="L44" s="5"/>
    </row>
    <row r="45" spans="1:16">
      <c r="A45" s="54">
        <v>30</v>
      </c>
      <c r="B45" s="28"/>
      <c r="C45" s="339">
        <v>100</v>
      </c>
      <c r="D45" s="339"/>
      <c r="E45" s="339"/>
      <c r="F45" s="28"/>
      <c r="G45" s="28"/>
      <c r="H45" s="29"/>
      <c r="J45" s="5" t="s">
        <v>367</v>
      </c>
      <c r="K45" s="5">
        <f>(K39-K44)</f>
        <v>14333.33</v>
      </c>
      <c r="L45" s="5"/>
    </row>
    <row r="46" spans="1:16">
      <c r="A46" s="49"/>
      <c r="B46" s="50"/>
      <c r="C46" s="50"/>
      <c r="D46" s="50"/>
      <c r="E46" s="50"/>
      <c r="F46" s="50"/>
      <c r="G46" s="50"/>
      <c r="H46" s="57"/>
      <c r="J46" s="5" t="s">
        <v>368</v>
      </c>
      <c r="K46" s="5">
        <f>((1-(1/((1+K41)^K36)))/K41)</f>
        <v>31.804221093836478</v>
      </c>
      <c r="L46" s="5"/>
    </row>
    <row r="47" spans="1:16">
      <c r="A47" s="22"/>
      <c r="B47" s="23"/>
      <c r="C47" s="23"/>
      <c r="D47" s="23"/>
      <c r="E47" s="23"/>
      <c r="F47" s="23"/>
      <c r="G47" s="23"/>
      <c r="H47" s="24"/>
      <c r="J47" s="5" t="s">
        <v>369</v>
      </c>
      <c r="K47" s="5">
        <f>K45/K46</f>
        <v>450.67382589595121</v>
      </c>
      <c r="L47" s="5">
        <f>L49-K42</f>
        <v>800</v>
      </c>
      <c r="M47" s="4">
        <f>K47-L47</f>
        <v>-349.32617410404879</v>
      </c>
    </row>
    <row r="48" spans="1:16" ht="37.5">
      <c r="A48" s="58" t="s">
        <v>93</v>
      </c>
      <c r="B48" s="28"/>
      <c r="C48" s="28"/>
      <c r="D48" s="59"/>
      <c r="E48" s="59"/>
      <c r="F48" s="59"/>
      <c r="G48" s="59"/>
      <c r="H48" s="60"/>
      <c r="J48" s="48" t="s">
        <v>370</v>
      </c>
      <c r="K48" s="5">
        <f>IF(B26="YES",K47+K42,K47)</f>
        <v>450.67382589595121</v>
      </c>
      <c r="L48" s="5"/>
    </row>
    <row r="49" spans="1:35">
      <c r="A49" s="27"/>
      <c r="B49" s="61"/>
      <c r="C49" s="61"/>
      <c r="D49" s="28"/>
      <c r="E49" s="28"/>
      <c r="F49" s="28"/>
      <c r="G49" s="28"/>
      <c r="H49" s="29"/>
      <c r="J49" s="5" t="s">
        <v>371</v>
      </c>
      <c r="K49" s="5"/>
      <c r="L49" s="5">
        <v>800</v>
      </c>
    </row>
    <row r="50" spans="1:35" ht="21">
      <c r="A50" s="369" t="s">
        <v>94</v>
      </c>
      <c r="B50" s="341" t="s">
        <v>95</v>
      </c>
      <c r="C50" s="341"/>
      <c r="D50" s="341"/>
      <c r="E50" s="28"/>
      <c r="F50" s="28"/>
      <c r="G50" s="28"/>
      <c r="H50" s="29"/>
      <c r="I50" s="5"/>
      <c r="J50" s="5"/>
      <c r="K50" s="5"/>
    </row>
    <row r="51" spans="1:35" ht="19.5" customHeight="1">
      <c r="A51" s="369"/>
      <c r="B51" s="342">
        <f>K30</f>
        <v>35000</v>
      </c>
      <c r="C51" s="342"/>
      <c r="D51" s="342"/>
      <c r="E51" s="28"/>
      <c r="F51" s="28"/>
      <c r="G51" s="28"/>
      <c r="H51" s="29"/>
      <c r="I51" s="5"/>
      <c r="J51" s="5"/>
      <c r="K51" s="5"/>
    </row>
    <row r="52" spans="1:35">
      <c r="A52" s="62">
        <f>K29</f>
        <v>35</v>
      </c>
      <c r="B52" s="343">
        <f>K48</f>
        <v>450.67382589595121</v>
      </c>
      <c r="C52" s="343"/>
      <c r="D52" s="343"/>
      <c r="E52" s="28"/>
      <c r="F52" s="28"/>
      <c r="G52" s="28"/>
      <c r="H52" s="29"/>
      <c r="I52" s="5"/>
      <c r="J52" s="5"/>
      <c r="K52" s="5"/>
    </row>
    <row r="53" spans="1:35">
      <c r="A53" s="27"/>
      <c r="B53" s="28"/>
      <c r="C53" s="28"/>
      <c r="D53" s="28"/>
      <c r="E53" s="28"/>
      <c r="F53" s="28"/>
      <c r="G53" s="28"/>
      <c r="H53" s="29"/>
      <c r="I53" s="5"/>
      <c r="J53" s="5"/>
      <c r="K53" s="5"/>
    </row>
    <row r="54" spans="1:35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35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35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35">
      <c r="A57" s="22"/>
      <c r="B57" s="23"/>
      <c r="C57" s="23"/>
      <c r="D57" s="23"/>
      <c r="E57" s="63"/>
      <c r="F57" s="63"/>
      <c r="G57" s="63"/>
      <c r="H57" s="24"/>
      <c r="J57" s="22"/>
      <c r="K57" s="23"/>
      <c r="L57" s="23"/>
      <c r="M57" s="23"/>
      <c r="N57" s="63"/>
      <c r="O57" s="63"/>
      <c r="P57" s="63"/>
      <c r="Q57" s="24"/>
      <c r="S57" s="22"/>
      <c r="T57" s="23"/>
      <c r="U57" s="23"/>
      <c r="V57" s="23"/>
      <c r="W57" s="63"/>
      <c r="X57" s="63"/>
      <c r="Y57" s="63"/>
      <c r="Z57" s="24"/>
      <c r="AB57" s="22"/>
      <c r="AC57" s="23"/>
      <c r="AD57" s="23"/>
      <c r="AE57" s="23"/>
      <c r="AF57" s="63"/>
      <c r="AG57" s="63"/>
      <c r="AH57" s="63"/>
      <c r="AI57" s="24"/>
    </row>
    <row r="58" spans="1:35">
      <c r="A58" s="27" t="s">
        <v>96</v>
      </c>
      <c r="B58" s="28">
        <v>1</v>
      </c>
      <c r="C58" s="28"/>
      <c r="D58" s="28"/>
      <c r="E58" s="21"/>
      <c r="F58" s="21"/>
      <c r="G58" s="21"/>
      <c r="H58" s="29"/>
      <c r="J58" s="27" t="s">
        <v>96</v>
      </c>
      <c r="K58" s="28">
        <v>1</v>
      </c>
      <c r="L58" s="28"/>
      <c r="M58" s="28"/>
      <c r="N58" s="21"/>
      <c r="O58" s="21"/>
      <c r="P58" s="21"/>
      <c r="Q58" s="29"/>
      <c r="S58" s="27" t="s">
        <v>96</v>
      </c>
      <c r="T58" s="28">
        <v>1</v>
      </c>
      <c r="U58" s="28"/>
      <c r="V58" s="28"/>
      <c r="W58" s="21"/>
      <c r="X58" s="21"/>
      <c r="Y58" s="21"/>
      <c r="Z58" s="29"/>
      <c r="AB58" s="27" t="s">
        <v>96</v>
      </c>
      <c r="AC58" s="28">
        <v>1</v>
      </c>
      <c r="AD58" s="28"/>
      <c r="AE58" s="28"/>
      <c r="AF58" s="21"/>
      <c r="AG58" s="21"/>
      <c r="AH58" s="21"/>
      <c r="AI58" s="29"/>
    </row>
    <row r="59" spans="1:35">
      <c r="A59" s="27" t="s">
        <v>97</v>
      </c>
      <c r="B59" s="28">
        <f>K29-B58</f>
        <v>34</v>
      </c>
      <c r="C59" s="28"/>
      <c r="D59" s="28"/>
      <c r="E59" s="21"/>
      <c r="F59" s="21"/>
      <c r="G59" s="21"/>
      <c r="H59" s="29"/>
      <c r="J59" s="27" t="s">
        <v>97</v>
      </c>
      <c r="K59" s="28">
        <f>K29-K58</f>
        <v>34</v>
      </c>
      <c r="L59" s="28"/>
      <c r="M59" s="28"/>
      <c r="N59" s="21"/>
      <c r="O59" s="21"/>
      <c r="P59" s="21"/>
      <c r="Q59" s="29"/>
      <c r="S59" s="27" t="s">
        <v>97</v>
      </c>
      <c r="T59" s="28">
        <f>K29-T58</f>
        <v>34</v>
      </c>
      <c r="U59" s="28"/>
      <c r="V59" s="28"/>
      <c r="W59" s="21"/>
      <c r="X59" s="21"/>
      <c r="Y59" s="21"/>
      <c r="Z59" s="29"/>
      <c r="AB59" s="27" t="s">
        <v>97</v>
      </c>
      <c r="AC59" s="28">
        <f>K29-AC58</f>
        <v>34</v>
      </c>
      <c r="AD59" s="28"/>
      <c r="AE59" s="28"/>
      <c r="AF59" s="21"/>
      <c r="AG59" s="21"/>
      <c r="AH59" s="21"/>
      <c r="AI59" s="29"/>
    </row>
    <row r="60" spans="1:35">
      <c r="A60" s="64" t="s">
        <v>98</v>
      </c>
      <c r="B60" s="65">
        <v>10</v>
      </c>
      <c r="C60" s="28"/>
      <c r="D60" s="28"/>
      <c r="E60" s="21"/>
      <c r="F60" s="21"/>
      <c r="G60" s="21"/>
      <c r="H60" s="29"/>
      <c r="J60" s="64" t="s">
        <v>98</v>
      </c>
      <c r="K60" s="65">
        <v>20</v>
      </c>
      <c r="L60" s="28"/>
      <c r="M60" s="28"/>
      <c r="N60" s="21"/>
      <c r="O60" s="21"/>
      <c r="P60" s="21"/>
      <c r="Q60" s="29"/>
      <c r="S60" s="64" t="s">
        <v>98</v>
      </c>
      <c r="T60" s="65">
        <v>10</v>
      </c>
      <c r="U60" s="28"/>
      <c r="V60" s="28"/>
      <c r="W60" s="21"/>
      <c r="X60" s="21"/>
      <c r="Y60" s="21"/>
      <c r="Z60" s="29"/>
      <c r="AB60" s="64" t="s">
        <v>98</v>
      </c>
      <c r="AC60" s="65">
        <v>10</v>
      </c>
      <c r="AD60" s="28"/>
      <c r="AE60" s="28"/>
      <c r="AF60" s="21"/>
      <c r="AG60" s="21"/>
      <c r="AH60" s="21"/>
      <c r="AI60" s="29"/>
    </row>
    <row r="61" spans="1:35">
      <c r="A61" s="27" t="s">
        <v>27</v>
      </c>
      <c r="B61" s="28">
        <f>J18</f>
        <v>40526</v>
      </c>
      <c r="C61" s="28"/>
      <c r="D61" s="28"/>
      <c r="E61" s="21"/>
      <c r="F61" s="21"/>
      <c r="G61" s="21"/>
      <c r="H61" s="29"/>
      <c r="J61" s="27" t="s">
        <v>27</v>
      </c>
      <c r="K61" s="28">
        <f>J18</f>
        <v>40526</v>
      </c>
      <c r="L61" s="28"/>
      <c r="M61" s="28"/>
      <c r="N61" s="21"/>
      <c r="O61" s="21"/>
      <c r="P61" s="21"/>
      <c r="Q61" s="29"/>
      <c r="S61" s="27" t="s">
        <v>27</v>
      </c>
      <c r="T61" s="28">
        <f>J18</f>
        <v>40526</v>
      </c>
      <c r="U61" s="28"/>
      <c r="V61" s="28"/>
      <c r="W61" s="21"/>
      <c r="X61" s="21"/>
      <c r="Y61" s="21"/>
      <c r="Z61" s="29"/>
      <c r="AB61" s="27" t="s">
        <v>27</v>
      </c>
      <c r="AC61" s="28">
        <f>J18</f>
        <v>40526</v>
      </c>
      <c r="AD61" s="28"/>
      <c r="AE61" s="28"/>
      <c r="AF61" s="21"/>
      <c r="AG61" s="21"/>
      <c r="AH61" s="21"/>
      <c r="AI61" s="29"/>
    </row>
    <row r="62" spans="1:35">
      <c r="A62" s="66" t="s">
        <v>99</v>
      </c>
      <c r="B62" s="67">
        <v>0</v>
      </c>
      <c r="C62" s="28"/>
      <c r="D62" s="28"/>
      <c r="E62" s="21"/>
      <c r="F62" s="21"/>
      <c r="G62" s="21"/>
      <c r="H62" s="29"/>
      <c r="J62" s="66" t="s">
        <v>99</v>
      </c>
      <c r="K62" s="67">
        <v>0.06</v>
      </c>
      <c r="L62" s="28"/>
      <c r="M62" s="28"/>
      <c r="N62" s="21"/>
      <c r="O62" s="21"/>
      <c r="P62" s="21"/>
      <c r="Q62" s="29"/>
      <c r="S62" s="66" t="s">
        <v>99</v>
      </c>
      <c r="T62" s="67">
        <f>IF(AND(K29&gt;=12,K29&lt;=24),0.0105,IF(AND(K29&gt;=48),-0.0075,0))</f>
        <v>0</v>
      </c>
      <c r="U62" s="28"/>
      <c r="V62" s="28"/>
      <c r="W62" s="21"/>
      <c r="X62" s="21"/>
      <c r="Y62" s="21"/>
      <c r="Z62" s="29"/>
      <c r="AB62" s="66" t="s">
        <v>99</v>
      </c>
      <c r="AC62" s="67">
        <f>IF(AND(K29&gt;=12,K29&lt;=24),0.0105,IF(AND(K29&gt;=48),-0.0075,0))</f>
        <v>0</v>
      </c>
      <c r="AD62" s="28"/>
      <c r="AE62" s="28"/>
      <c r="AF62" s="21"/>
      <c r="AG62" s="21"/>
      <c r="AH62" s="21"/>
      <c r="AI62" s="29"/>
    </row>
    <row r="63" spans="1:35">
      <c r="A63" s="68" t="s">
        <v>100</v>
      </c>
      <c r="B63" s="69">
        <v>6.5000000000000002E-2</v>
      </c>
      <c r="C63" s="28"/>
      <c r="D63" s="28"/>
      <c r="E63" s="21"/>
      <c r="F63" s="21"/>
      <c r="G63" s="21"/>
      <c r="H63" s="29"/>
      <c r="J63" s="68" t="s">
        <v>100</v>
      </c>
      <c r="K63" s="69">
        <v>0.08</v>
      </c>
      <c r="L63" s="28"/>
      <c r="M63" s="28"/>
      <c r="N63" s="21"/>
      <c r="O63" s="21"/>
      <c r="P63" s="21"/>
      <c r="Q63" s="29"/>
      <c r="S63" s="68" t="s">
        <v>100</v>
      </c>
      <c r="T63" s="69">
        <v>5.8999999999999997E-2</v>
      </c>
      <c r="U63" s="28"/>
      <c r="V63" s="28"/>
      <c r="W63" s="21"/>
      <c r="X63" s="21"/>
      <c r="Y63" s="21"/>
      <c r="Z63" s="29"/>
      <c r="AB63" s="68" t="s">
        <v>100</v>
      </c>
      <c r="AC63" s="69">
        <v>5.8999999999999997E-2</v>
      </c>
      <c r="AD63" s="28"/>
      <c r="AE63" s="28"/>
      <c r="AF63" s="21"/>
      <c r="AG63" s="21"/>
      <c r="AH63" s="21"/>
      <c r="AI63" s="29"/>
    </row>
    <row r="64" spans="1:35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J64" s="70" t="s">
        <v>101</v>
      </c>
      <c r="K64" s="71">
        <v>0.1</v>
      </c>
      <c r="L64" s="28"/>
      <c r="M64" s="28"/>
      <c r="N64" s="21"/>
      <c r="O64" s="21"/>
      <c r="P64" s="21"/>
      <c r="Q64" s="29"/>
      <c r="S64" s="70" t="s">
        <v>101</v>
      </c>
      <c r="T64" s="71">
        <f>IF(T108=AP108,2.4%,7.2%)</f>
        <v>7.2000000000000008E-2</v>
      </c>
      <c r="U64" s="28"/>
      <c r="V64" s="28"/>
      <c r="W64" s="21"/>
      <c r="X64" s="21"/>
      <c r="Y64" s="21"/>
      <c r="Z64" s="29"/>
      <c r="AB64" s="70" t="s">
        <v>101</v>
      </c>
      <c r="AC64" s="71">
        <f>IF(AC108=AP108,2.4%,7.2%)</f>
        <v>7.2000000000000008E-2</v>
      </c>
      <c r="AD64" s="28"/>
      <c r="AE64" s="28"/>
      <c r="AF64" s="21"/>
      <c r="AG64" s="21"/>
      <c r="AH64" s="21"/>
      <c r="AI64" s="29"/>
    </row>
    <row r="65" spans="1:35">
      <c r="A65" s="49" t="s">
        <v>102</v>
      </c>
      <c r="B65" s="57">
        <f>(B89*B59)-(K47*K29)</f>
        <v>6715.0315888389541</v>
      </c>
      <c r="C65" s="28"/>
      <c r="D65" s="28"/>
      <c r="E65" s="21"/>
      <c r="F65" s="21"/>
      <c r="G65" s="21"/>
      <c r="H65" s="29"/>
      <c r="J65" s="49" t="s">
        <v>102</v>
      </c>
      <c r="K65" s="57" t="e">
        <f>(K89*K59)-(K47*K29)</f>
        <v>#VALUE!</v>
      </c>
      <c r="L65" s="28"/>
      <c r="M65" s="28"/>
      <c r="N65" s="21"/>
      <c r="O65" s="21"/>
      <c r="P65" s="21"/>
      <c r="Q65" s="29"/>
      <c r="S65" s="49" t="s">
        <v>102</v>
      </c>
      <c r="T65" s="57" t="e">
        <f>(T89*T59)-(K47*K29)</f>
        <v>#VALUE!</v>
      </c>
      <c r="U65" s="28"/>
      <c r="V65" s="28"/>
      <c r="W65" s="21"/>
      <c r="X65" s="21"/>
      <c r="Y65" s="21"/>
      <c r="Z65" s="29"/>
      <c r="AB65" s="49" t="s">
        <v>102</v>
      </c>
      <c r="AC65" s="57" t="e">
        <f>(AC89*AC59)-(K47*K29)</f>
        <v>#VALUE!</v>
      </c>
      <c r="AD65" s="28"/>
      <c r="AE65" s="28"/>
      <c r="AF65" s="21"/>
      <c r="AG65" s="21"/>
      <c r="AH65" s="21"/>
      <c r="AI65" s="29"/>
    </row>
    <row r="66" spans="1:35">
      <c r="A66" s="66" t="s">
        <v>103</v>
      </c>
      <c r="B66" s="67">
        <v>0.03</v>
      </c>
      <c r="C66" s="28"/>
      <c r="D66" s="28"/>
      <c r="E66" s="21"/>
      <c r="F66" s="21"/>
      <c r="G66" s="21"/>
      <c r="H66" s="29"/>
      <c r="J66" s="66" t="s">
        <v>103</v>
      </c>
      <c r="K66" s="67">
        <v>0.05</v>
      </c>
      <c r="L66" s="28"/>
      <c r="M66" s="28"/>
      <c r="N66" s="21"/>
      <c r="O66" s="21"/>
      <c r="P66" s="21"/>
      <c r="Q66" s="29"/>
      <c r="S66" s="66" t="s">
        <v>103</v>
      </c>
      <c r="T66" s="67">
        <v>5.0000000000000001E-3</v>
      </c>
      <c r="U66" s="28"/>
      <c r="V66" s="28"/>
      <c r="W66" s="21"/>
      <c r="X66" s="21"/>
      <c r="Y66" s="21"/>
      <c r="Z66" s="29"/>
      <c r="AB66" s="66" t="s">
        <v>103</v>
      </c>
      <c r="AC66" s="67">
        <v>5.0000000000000001E-3</v>
      </c>
      <c r="AD66" s="28"/>
      <c r="AE66" s="28"/>
      <c r="AF66" s="21"/>
      <c r="AG66" s="21"/>
      <c r="AH66" s="21"/>
      <c r="AI66" s="29"/>
    </row>
    <row r="67" spans="1:35">
      <c r="A67" s="27"/>
      <c r="B67" s="72">
        <f>B66</f>
        <v>0.03</v>
      </c>
      <c r="C67" s="28"/>
      <c r="D67" s="28"/>
      <c r="E67" s="21"/>
      <c r="F67" s="21"/>
      <c r="G67" s="21"/>
      <c r="H67" s="29"/>
      <c r="J67" s="27" t="s">
        <v>104</v>
      </c>
      <c r="K67" s="72">
        <f>K66+(K66*0.25*(K29/12-1))</f>
        <v>7.3958333333333334E-2</v>
      </c>
      <c r="L67" s="28"/>
      <c r="M67" s="28"/>
      <c r="N67" s="21"/>
      <c r="O67" s="21"/>
      <c r="P67" s="21"/>
      <c r="Q67" s="29"/>
      <c r="S67" s="27" t="s">
        <v>104</v>
      </c>
      <c r="T67" s="72">
        <f>T66+(T66*0.5*(K29/12-1))</f>
        <v>9.7916666666666673E-3</v>
      </c>
      <c r="U67" s="28"/>
      <c r="V67" s="28"/>
      <c r="W67" s="21"/>
      <c r="X67" s="21"/>
      <c r="Y67" s="21"/>
      <c r="Z67" s="29"/>
      <c r="AB67" s="27" t="s">
        <v>104</v>
      </c>
      <c r="AC67" s="72">
        <f>AC66+(AC66*0.5*(K29/12-1))</f>
        <v>9.7916666666666673E-3</v>
      </c>
      <c r="AD67" s="28"/>
      <c r="AE67" s="28"/>
      <c r="AF67" s="21"/>
      <c r="AG67" s="21"/>
      <c r="AH67" s="21"/>
      <c r="AI67" s="29"/>
    </row>
    <row r="68" spans="1:35">
      <c r="A68" s="49" t="s">
        <v>105</v>
      </c>
      <c r="B68" s="57">
        <f>(G158*B67)</f>
        <v>573.44999999999993</v>
      </c>
      <c r="C68" s="28"/>
      <c r="D68" s="28"/>
      <c r="E68" s="21"/>
      <c r="F68" s="21"/>
      <c r="G68" s="21"/>
      <c r="H68" s="29"/>
      <c r="J68" s="49" t="s">
        <v>105</v>
      </c>
      <c r="K68" s="57">
        <f>K61*K67</f>
        <v>2997.2354166666669</v>
      </c>
      <c r="L68" s="28"/>
      <c r="M68" s="28"/>
      <c r="N68" s="21"/>
      <c r="O68" s="21"/>
      <c r="P68" s="21"/>
      <c r="Q68" s="29"/>
      <c r="S68" s="49" t="s">
        <v>105</v>
      </c>
      <c r="T68" s="57">
        <f>T61*T67</f>
        <v>396.81708333333336</v>
      </c>
      <c r="U68" s="28"/>
      <c r="V68" s="28"/>
      <c r="W68" s="21"/>
      <c r="X68" s="21"/>
      <c r="Y68" s="21"/>
      <c r="Z68" s="29"/>
      <c r="AB68" s="49" t="s">
        <v>105</v>
      </c>
      <c r="AC68" s="57" t="e">
        <f>AH158*AC67</f>
        <v>#VALUE!</v>
      </c>
      <c r="AD68" s="28"/>
      <c r="AE68" s="28"/>
      <c r="AF68" s="21"/>
      <c r="AG68" s="21"/>
      <c r="AH68" s="21"/>
      <c r="AI68" s="29"/>
    </row>
    <row r="69" spans="1:35">
      <c r="A69" s="66" t="s">
        <v>106</v>
      </c>
      <c r="B69" s="67">
        <v>0</v>
      </c>
      <c r="C69" s="28"/>
      <c r="D69" s="28"/>
      <c r="E69" s="21"/>
      <c r="F69" s="21"/>
      <c r="G69" s="21"/>
      <c r="H69" s="29"/>
      <c r="J69" s="66" t="s">
        <v>106</v>
      </c>
      <c r="K69" s="67">
        <v>0</v>
      </c>
      <c r="L69" s="28"/>
      <c r="M69" s="28"/>
      <c r="N69" s="21"/>
      <c r="O69" s="21"/>
      <c r="P69" s="21"/>
      <c r="Q69" s="29"/>
      <c r="S69" s="66" t="s">
        <v>106</v>
      </c>
      <c r="T69" s="67">
        <v>0</v>
      </c>
      <c r="U69" s="28"/>
      <c r="V69" s="28"/>
      <c r="W69" s="21"/>
      <c r="X69" s="21"/>
      <c r="Y69" s="21"/>
      <c r="Z69" s="29"/>
      <c r="AB69" s="66" t="s">
        <v>106</v>
      </c>
      <c r="AC69" s="67">
        <v>0</v>
      </c>
      <c r="AD69" s="28"/>
      <c r="AE69" s="28"/>
      <c r="AF69" s="21"/>
      <c r="AG69" s="21"/>
      <c r="AH69" s="21"/>
      <c r="AI69" s="29"/>
    </row>
    <row r="70" spans="1:35">
      <c r="A70" s="68" t="s">
        <v>107</v>
      </c>
      <c r="B70" s="69">
        <v>0</v>
      </c>
      <c r="C70" s="28"/>
      <c r="D70" s="28"/>
      <c r="E70" s="21"/>
      <c r="F70" s="21"/>
      <c r="G70" s="21"/>
      <c r="H70" s="29"/>
      <c r="J70" s="68" t="s">
        <v>107</v>
      </c>
      <c r="K70" s="69">
        <v>0</v>
      </c>
      <c r="L70" s="28"/>
      <c r="M70" s="28"/>
      <c r="N70" s="21"/>
      <c r="O70" s="21"/>
      <c r="P70" s="21"/>
      <c r="Q70" s="29"/>
      <c r="S70" s="68" t="s">
        <v>107</v>
      </c>
      <c r="T70" s="69">
        <v>0</v>
      </c>
      <c r="U70" s="28"/>
      <c r="V70" s="28"/>
      <c r="W70" s="21"/>
      <c r="X70" s="21"/>
      <c r="Y70" s="21"/>
      <c r="Z70" s="29"/>
      <c r="AB70" s="68" t="s">
        <v>107</v>
      </c>
      <c r="AC70" s="69">
        <v>0</v>
      </c>
      <c r="AD70" s="28"/>
      <c r="AE70" s="28"/>
      <c r="AF70" s="21"/>
      <c r="AG70" s="21"/>
      <c r="AH70" s="21"/>
      <c r="AI70" s="29"/>
    </row>
    <row r="71" spans="1:35">
      <c r="A71" s="49" t="s">
        <v>108</v>
      </c>
      <c r="B71" s="73">
        <f>B69*(1+B70)</f>
        <v>0</v>
      </c>
      <c r="C71" s="28"/>
      <c r="D71" s="28"/>
      <c r="E71" s="21"/>
      <c r="F71" s="21"/>
      <c r="G71" s="21"/>
      <c r="H71" s="29"/>
      <c r="J71" s="49" t="s">
        <v>108</v>
      </c>
      <c r="K71" s="73">
        <f>K69*(1+K70)</f>
        <v>0</v>
      </c>
      <c r="L71" s="28"/>
      <c r="M71" s="28"/>
      <c r="N71" s="21"/>
      <c r="O71" s="21"/>
      <c r="P71" s="21"/>
      <c r="Q71" s="29"/>
      <c r="S71" s="49" t="s">
        <v>108</v>
      </c>
      <c r="T71" s="73">
        <f>T69*(1+T70)</f>
        <v>0</v>
      </c>
      <c r="U71" s="28"/>
      <c r="V71" s="28"/>
      <c r="W71" s="21"/>
      <c r="X71" s="21"/>
      <c r="Y71" s="21"/>
      <c r="Z71" s="29"/>
      <c r="AB71" s="49" t="s">
        <v>108</v>
      </c>
      <c r="AC71" s="73">
        <f>AC69*(1+AC70)</f>
        <v>0</v>
      </c>
      <c r="AD71" s="28"/>
      <c r="AE71" s="28"/>
      <c r="AF71" s="21"/>
      <c r="AG71" s="21"/>
      <c r="AH71" s="21"/>
      <c r="AI71" s="29"/>
    </row>
    <row r="72" spans="1:35">
      <c r="A72" s="66" t="s">
        <v>109</v>
      </c>
      <c r="B72" s="74">
        <v>0</v>
      </c>
      <c r="C72" s="28"/>
      <c r="D72" s="28"/>
      <c r="E72" s="21"/>
      <c r="F72" s="21"/>
      <c r="G72" s="21"/>
      <c r="H72" s="29"/>
      <c r="J72" s="66" t="s">
        <v>109</v>
      </c>
      <c r="K72" s="74">
        <v>0</v>
      </c>
      <c r="L72" s="28"/>
      <c r="M72" s="28"/>
      <c r="N72" s="21"/>
      <c r="O72" s="21"/>
      <c r="P72" s="21"/>
      <c r="Q72" s="29"/>
      <c r="S72" s="66" t="s">
        <v>109</v>
      </c>
      <c r="T72" s="74">
        <v>0</v>
      </c>
      <c r="U72" s="28"/>
      <c r="V72" s="28"/>
      <c r="W72" s="21"/>
      <c r="X72" s="21"/>
      <c r="Y72" s="21"/>
      <c r="Z72" s="29"/>
      <c r="AB72" s="66" t="s">
        <v>109</v>
      </c>
      <c r="AC72" s="74">
        <v>0</v>
      </c>
      <c r="AD72" s="28"/>
      <c r="AE72" s="28"/>
      <c r="AF72" s="21"/>
      <c r="AG72" s="21"/>
      <c r="AH72" s="21"/>
      <c r="AI72" s="29"/>
    </row>
    <row r="73" spans="1:35">
      <c r="A73" s="68" t="s">
        <v>110</v>
      </c>
      <c r="B73" s="65">
        <v>0</v>
      </c>
      <c r="C73" s="28"/>
      <c r="D73" s="28"/>
      <c r="E73" s="21"/>
      <c r="F73" s="21"/>
      <c r="G73" s="21"/>
      <c r="H73" s="29"/>
      <c r="J73" s="68" t="s">
        <v>110</v>
      </c>
      <c r="K73" s="65">
        <v>0</v>
      </c>
      <c r="L73" s="28"/>
      <c r="M73" s="28"/>
      <c r="N73" s="21"/>
      <c r="O73" s="21"/>
      <c r="P73" s="21"/>
      <c r="Q73" s="29"/>
      <c r="S73" s="68" t="s">
        <v>110</v>
      </c>
      <c r="T73" s="65">
        <v>0</v>
      </c>
      <c r="U73" s="28"/>
      <c r="V73" s="28"/>
      <c r="W73" s="21"/>
      <c r="X73" s="21"/>
      <c r="Y73" s="21"/>
      <c r="Z73" s="29"/>
      <c r="AB73" s="68" t="s">
        <v>110</v>
      </c>
      <c r="AC73" s="65">
        <v>0</v>
      </c>
      <c r="AD73" s="28"/>
      <c r="AE73" s="28"/>
      <c r="AF73" s="21"/>
      <c r="AG73" s="21"/>
      <c r="AH73" s="21"/>
      <c r="AI73" s="29"/>
    </row>
    <row r="74" spans="1:35">
      <c r="A74" s="49" t="s">
        <v>111</v>
      </c>
      <c r="B74" s="57">
        <f>B73*K29</f>
        <v>0</v>
      </c>
      <c r="C74" s="28"/>
      <c r="D74" s="28">
        <f>B74+B72</f>
        <v>0</v>
      </c>
      <c r="E74" s="21"/>
      <c r="F74" s="21"/>
      <c r="G74" s="21"/>
      <c r="H74" s="29"/>
      <c r="J74" s="49" t="s">
        <v>111</v>
      </c>
      <c r="K74" s="57">
        <f>K73*K29</f>
        <v>0</v>
      </c>
      <c r="L74" s="28"/>
      <c r="M74" s="28">
        <f>K74+K72</f>
        <v>0</v>
      </c>
      <c r="N74" s="21"/>
      <c r="O74" s="21"/>
      <c r="P74" s="21"/>
      <c r="Q74" s="29"/>
      <c r="S74" s="49" t="s">
        <v>111</v>
      </c>
      <c r="T74" s="57">
        <f>T73*K29</f>
        <v>0</v>
      </c>
      <c r="U74" s="28"/>
      <c r="V74" s="28">
        <f>T74+T72</f>
        <v>0</v>
      </c>
      <c r="W74" s="21"/>
      <c r="X74" s="21"/>
      <c r="Y74" s="21"/>
      <c r="Z74" s="29"/>
      <c r="AB74" s="49" t="s">
        <v>111</v>
      </c>
      <c r="AC74" s="57">
        <f>AC73*K29</f>
        <v>0</v>
      </c>
      <c r="AD74" s="28"/>
      <c r="AE74" s="28">
        <f>AC74+AC72</f>
        <v>0</v>
      </c>
      <c r="AF74" s="21"/>
      <c r="AG74" s="21"/>
      <c r="AH74" s="21"/>
      <c r="AI74" s="29"/>
    </row>
    <row r="75" spans="1:35">
      <c r="A75" s="68" t="s">
        <v>112</v>
      </c>
      <c r="B75" s="65">
        <v>0</v>
      </c>
      <c r="C75" s="28"/>
      <c r="D75" s="28">
        <f>B75</f>
        <v>0</v>
      </c>
      <c r="E75" s="21"/>
      <c r="F75" s="21"/>
      <c r="G75" s="21"/>
      <c r="H75" s="29"/>
      <c r="J75" s="68" t="s">
        <v>112</v>
      </c>
      <c r="K75" s="65">
        <v>0</v>
      </c>
      <c r="L75" s="28"/>
      <c r="M75" s="28">
        <f>K75</f>
        <v>0</v>
      </c>
      <c r="N75" s="21"/>
      <c r="O75" s="21"/>
      <c r="P75" s="21"/>
      <c r="Q75" s="29"/>
      <c r="S75" s="68" t="s">
        <v>112</v>
      </c>
      <c r="T75" s="65">
        <v>0</v>
      </c>
      <c r="U75" s="28"/>
      <c r="V75" s="28">
        <f>T75</f>
        <v>0</v>
      </c>
      <c r="W75" s="21"/>
      <c r="X75" s="21"/>
      <c r="Y75" s="21"/>
      <c r="Z75" s="29"/>
      <c r="AB75" s="68" t="s">
        <v>112</v>
      </c>
      <c r="AC75" s="65">
        <v>0</v>
      </c>
      <c r="AD75" s="28"/>
      <c r="AE75" s="28">
        <f>AC75</f>
        <v>0</v>
      </c>
      <c r="AF75" s="21"/>
      <c r="AG75" s="21"/>
      <c r="AH75" s="21"/>
      <c r="AI75" s="29"/>
    </row>
    <row r="76" spans="1:35">
      <c r="A76" s="70" t="s">
        <v>113</v>
      </c>
      <c r="B76" s="75">
        <v>0</v>
      </c>
      <c r="C76" s="28"/>
      <c r="D76" s="28">
        <f>B76</f>
        <v>0</v>
      </c>
      <c r="E76" s="21"/>
      <c r="F76" s="28"/>
      <c r="G76" s="21"/>
      <c r="H76" s="29"/>
      <c r="J76" s="70" t="s">
        <v>113</v>
      </c>
      <c r="K76" s="75">
        <v>0</v>
      </c>
      <c r="L76" s="28"/>
      <c r="M76" s="28">
        <f>K76</f>
        <v>0</v>
      </c>
      <c r="N76" s="21"/>
      <c r="O76" s="21"/>
      <c r="P76" s="21"/>
      <c r="Q76" s="29"/>
      <c r="S76" s="70" t="s">
        <v>113</v>
      </c>
      <c r="T76" s="75">
        <v>0</v>
      </c>
      <c r="U76" s="28"/>
      <c r="V76" s="28">
        <f>T76</f>
        <v>0</v>
      </c>
      <c r="W76" s="21"/>
      <c r="X76" s="21"/>
      <c r="Y76" s="21"/>
      <c r="Z76" s="29"/>
      <c r="AB76" s="70" t="s">
        <v>113</v>
      </c>
      <c r="AC76" s="75">
        <v>0</v>
      </c>
      <c r="AD76" s="28"/>
      <c r="AE76" s="28">
        <f>AC76</f>
        <v>0</v>
      </c>
      <c r="AF76" s="21"/>
      <c r="AG76" s="21"/>
      <c r="AH76" s="21"/>
      <c r="AI76" s="29"/>
    </row>
    <row r="77" spans="1:35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  <c r="J77" s="76" t="s">
        <v>114</v>
      </c>
      <c r="K77" s="77">
        <f>SUM(M65:M76)</f>
        <v>0</v>
      </c>
      <c r="L77" s="28"/>
      <c r="M77" s="28"/>
      <c r="N77" s="21"/>
      <c r="O77" s="21"/>
      <c r="P77" s="21"/>
      <c r="Q77" s="29"/>
      <c r="S77" s="76" t="s">
        <v>114</v>
      </c>
      <c r="T77" s="77">
        <f>SUM(V65:V76)</f>
        <v>0</v>
      </c>
      <c r="U77" s="28"/>
      <c r="V77" s="28"/>
      <c r="W77" s="21"/>
      <c r="X77" s="21"/>
      <c r="Y77" s="21"/>
      <c r="Z77" s="29"/>
      <c r="AB77" s="76" t="s">
        <v>114</v>
      </c>
      <c r="AC77" s="77">
        <f>SUM(AE65:AE76)</f>
        <v>0</v>
      </c>
      <c r="AD77" s="28"/>
      <c r="AE77" s="28"/>
      <c r="AF77" s="21"/>
      <c r="AG77" s="21"/>
      <c r="AH77" s="21"/>
      <c r="AI77" s="29"/>
    </row>
    <row r="78" spans="1:35">
      <c r="A78" s="27" t="s">
        <v>115</v>
      </c>
      <c r="B78" s="29">
        <f>B77/K29</f>
        <v>0</v>
      </c>
      <c r="C78" s="28"/>
      <c r="D78" s="28"/>
      <c r="E78" s="21"/>
      <c r="F78" s="21"/>
      <c r="G78" s="21"/>
      <c r="H78" s="29"/>
      <c r="J78" s="27" t="s">
        <v>115</v>
      </c>
      <c r="K78" s="29">
        <f>K77/K29</f>
        <v>0</v>
      </c>
      <c r="L78" s="28"/>
      <c r="M78" s="28"/>
      <c r="N78" s="21"/>
      <c r="O78" s="21"/>
      <c r="P78" s="21"/>
      <c r="Q78" s="29"/>
      <c r="S78" s="27" t="s">
        <v>115</v>
      </c>
      <c r="T78" s="29">
        <f>T77/K29</f>
        <v>0</v>
      </c>
      <c r="U78" s="28"/>
      <c r="V78" s="28"/>
      <c r="W78" s="21"/>
      <c r="X78" s="21"/>
      <c r="Y78" s="21"/>
      <c r="Z78" s="29"/>
      <c r="AB78" s="27" t="s">
        <v>115</v>
      </c>
      <c r="AC78" s="29">
        <f>AC77/K29</f>
        <v>0</v>
      </c>
      <c r="AD78" s="28"/>
      <c r="AE78" s="28"/>
      <c r="AF78" s="21"/>
      <c r="AG78" s="21"/>
      <c r="AH78" s="21"/>
      <c r="AI78" s="29"/>
    </row>
    <row r="79" spans="1:35">
      <c r="A79" s="78" t="s">
        <v>116</v>
      </c>
      <c r="B79" s="52">
        <f>K47</f>
        <v>450.67382589595121</v>
      </c>
      <c r="C79" s="28"/>
      <c r="D79" s="28"/>
      <c r="E79" s="21"/>
      <c r="F79" s="21"/>
      <c r="G79" s="21"/>
      <c r="H79" s="29"/>
      <c r="J79" s="78" t="s">
        <v>116</v>
      </c>
      <c r="K79" s="52">
        <f>K47</f>
        <v>450.67382589595121</v>
      </c>
      <c r="L79" s="28"/>
      <c r="M79" s="28"/>
      <c r="N79" s="21"/>
      <c r="O79" s="21"/>
      <c r="P79" s="21"/>
      <c r="Q79" s="29"/>
      <c r="S79" s="78" t="s">
        <v>116</v>
      </c>
      <c r="T79" s="52">
        <f>B52</f>
        <v>450.67382589595121</v>
      </c>
      <c r="U79" s="28"/>
      <c r="V79" s="28"/>
      <c r="W79" s="21"/>
      <c r="X79" s="21"/>
      <c r="Y79" s="21"/>
      <c r="Z79" s="29"/>
      <c r="AB79" s="78" t="s">
        <v>116</v>
      </c>
      <c r="AC79" s="52">
        <f>B52</f>
        <v>450.67382589595121</v>
      </c>
      <c r="AD79" s="28"/>
      <c r="AE79" s="28"/>
      <c r="AF79" s="21"/>
      <c r="AG79" s="21"/>
      <c r="AH79" s="21"/>
      <c r="AI79" s="29"/>
    </row>
    <row r="80" spans="1:35">
      <c r="A80" s="27"/>
      <c r="B80" s="28"/>
      <c r="C80" s="28"/>
      <c r="D80" s="28"/>
      <c r="E80" s="21"/>
      <c r="F80" s="21"/>
      <c r="G80" s="21"/>
      <c r="H80" s="29"/>
      <c r="J80" s="27"/>
      <c r="K80" s="28"/>
      <c r="L80" s="28"/>
      <c r="M80" s="28"/>
      <c r="N80" s="21"/>
      <c r="O80" s="21"/>
      <c r="P80" s="21"/>
      <c r="Q80" s="29"/>
      <c r="S80" s="27"/>
      <c r="T80" s="28"/>
      <c r="U80" s="28"/>
      <c r="V80" s="28"/>
      <c r="W80" s="21"/>
      <c r="X80" s="21"/>
      <c r="Y80" s="21"/>
      <c r="Z80" s="29"/>
      <c r="AB80" s="27"/>
      <c r="AC80" s="28"/>
      <c r="AD80" s="28"/>
      <c r="AE80" s="28"/>
      <c r="AF80" s="21"/>
      <c r="AG80" s="21"/>
      <c r="AH80" s="21"/>
      <c r="AI80" s="29"/>
    </row>
    <row r="81" spans="1:35">
      <c r="A81" s="22" t="s">
        <v>117</v>
      </c>
      <c r="B81" s="24">
        <f>G158</f>
        <v>19115</v>
      </c>
      <c r="C81" s="28"/>
      <c r="D81" s="28"/>
      <c r="E81" s="21"/>
      <c r="F81" s="22" t="s">
        <v>117</v>
      </c>
      <c r="G81" s="24">
        <f>G158</f>
        <v>19115</v>
      </c>
      <c r="H81" s="29"/>
      <c r="J81" s="22" t="s">
        <v>117</v>
      </c>
      <c r="K81" s="24" t="e">
        <f>P158</f>
        <v>#VALUE!</v>
      </c>
      <c r="L81" s="28"/>
      <c r="M81" s="28"/>
      <c r="N81" s="21"/>
      <c r="O81" s="21"/>
      <c r="P81" s="21"/>
      <c r="Q81" s="29"/>
      <c r="S81" s="22" t="s">
        <v>117</v>
      </c>
      <c r="T81" s="24" t="e">
        <f>Y158</f>
        <v>#VALUE!</v>
      </c>
      <c r="U81" s="28"/>
      <c r="V81" s="28"/>
      <c r="W81" s="21"/>
      <c r="X81" s="21"/>
      <c r="Y81" s="21"/>
      <c r="Z81" s="29"/>
      <c r="AB81" s="22" t="s">
        <v>117</v>
      </c>
      <c r="AC81" s="24" t="e">
        <f>AH158</f>
        <v>#VALUE!</v>
      </c>
      <c r="AD81" s="28"/>
      <c r="AE81" s="28"/>
      <c r="AF81" s="21"/>
      <c r="AG81" s="21"/>
      <c r="AH81" s="21"/>
      <c r="AI81" s="29"/>
    </row>
    <row r="82" spans="1:35">
      <c r="A82" s="27" t="s">
        <v>118</v>
      </c>
      <c r="B82" s="29">
        <f>IF(A111="YES",A40,0)</f>
        <v>0</v>
      </c>
      <c r="C82" s="28"/>
      <c r="D82" s="28"/>
      <c r="E82" s="21"/>
      <c r="F82" s="27" t="s">
        <v>118</v>
      </c>
      <c r="G82" s="29">
        <f>IF(A111="YES",A40,0)</f>
        <v>0</v>
      </c>
      <c r="H82" s="29"/>
      <c r="J82" s="27" t="s">
        <v>118</v>
      </c>
      <c r="K82" s="29">
        <f>IF(J111="YES",A40,0)</f>
        <v>0</v>
      </c>
      <c r="L82" s="28"/>
      <c r="M82" s="28"/>
      <c r="N82" s="21"/>
      <c r="O82" s="21"/>
      <c r="P82" s="21"/>
      <c r="Q82" s="29"/>
      <c r="S82" s="27" t="s">
        <v>118</v>
      </c>
      <c r="T82" s="29">
        <f>A40</f>
        <v>0</v>
      </c>
      <c r="U82" s="28"/>
      <c r="V82" s="28"/>
      <c r="W82" s="21"/>
      <c r="X82" s="21"/>
      <c r="Y82" s="21"/>
      <c r="Z82" s="29"/>
      <c r="AB82" s="27" t="s">
        <v>118</v>
      </c>
      <c r="AC82" s="29">
        <f>A40</f>
        <v>0</v>
      </c>
      <c r="AD82" s="28"/>
      <c r="AE82" s="28"/>
      <c r="AF82" s="21"/>
      <c r="AG82" s="21"/>
      <c r="AH82" s="21"/>
      <c r="AI82" s="29"/>
    </row>
    <row r="83" spans="1:35">
      <c r="A83" s="27" t="s">
        <v>119</v>
      </c>
      <c r="B83" s="79">
        <f>B62+B63+B64</f>
        <v>0.115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J83" s="27" t="s">
        <v>119</v>
      </c>
      <c r="K83" s="72">
        <f>K62+K63+K64</f>
        <v>0.24000000000000002</v>
      </c>
      <c r="L83" s="28"/>
      <c r="M83" s="28"/>
      <c r="N83" s="21"/>
      <c r="O83" s="21"/>
      <c r="P83" s="21"/>
      <c r="Q83" s="29"/>
      <c r="S83" s="27" t="s">
        <v>119</v>
      </c>
      <c r="T83" s="72">
        <f>T62+T63+T64</f>
        <v>0.13100000000000001</v>
      </c>
      <c r="U83" s="28"/>
      <c r="V83" s="28"/>
      <c r="W83" s="21"/>
      <c r="X83" s="21"/>
      <c r="Y83" s="21"/>
      <c r="Z83" s="29"/>
      <c r="AB83" s="27" t="s">
        <v>119</v>
      </c>
      <c r="AC83" s="72">
        <f>AC62+AC63+AC64</f>
        <v>0.13100000000000001</v>
      </c>
      <c r="AD83" s="28"/>
      <c r="AE83" s="28"/>
      <c r="AF83" s="21"/>
      <c r="AG83" s="21"/>
      <c r="AH83" s="21"/>
      <c r="AI83" s="29"/>
    </row>
    <row r="84" spans="1:35">
      <c r="A84" s="27" t="s">
        <v>120</v>
      </c>
      <c r="B84" s="72">
        <f>B83/12</f>
        <v>9.5833333333333343E-3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J84" s="27" t="s">
        <v>120</v>
      </c>
      <c r="K84" s="72">
        <f>K83/12</f>
        <v>0.02</v>
      </c>
      <c r="L84" s="28"/>
      <c r="M84" s="28"/>
      <c r="N84" s="21"/>
      <c r="O84" s="21"/>
      <c r="P84" s="21"/>
      <c r="Q84" s="29"/>
      <c r="S84" s="27" t="s">
        <v>120</v>
      </c>
      <c r="T84" s="72">
        <f>T83/12</f>
        <v>1.0916666666666667E-2</v>
      </c>
      <c r="U84" s="28"/>
      <c r="V84" s="28"/>
      <c r="W84" s="21"/>
      <c r="X84" s="21"/>
      <c r="Y84" s="21"/>
      <c r="Z84" s="29"/>
      <c r="AB84" s="27" t="s">
        <v>120</v>
      </c>
      <c r="AC84" s="72">
        <f>AC83/12</f>
        <v>1.0916666666666667E-2</v>
      </c>
      <c r="AD84" s="28"/>
      <c r="AE84" s="28"/>
      <c r="AF84" s="21"/>
      <c r="AG84" s="21"/>
      <c r="AH84" s="21"/>
      <c r="AI84" s="29"/>
    </row>
    <row r="85" spans="1:35">
      <c r="A85" s="27" t="s">
        <v>121</v>
      </c>
      <c r="B85" s="29">
        <f>B59</f>
        <v>34</v>
      </c>
      <c r="C85" s="28"/>
      <c r="D85" s="28"/>
      <c r="E85" s="21"/>
      <c r="F85" s="27" t="s">
        <v>121</v>
      </c>
      <c r="G85" s="29">
        <f>IF(G82=0,(B59+B58),(B59))</f>
        <v>35</v>
      </c>
      <c r="H85" s="29"/>
      <c r="J85" s="27" t="s">
        <v>121</v>
      </c>
      <c r="K85" s="29">
        <f>IF(K82=0,(K59+K58),(K59))</f>
        <v>35</v>
      </c>
      <c r="L85" s="28"/>
      <c r="M85" s="28"/>
      <c r="N85" s="21"/>
      <c r="O85" s="21"/>
      <c r="P85" s="21"/>
      <c r="Q85" s="29"/>
      <c r="S85" s="27" t="s">
        <v>121</v>
      </c>
      <c r="T85" s="29">
        <f>T59</f>
        <v>34</v>
      </c>
      <c r="U85" s="28"/>
      <c r="V85" s="28"/>
      <c r="W85" s="21"/>
      <c r="X85" s="21"/>
      <c r="Y85" s="21"/>
      <c r="Z85" s="29"/>
      <c r="AB85" s="27" t="s">
        <v>121</v>
      </c>
      <c r="AC85" s="29">
        <f>AC59</f>
        <v>34</v>
      </c>
      <c r="AD85" s="28"/>
      <c r="AE85" s="28"/>
      <c r="AF85" s="21"/>
      <c r="AG85" s="21"/>
      <c r="AH85" s="21"/>
      <c r="AI85" s="29"/>
    </row>
    <row r="86" spans="1:35">
      <c r="A86" s="27" t="s">
        <v>122</v>
      </c>
      <c r="B86" s="29">
        <f>(B82/((1+B84)^(B85+1)))</f>
        <v>0</v>
      </c>
      <c r="C86" s="28"/>
      <c r="D86" s="28"/>
      <c r="E86" s="21"/>
      <c r="F86" s="27" t="s">
        <v>122</v>
      </c>
      <c r="G86" s="29">
        <f>(G82/((1+G84)^(G85+1)))</f>
        <v>0</v>
      </c>
      <c r="H86" s="29"/>
      <c r="J86" s="27" t="s">
        <v>122</v>
      </c>
      <c r="K86" s="29">
        <f>(K82/((1+K84)^(K85+1)))</f>
        <v>0</v>
      </c>
      <c r="L86" s="28"/>
      <c r="M86" s="28"/>
      <c r="N86" s="21"/>
      <c r="O86" s="21"/>
      <c r="P86" s="21"/>
      <c r="Q86" s="29"/>
      <c r="S86" s="27" t="s">
        <v>122</v>
      </c>
      <c r="T86" s="29">
        <f>(T82/((1+T84)^(T85+1)))</f>
        <v>0</v>
      </c>
      <c r="U86" s="28"/>
      <c r="V86" s="28"/>
      <c r="W86" s="21"/>
      <c r="X86" s="21"/>
      <c r="Y86" s="21"/>
      <c r="Z86" s="29"/>
      <c r="AB86" s="27" t="s">
        <v>122</v>
      </c>
      <c r="AC86" s="29">
        <f>(AC82/((1+AC84)^(AC85+1)))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123</v>
      </c>
      <c r="B87" s="29">
        <f>((1-(1/((1+B84)^B85)))/B84)</f>
        <v>28.899511405617535</v>
      </c>
      <c r="C87" s="28"/>
      <c r="D87" s="28"/>
      <c r="E87" s="21"/>
      <c r="F87" s="27" t="s">
        <v>123</v>
      </c>
      <c r="G87" s="29">
        <f>((1-(1/((1+G84)^G85)))/G84)</f>
        <v>31.804221093836478</v>
      </c>
      <c r="H87" s="29"/>
      <c r="J87" s="27" t="s">
        <v>123</v>
      </c>
      <c r="K87" s="29">
        <f>((1-(1/((1+K84)^K85)))/K84)</f>
        <v>24.998619332035133</v>
      </c>
      <c r="L87" s="28"/>
      <c r="M87" s="28"/>
      <c r="N87" s="21"/>
      <c r="O87" s="21"/>
      <c r="P87" s="21"/>
      <c r="Q87" s="29"/>
      <c r="S87" s="27" t="s">
        <v>123</v>
      </c>
      <c r="T87" s="29">
        <f>((1-(1/((1+T84)^T85)))/T84)</f>
        <v>28.276212572476751</v>
      </c>
      <c r="U87" s="28"/>
      <c r="V87" s="28"/>
      <c r="W87" s="21"/>
      <c r="X87" s="21"/>
      <c r="Y87" s="21"/>
      <c r="Z87" s="29"/>
      <c r="AB87" s="27" t="s">
        <v>123</v>
      </c>
      <c r="AC87" s="29">
        <f>((1-(1/((1+AC84)^AC85)))/AC84)</f>
        <v>28.276212572476751</v>
      </c>
      <c r="AD87" s="28"/>
      <c r="AE87" s="28"/>
      <c r="AF87" s="21"/>
      <c r="AG87" s="21"/>
      <c r="AH87" s="21"/>
      <c r="AI87" s="29"/>
    </row>
    <row r="88" spans="1:35">
      <c r="A88" s="27" t="s">
        <v>124</v>
      </c>
      <c r="B88" s="29">
        <f>B81-B86</f>
        <v>19115</v>
      </c>
      <c r="C88" s="28"/>
      <c r="D88" s="28"/>
      <c r="E88" s="21"/>
      <c r="F88" s="27" t="s">
        <v>124</v>
      </c>
      <c r="G88" s="29">
        <f>G81-G86</f>
        <v>19115</v>
      </c>
      <c r="H88" s="29"/>
      <c r="J88" s="27" t="s">
        <v>124</v>
      </c>
      <c r="K88" s="29" t="e">
        <f>K81-K86</f>
        <v>#VALUE!</v>
      </c>
      <c r="L88" s="28"/>
      <c r="M88" s="28"/>
      <c r="N88" s="21"/>
      <c r="O88" s="21"/>
      <c r="P88" s="21"/>
      <c r="Q88" s="29"/>
      <c r="S88" s="27" t="s">
        <v>124</v>
      </c>
      <c r="T88" s="29" t="e">
        <f>T81-T86</f>
        <v>#VALUE!</v>
      </c>
      <c r="U88" s="28"/>
      <c r="V88" s="28"/>
      <c r="W88" s="21"/>
      <c r="X88" s="21"/>
      <c r="Y88" s="21"/>
      <c r="Z88" s="29"/>
      <c r="AB88" s="27" t="s">
        <v>124</v>
      </c>
      <c r="AC88" s="29" t="e">
        <f>AC81-AC86</f>
        <v>#VALUE!</v>
      </c>
      <c r="AD88" s="28"/>
      <c r="AE88" s="28"/>
      <c r="AF88" s="21"/>
      <c r="AG88" s="21"/>
      <c r="AH88" s="21"/>
      <c r="AI88" s="29"/>
    </row>
    <row r="89" spans="1:35">
      <c r="A89" s="27" t="s">
        <v>125</v>
      </c>
      <c r="B89" s="29">
        <f>(B88/B87)</f>
        <v>661.42986750580133</v>
      </c>
      <c r="C89" s="28"/>
      <c r="D89" s="28"/>
      <c r="E89" s="21"/>
      <c r="F89" s="27" t="s">
        <v>125</v>
      </c>
      <c r="G89" s="29">
        <f>(G88/G87)</f>
        <v>601.02085014446106</v>
      </c>
      <c r="H89" s="29"/>
      <c r="J89" s="27" t="s">
        <v>125</v>
      </c>
      <c r="K89" s="29" t="e">
        <f>(K88/K87)</f>
        <v>#VALUE!</v>
      </c>
      <c r="L89" s="28"/>
      <c r="M89" s="28"/>
      <c r="N89" s="21"/>
      <c r="O89" s="21"/>
      <c r="P89" s="21"/>
      <c r="Q89" s="29"/>
      <c r="S89" s="27" t="s">
        <v>125</v>
      </c>
      <c r="T89" s="29" t="e">
        <f>(T88/T87)</f>
        <v>#VALUE!</v>
      </c>
      <c r="U89" s="28"/>
      <c r="V89" s="28"/>
      <c r="W89" s="21"/>
      <c r="X89" s="21"/>
      <c r="Y89" s="21"/>
      <c r="Z89" s="29"/>
      <c r="AB89" s="27" t="s">
        <v>125</v>
      </c>
      <c r="AC89" s="29" t="e">
        <f>(AC88/AC87)</f>
        <v>#VALUE!</v>
      </c>
      <c r="AD89" s="28"/>
      <c r="AE89" s="28"/>
      <c r="AF89" s="21"/>
      <c r="AG89" s="21"/>
      <c r="AH89" s="21"/>
      <c r="AI89" s="29"/>
    </row>
    <row r="90" spans="1:35">
      <c r="A90" s="27" t="s">
        <v>126</v>
      </c>
      <c r="B90" s="29">
        <f>((B89*(B85))+B77)</f>
        <v>22488.615495197246</v>
      </c>
      <c r="C90" s="28"/>
      <c r="D90" s="28"/>
      <c r="E90" s="21"/>
      <c r="F90" s="27" t="s">
        <v>126</v>
      </c>
      <c r="G90" s="29">
        <f>((G89*(G85))+G77)</f>
        <v>21035.729755056138</v>
      </c>
      <c r="H90" s="29"/>
      <c r="J90" s="27" t="s">
        <v>126</v>
      </c>
      <c r="K90" s="29" t="e">
        <f>((K89*(K85))+K77)</f>
        <v>#VALUE!</v>
      </c>
      <c r="L90" s="28"/>
      <c r="M90" s="28"/>
      <c r="N90" s="21"/>
      <c r="O90" s="21"/>
      <c r="P90" s="21"/>
      <c r="Q90" s="29"/>
      <c r="S90" s="27" t="s">
        <v>126</v>
      </c>
      <c r="T90" s="29" t="e">
        <f>(T89*(T85))+T77</f>
        <v>#VALUE!</v>
      </c>
      <c r="U90" s="28"/>
      <c r="V90" s="28"/>
      <c r="W90" s="21"/>
      <c r="X90" s="21"/>
      <c r="Y90" s="21"/>
      <c r="Z90" s="29"/>
      <c r="AB90" s="27" t="s">
        <v>126</v>
      </c>
      <c r="AC90" s="29" t="e">
        <f>(AC89*(AC59))+AC77</f>
        <v>#VALUE!</v>
      </c>
      <c r="AD90" s="28"/>
      <c r="AE90" s="28"/>
      <c r="AF90" s="21"/>
      <c r="AG90" s="21"/>
      <c r="AH90" s="21"/>
      <c r="AI90" s="29"/>
    </row>
    <row r="91" spans="1:35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  <c r="J91" s="27" t="s">
        <v>127</v>
      </c>
      <c r="K91" s="29" t="e">
        <f>(K90/(1-K71))*K71</f>
        <v>#VALUE!</v>
      </c>
      <c r="L91" s="28"/>
      <c r="M91" s="28"/>
      <c r="N91" s="21"/>
      <c r="O91" s="21"/>
      <c r="P91" s="21"/>
      <c r="Q91" s="29"/>
      <c r="S91" s="27" t="s">
        <v>127</v>
      </c>
      <c r="T91" s="29" t="e">
        <f>(T90/(1-T71))*T71</f>
        <v>#VALUE!</v>
      </c>
      <c r="U91" s="28"/>
      <c r="V91" s="28"/>
      <c r="W91" s="21"/>
      <c r="X91" s="21"/>
      <c r="Y91" s="21"/>
      <c r="Z91" s="29"/>
      <c r="AB91" s="27" t="s">
        <v>127</v>
      </c>
      <c r="AC91" s="29" t="e">
        <f>(AC90/(1-AC71))*AC71</f>
        <v>#VALUE!</v>
      </c>
      <c r="AD91" s="28"/>
      <c r="AE91" s="28"/>
      <c r="AF91" s="21"/>
      <c r="AG91" s="21"/>
      <c r="AH91" s="21"/>
      <c r="AI91" s="29"/>
    </row>
    <row r="92" spans="1:35">
      <c r="A92" s="49" t="s">
        <v>128</v>
      </c>
      <c r="B92" s="57">
        <f>(B90+B91)</f>
        <v>22488.615495197246</v>
      </c>
      <c r="C92" s="28"/>
      <c r="D92" s="28"/>
      <c r="E92" s="21"/>
      <c r="F92" s="49" t="s">
        <v>128</v>
      </c>
      <c r="G92" s="57">
        <f>(G90+G91)</f>
        <v>21035.729755056138</v>
      </c>
      <c r="H92" s="29"/>
      <c r="J92" s="49" t="s">
        <v>128</v>
      </c>
      <c r="K92" s="57" t="e">
        <f>(K90+K91)</f>
        <v>#VALUE!</v>
      </c>
      <c r="L92" s="28"/>
      <c r="M92" s="28"/>
      <c r="N92" s="21"/>
      <c r="O92" s="21"/>
      <c r="P92" s="21"/>
      <c r="Q92" s="29"/>
      <c r="S92" s="49" t="s">
        <v>128</v>
      </c>
      <c r="T92" s="57" t="e">
        <f>(T90+T91)</f>
        <v>#VALUE!</v>
      </c>
      <c r="U92" s="28"/>
      <c r="V92" s="28"/>
      <c r="W92" s="21"/>
      <c r="X92" s="21"/>
      <c r="Y92" s="21"/>
      <c r="Z92" s="29"/>
      <c r="AB92" s="49" t="s">
        <v>128</v>
      </c>
      <c r="AC92" s="57" t="e">
        <f>(AC90+AC91)</f>
        <v>#VALUE!</v>
      </c>
      <c r="AD92" s="28"/>
      <c r="AE92" s="28"/>
      <c r="AF92" s="21"/>
      <c r="AG92" s="21"/>
      <c r="AH92" s="21"/>
      <c r="AI92" s="29"/>
    </row>
    <row r="93" spans="1:35">
      <c r="A93" s="27"/>
      <c r="B93" s="28"/>
      <c r="C93" s="28"/>
      <c r="D93" s="28"/>
      <c r="E93" s="21"/>
      <c r="F93" s="27"/>
      <c r="G93" s="28"/>
      <c r="H93" s="29"/>
      <c r="J93" s="27"/>
      <c r="K93" s="28"/>
      <c r="L93" s="28"/>
      <c r="M93" s="28"/>
      <c r="N93" s="21"/>
      <c r="O93" s="21"/>
      <c r="P93" s="21"/>
      <c r="Q93" s="29"/>
      <c r="S93" s="27"/>
      <c r="T93" s="28"/>
      <c r="U93" s="28"/>
      <c r="V93" s="28"/>
      <c r="W93" s="21"/>
      <c r="X93" s="21"/>
      <c r="Y93" s="21"/>
      <c r="Z93" s="29"/>
      <c r="AB93" s="27"/>
      <c r="AC93" s="28"/>
      <c r="AD93" s="28"/>
      <c r="AE93" s="28"/>
      <c r="AF93" s="21"/>
      <c r="AG93" s="21"/>
      <c r="AH93" s="21"/>
      <c r="AI93" s="29"/>
    </row>
    <row r="94" spans="1:35">
      <c r="A94" s="76" t="s">
        <v>129</v>
      </c>
      <c r="B94" s="80" t="str">
        <f>IF(B26="YES",((E40/B85)*(1+A108)*1.2*(C45/100)),"0")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  <c r="J94" s="76" t="s">
        <v>129</v>
      </c>
      <c r="K94" s="77">
        <f>((E40/K85)*(1+J108))*1.2</f>
        <v>0</v>
      </c>
      <c r="L94" s="28"/>
      <c r="M94" s="28"/>
      <c r="N94" s="21"/>
      <c r="O94" s="21"/>
      <c r="P94" s="21"/>
      <c r="Q94" s="29"/>
      <c r="S94" s="76" t="s">
        <v>129</v>
      </c>
      <c r="T94" s="77">
        <f>((E40/T85)*(1+S108))</f>
        <v>0</v>
      </c>
      <c r="U94" s="28"/>
      <c r="V94" s="28"/>
      <c r="W94" s="21"/>
      <c r="X94" s="21"/>
      <c r="Y94" s="21"/>
      <c r="Z94" s="29"/>
      <c r="AB94" s="76" t="s">
        <v>129</v>
      </c>
      <c r="AC94" s="77">
        <f>((E40/AC85)*(1+AB108))*1.2</f>
        <v>0</v>
      </c>
      <c r="AD94" s="28"/>
      <c r="AE94" s="28"/>
      <c r="AF94" s="21"/>
      <c r="AG94" s="21"/>
      <c r="AH94" s="21"/>
      <c r="AI94" s="29"/>
    </row>
    <row r="95" spans="1:35">
      <c r="A95" s="81" t="s">
        <v>130</v>
      </c>
      <c r="B95" s="82">
        <f>(B92/B85)</f>
        <v>661.42986750580133</v>
      </c>
      <c r="C95" s="28"/>
      <c r="D95" s="28"/>
      <c r="E95" s="21"/>
      <c r="F95" s="81" t="s">
        <v>130</v>
      </c>
      <c r="G95" s="82">
        <f>G92/(G85)</f>
        <v>601.02085014446106</v>
      </c>
      <c r="H95" s="29"/>
      <c r="J95" s="81" t="s">
        <v>130</v>
      </c>
      <c r="K95" s="82" t="e">
        <f>K92/(K85)</f>
        <v>#VALUE!</v>
      </c>
      <c r="L95" s="28"/>
      <c r="M95" s="28"/>
      <c r="N95" s="21"/>
      <c r="O95" s="21"/>
      <c r="P95" s="21"/>
      <c r="Q95" s="29"/>
      <c r="S95" s="81" t="s">
        <v>130</v>
      </c>
      <c r="T95" s="82" t="e">
        <f>T92/(T85)</f>
        <v>#VALUE!</v>
      </c>
      <c r="U95" s="28"/>
      <c r="V95" s="28"/>
      <c r="W95" s="21"/>
      <c r="X95" s="21"/>
      <c r="Y95" s="21"/>
      <c r="Z95" s="29"/>
      <c r="AB95" s="81" t="s">
        <v>130</v>
      </c>
      <c r="AC95" s="82" t="e">
        <f>AC92/(AC59)</f>
        <v>#VALUE!</v>
      </c>
      <c r="AD95" s="28"/>
      <c r="AE95" s="28"/>
      <c r="AF95" s="21"/>
      <c r="AG95" s="21"/>
      <c r="AH95" s="21"/>
      <c r="AI95" s="29"/>
    </row>
    <row r="96" spans="1:35">
      <c r="A96" s="83" t="s">
        <v>131</v>
      </c>
      <c r="B96" s="84">
        <f>B94+B95</f>
        <v>661.42986750580133</v>
      </c>
      <c r="C96" s="28"/>
      <c r="D96" s="28"/>
      <c r="E96" s="21"/>
      <c r="F96" s="83" t="s">
        <v>131</v>
      </c>
      <c r="G96" s="84">
        <f>G94+G95</f>
        <v>601.02085014446106</v>
      </c>
      <c r="H96" s="29"/>
      <c r="J96" s="83" t="s">
        <v>131</v>
      </c>
      <c r="K96" s="84" t="e">
        <f>(K94+K95)</f>
        <v>#VALUE!</v>
      </c>
      <c r="L96" s="28"/>
      <c r="M96" s="28"/>
      <c r="N96" s="21"/>
      <c r="O96" s="21"/>
      <c r="P96" s="21"/>
      <c r="Q96" s="29"/>
      <c r="S96" s="83" t="s">
        <v>131</v>
      </c>
      <c r="T96" s="84" t="e">
        <f>T94+T95</f>
        <v>#VALUE!</v>
      </c>
      <c r="U96" s="28"/>
      <c r="V96" s="28"/>
      <c r="W96" s="21"/>
      <c r="X96" s="21"/>
      <c r="Y96" s="21"/>
      <c r="Z96" s="29"/>
      <c r="AB96" s="83" t="s">
        <v>131</v>
      </c>
      <c r="AC96" s="84" t="e">
        <f>AC94+AC95</f>
        <v>#VALUE!</v>
      </c>
      <c r="AD96" s="28"/>
      <c r="AE96" s="28"/>
      <c r="AF96" s="21"/>
      <c r="AG96" s="21"/>
      <c r="AH96" s="21"/>
      <c r="AI96" s="29"/>
    </row>
    <row r="97" spans="1:42">
      <c r="A97" s="49"/>
      <c r="B97" s="50"/>
      <c r="C97" s="50"/>
      <c r="D97" s="50"/>
      <c r="E97" s="85"/>
      <c r="F97" s="85"/>
      <c r="G97" s="85"/>
      <c r="H97" s="57"/>
      <c r="J97" s="49"/>
      <c r="K97" s="50"/>
      <c r="L97" s="50"/>
      <c r="M97" s="50"/>
      <c r="N97" s="85"/>
      <c r="O97" s="85"/>
      <c r="P97" s="85"/>
      <c r="Q97" s="57"/>
      <c r="S97" s="49"/>
      <c r="T97" s="50"/>
      <c r="U97" s="50"/>
      <c r="V97" s="50"/>
      <c r="W97" s="85"/>
      <c r="X97" s="85"/>
      <c r="Y97" s="85"/>
      <c r="Z97" s="57"/>
      <c r="AB97" s="49"/>
      <c r="AC97" s="50"/>
      <c r="AD97" s="50"/>
      <c r="AE97" s="50"/>
      <c r="AF97" s="85"/>
      <c r="AG97" s="85"/>
      <c r="AH97" s="85"/>
      <c r="AI97" s="57"/>
    </row>
    <row r="98" spans="1:42" ht="14.25">
      <c r="A98" s="21"/>
      <c r="B98" s="21"/>
      <c r="C98" s="21"/>
      <c r="D98" s="21"/>
      <c r="E98" s="21"/>
      <c r="F98" s="21"/>
      <c r="G98" s="21"/>
      <c r="H98" s="21"/>
      <c r="J98" s="21"/>
      <c r="K98" s="21"/>
      <c r="L98" s="21"/>
      <c r="M98" s="21"/>
      <c r="N98" s="21"/>
      <c r="O98" s="21"/>
      <c r="P98" s="21"/>
      <c r="Q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</row>
    <row r="99" spans="1:42" ht="14.25">
      <c r="A99" s="21"/>
      <c r="B99" s="21"/>
      <c r="C99" s="21"/>
      <c r="D99" s="21"/>
      <c r="E99" s="21"/>
      <c r="F99" s="21"/>
      <c r="G99" s="21"/>
      <c r="H99" s="21"/>
      <c r="J99" s="21"/>
      <c r="K99" s="21"/>
      <c r="L99" s="21"/>
      <c r="M99" s="21"/>
      <c r="N99" s="21"/>
      <c r="O99" s="21"/>
      <c r="P99" s="21"/>
      <c r="Q99" s="21"/>
      <c r="S99" s="21"/>
      <c r="T99" s="21"/>
      <c r="U99" s="21"/>
      <c r="V99" s="21"/>
      <c r="W99" s="21"/>
      <c r="X99" s="21"/>
      <c r="Y99" s="21"/>
      <c r="Z99" s="21"/>
      <c r="AB99" s="21"/>
      <c r="AC99" s="21"/>
      <c r="AD99" s="21"/>
      <c r="AE99" s="21"/>
      <c r="AF99" s="21"/>
      <c r="AG99" s="21"/>
      <c r="AH99" s="21"/>
      <c r="AI99" s="21"/>
    </row>
    <row r="100" spans="1:42" ht="47.25" customHeight="1">
      <c r="A100" s="344" t="s">
        <v>132</v>
      </c>
      <c r="B100" s="344"/>
      <c r="C100" s="344"/>
      <c r="D100" s="344"/>
      <c r="E100" s="344"/>
      <c r="F100" s="344"/>
      <c r="G100" s="344"/>
      <c r="H100" s="344"/>
      <c r="J100" s="344" t="s">
        <v>133</v>
      </c>
      <c r="K100" s="344"/>
      <c r="L100" s="344"/>
      <c r="M100" s="344"/>
      <c r="N100" s="344"/>
      <c r="O100" s="344"/>
      <c r="P100" s="344"/>
      <c r="Q100" s="344"/>
      <c r="S100" s="344" t="s">
        <v>134</v>
      </c>
      <c r="T100" s="344"/>
      <c r="U100" s="344"/>
      <c r="V100" s="344"/>
      <c r="W100" s="344"/>
      <c r="X100" s="344"/>
      <c r="Y100" s="344"/>
      <c r="Z100" s="344"/>
      <c r="AB100" s="344" t="s">
        <v>135</v>
      </c>
      <c r="AC100" s="344"/>
      <c r="AD100" s="344"/>
      <c r="AE100" s="344"/>
      <c r="AF100" s="344"/>
      <c r="AG100" s="344"/>
      <c r="AH100" s="344"/>
      <c r="AI100" s="344"/>
    </row>
    <row r="101" spans="1:42">
      <c r="A101" s="22"/>
      <c r="B101" s="23"/>
      <c r="C101" s="23"/>
      <c r="D101" s="23"/>
      <c r="E101" s="63"/>
      <c r="F101" s="63"/>
      <c r="G101" s="63"/>
      <c r="H101" s="87"/>
      <c r="J101" s="22"/>
      <c r="K101" s="23"/>
      <c r="L101" s="23"/>
      <c r="M101" s="23"/>
      <c r="N101" s="63"/>
      <c r="O101" s="63"/>
      <c r="P101" s="63"/>
      <c r="Q101" s="87"/>
      <c r="S101" s="22"/>
      <c r="T101" s="23"/>
      <c r="U101" s="23"/>
      <c r="V101" s="23"/>
      <c r="W101" s="63"/>
      <c r="X101" s="63"/>
      <c r="Y101" s="63"/>
      <c r="Z101" s="87"/>
      <c r="AB101" s="22"/>
      <c r="AC101" s="23"/>
      <c r="AD101" s="23"/>
      <c r="AE101" s="23"/>
      <c r="AF101" s="63"/>
      <c r="AG101" s="63"/>
      <c r="AH101" s="63"/>
      <c r="AI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35" t="s">
        <v>136</v>
      </c>
      <c r="K102" s="335"/>
      <c r="L102" s="335"/>
      <c r="M102" s="335"/>
      <c r="N102" s="335"/>
      <c r="O102" s="335"/>
      <c r="P102" s="335"/>
      <c r="Q102" s="335"/>
      <c r="S102" s="335" t="s">
        <v>136</v>
      </c>
      <c r="T102" s="335"/>
      <c r="U102" s="335"/>
      <c r="V102" s="335"/>
      <c r="W102" s="335"/>
      <c r="X102" s="335"/>
      <c r="Y102" s="335"/>
      <c r="Z102" s="335"/>
      <c r="AB102" s="335" t="s">
        <v>136</v>
      </c>
      <c r="AC102" s="335"/>
      <c r="AD102" s="335"/>
      <c r="AE102" s="335"/>
      <c r="AF102" s="335"/>
      <c r="AG102" s="335"/>
      <c r="AH102" s="335"/>
      <c r="AI102" s="335"/>
    </row>
    <row r="103" spans="1:42">
      <c r="A103" s="27"/>
      <c r="B103" s="28"/>
      <c r="C103" s="28"/>
      <c r="D103" s="28"/>
      <c r="E103" s="21"/>
      <c r="F103" s="21"/>
      <c r="G103" s="21"/>
      <c r="H103" s="88"/>
      <c r="J103" s="27"/>
      <c r="K103" s="28"/>
      <c r="L103" s="28"/>
      <c r="M103" s="28"/>
      <c r="N103" s="21"/>
      <c r="O103" s="21"/>
      <c r="P103" s="21"/>
      <c r="Q103" s="88"/>
      <c r="S103" s="27"/>
      <c r="T103" s="28"/>
      <c r="U103" s="28"/>
      <c r="V103" s="28"/>
      <c r="W103" s="21"/>
      <c r="X103" s="21"/>
      <c r="Y103" s="21"/>
      <c r="Z103" s="88"/>
      <c r="AB103" s="27"/>
      <c r="AC103" s="28"/>
      <c r="AD103" s="28"/>
      <c r="AE103" s="28"/>
      <c r="AF103" s="21"/>
      <c r="AG103" s="21"/>
      <c r="AH103" s="21"/>
      <c r="AI103" s="88"/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J104" s="27" t="s">
        <v>137</v>
      </c>
      <c r="K104" s="28" t="s">
        <v>36</v>
      </c>
      <c r="L104" s="28"/>
      <c r="M104" s="28"/>
      <c r="N104" s="28" t="s">
        <v>138</v>
      </c>
      <c r="O104" s="28"/>
      <c r="P104" s="28"/>
      <c r="Q104" s="29"/>
      <c r="S104" s="27" t="s">
        <v>137</v>
      </c>
      <c r="T104" s="28" t="s">
        <v>36</v>
      </c>
      <c r="U104" s="28"/>
      <c r="V104" s="28"/>
      <c r="W104" s="28" t="s">
        <v>138</v>
      </c>
      <c r="X104" s="28"/>
      <c r="Y104" s="28"/>
      <c r="Z104" s="29"/>
      <c r="AB104" s="27" t="s">
        <v>137</v>
      </c>
      <c r="AC104" s="28" t="s">
        <v>36</v>
      </c>
      <c r="AD104" s="28"/>
      <c r="AE104" s="28"/>
      <c r="AF104" s="28" t="s">
        <v>138</v>
      </c>
      <c r="AG104" s="28"/>
      <c r="AH104" s="28"/>
      <c r="AI104" s="29"/>
    </row>
    <row r="105" spans="1:42">
      <c r="A105" s="32" t="s">
        <v>139</v>
      </c>
      <c r="B105" s="345" t="s">
        <v>140</v>
      </c>
      <c r="C105" s="345"/>
      <c r="D105" s="345"/>
      <c r="E105" s="403" t="s">
        <v>386</v>
      </c>
      <c r="F105" s="403"/>
      <c r="G105" s="403"/>
      <c r="H105" s="88"/>
      <c r="J105" s="32" t="s">
        <v>139</v>
      </c>
      <c r="K105" s="345" t="s">
        <v>140</v>
      </c>
      <c r="L105" s="345"/>
      <c r="M105" s="345"/>
      <c r="N105" s="346" t="s">
        <v>31</v>
      </c>
      <c r="O105" s="346"/>
      <c r="P105" s="346"/>
      <c r="Q105" s="88"/>
      <c r="S105" s="32" t="s">
        <v>139</v>
      </c>
      <c r="T105" s="345" t="s">
        <v>140</v>
      </c>
      <c r="U105" s="345"/>
      <c r="V105" s="345"/>
      <c r="W105" s="346" t="s">
        <v>31</v>
      </c>
      <c r="X105" s="346"/>
      <c r="Y105" s="346"/>
      <c r="Z105" s="88"/>
      <c r="AB105" s="32" t="s">
        <v>139</v>
      </c>
      <c r="AC105" s="345" t="s">
        <v>140</v>
      </c>
      <c r="AD105" s="345"/>
      <c r="AE105" s="345"/>
      <c r="AF105" s="346" t="s">
        <v>31</v>
      </c>
      <c r="AG105" s="346"/>
      <c r="AH105" s="346"/>
      <c r="AI105" s="88"/>
    </row>
    <row r="106" spans="1:42">
      <c r="A106" s="27"/>
      <c r="B106" s="28"/>
      <c r="C106" s="28"/>
      <c r="D106" s="21"/>
      <c r="E106" s="28"/>
      <c r="F106" s="28"/>
      <c r="G106" s="21"/>
      <c r="H106" s="29"/>
      <c r="J106" s="27"/>
      <c r="K106" s="28"/>
      <c r="L106" s="28"/>
      <c r="M106" s="21"/>
      <c r="N106" s="28"/>
      <c r="O106" s="28"/>
      <c r="P106" s="21"/>
      <c r="Q106" s="29"/>
      <c r="S106" s="27"/>
      <c r="T106" s="28"/>
      <c r="U106" s="28"/>
      <c r="V106" s="21"/>
      <c r="W106" s="28"/>
      <c r="X106" s="28"/>
      <c r="Y106" s="21"/>
      <c r="Z106" s="29"/>
      <c r="AB106" s="27"/>
      <c r="AC106" s="28"/>
      <c r="AD106" s="28"/>
      <c r="AE106" s="21"/>
      <c r="AF106" s="28"/>
      <c r="AG106" s="28"/>
      <c r="AH106" s="21"/>
      <c r="AI106" s="29"/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J107" s="27" t="s">
        <v>141</v>
      </c>
      <c r="K107" s="28" t="s">
        <v>142</v>
      </c>
      <c r="L107" s="28"/>
      <c r="M107" s="21"/>
      <c r="N107" s="28" t="s">
        <v>143</v>
      </c>
      <c r="O107" s="28"/>
      <c r="P107" s="21"/>
      <c r="Q107" s="88"/>
      <c r="S107" s="27" t="s">
        <v>141</v>
      </c>
      <c r="T107" s="28" t="s">
        <v>142</v>
      </c>
      <c r="U107" s="28"/>
      <c r="V107" s="21"/>
      <c r="W107" s="28" t="s">
        <v>143</v>
      </c>
      <c r="X107" s="28"/>
      <c r="Y107" s="21"/>
      <c r="Z107" s="88"/>
      <c r="AB107" s="27" t="s">
        <v>141</v>
      </c>
      <c r="AC107" s="28" t="s">
        <v>142</v>
      </c>
      <c r="AD107" s="28"/>
      <c r="AE107" s="21"/>
      <c r="AF107" s="28" t="s">
        <v>143</v>
      </c>
      <c r="AG107" s="28"/>
      <c r="AH107" s="21"/>
      <c r="AI107" s="88"/>
    </row>
    <row r="108" spans="1:42">
      <c r="A108" s="91">
        <v>0.2</v>
      </c>
      <c r="B108" s="348">
        <v>0</v>
      </c>
      <c r="C108" s="348"/>
      <c r="D108" s="348">
        <v>0</v>
      </c>
      <c r="E108" s="349">
        <f>B83</f>
        <v>0.115</v>
      </c>
      <c r="F108" s="349"/>
      <c r="G108" s="349"/>
      <c r="H108" s="42"/>
      <c r="J108" s="91">
        <v>0.3</v>
      </c>
      <c r="K108" s="348" t="s">
        <v>144</v>
      </c>
      <c r="L108" s="348"/>
      <c r="M108" s="348"/>
      <c r="N108" s="349">
        <f>K83</f>
        <v>0.24000000000000002</v>
      </c>
      <c r="O108" s="349"/>
      <c r="P108" s="349"/>
      <c r="Q108" s="42"/>
      <c r="S108" s="91">
        <v>0.2</v>
      </c>
      <c r="T108" s="348" t="s">
        <v>145</v>
      </c>
      <c r="U108" s="348"/>
      <c r="V108" s="348"/>
      <c r="W108" s="349">
        <f>T83</f>
        <v>0.13100000000000001</v>
      </c>
      <c r="X108" s="349"/>
      <c r="Y108" s="349"/>
      <c r="Z108" s="42"/>
      <c r="AB108" s="91">
        <v>0.2</v>
      </c>
      <c r="AC108" s="348" t="s">
        <v>145</v>
      </c>
      <c r="AD108" s="348"/>
      <c r="AE108" s="348"/>
      <c r="AF108" s="350">
        <f>AC83</f>
        <v>0.13100000000000001</v>
      </c>
      <c r="AG108" s="350"/>
      <c r="AH108" s="350"/>
      <c r="AI108" s="42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J109" s="27"/>
      <c r="K109" s="28"/>
      <c r="L109" s="28"/>
      <c r="M109" s="28"/>
      <c r="N109" s="28"/>
      <c r="O109" s="28"/>
      <c r="P109" s="28"/>
      <c r="Q109" s="29"/>
      <c r="S109" s="27"/>
      <c r="T109" s="28"/>
      <c r="U109" s="28"/>
      <c r="V109" s="28"/>
      <c r="W109" s="28"/>
      <c r="X109" s="28"/>
      <c r="Y109" s="28"/>
      <c r="Z109" s="29"/>
      <c r="AB109" s="27"/>
      <c r="AC109" s="28"/>
      <c r="AD109" s="28"/>
      <c r="AE109" s="28"/>
      <c r="AF109" s="28"/>
      <c r="AG109" s="28"/>
      <c r="AH109" s="28"/>
      <c r="AI109" s="29"/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J110" s="27" t="s">
        <v>147</v>
      </c>
      <c r="K110" s="28" t="s">
        <v>148</v>
      </c>
      <c r="L110" s="28"/>
      <c r="M110" s="28"/>
      <c r="N110" s="28" t="s">
        <v>149</v>
      </c>
      <c r="O110" s="28"/>
      <c r="P110" s="28"/>
      <c r="Q110" s="29"/>
      <c r="S110" s="27" t="s">
        <v>147</v>
      </c>
      <c r="T110" s="28" t="s">
        <v>148</v>
      </c>
      <c r="U110" s="28"/>
      <c r="V110" s="28"/>
      <c r="W110" s="28" t="s">
        <v>149</v>
      </c>
      <c r="X110" s="28"/>
      <c r="Y110" s="28"/>
      <c r="Z110" s="29"/>
      <c r="AB110" s="27" t="s">
        <v>147</v>
      </c>
      <c r="AC110" s="28" t="s">
        <v>148</v>
      </c>
      <c r="AD110" s="28"/>
      <c r="AE110" s="28"/>
      <c r="AF110" s="28" t="s">
        <v>149</v>
      </c>
      <c r="AG110" s="28"/>
      <c r="AH110" s="28"/>
      <c r="AI110" s="29"/>
    </row>
    <row r="111" spans="1:42">
      <c r="A111" s="36" t="s">
        <v>31</v>
      </c>
      <c r="B111" s="348">
        <v>1000</v>
      </c>
      <c r="C111" s="348"/>
      <c r="D111" s="348"/>
      <c r="E111" s="348">
        <v>1000</v>
      </c>
      <c r="F111" s="348"/>
      <c r="G111" s="348"/>
      <c r="H111" s="88"/>
      <c r="J111" s="36" t="s">
        <v>32</v>
      </c>
      <c r="K111" s="348">
        <v>1000</v>
      </c>
      <c r="L111" s="348"/>
      <c r="M111" s="348"/>
      <c r="N111" s="348">
        <v>0</v>
      </c>
      <c r="O111" s="348"/>
      <c r="P111" s="348"/>
      <c r="Q111" s="88"/>
      <c r="S111" s="36" t="s">
        <v>31</v>
      </c>
      <c r="T111" s="348">
        <v>1000</v>
      </c>
      <c r="U111" s="348"/>
      <c r="V111" s="348"/>
      <c r="W111" s="348">
        <v>0</v>
      </c>
      <c r="X111" s="348"/>
      <c r="Y111" s="348"/>
      <c r="Z111" s="88"/>
      <c r="AB111" s="36" t="s">
        <v>31</v>
      </c>
      <c r="AC111" s="348">
        <v>1000</v>
      </c>
      <c r="AD111" s="348"/>
      <c r="AE111" s="348"/>
      <c r="AF111" s="348">
        <v>0</v>
      </c>
      <c r="AG111" s="348"/>
      <c r="AH111" s="348"/>
      <c r="AI111" s="88"/>
    </row>
    <row r="112" spans="1:42">
      <c r="A112" s="27"/>
      <c r="B112" s="28"/>
      <c r="C112" s="28"/>
      <c r="D112" s="28"/>
      <c r="E112" s="28"/>
      <c r="F112" s="28"/>
      <c r="G112" s="21"/>
      <c r="H112" s="88"/>
      <c r="J112" s="27"/>
      <c r="K112" s="28"/>
      <c r="L112" s="28"/>
      <c r="M112" s="28"/>
      <c r="N112" s="28"/>
      <c r="O112" s="28"/>
      <c r="P112" s="21"/>
      <c r="Q112" s="88"/>
      <c r="S112" s="27"/>
      <c r="T112" s="28"/>
      <c r="U112" s="28"/>
      <c r="V112" s="28"/>
      <c r="W112" s="28"/>
      <c r="X112" s="28"/>
      <c r="Y112" s="21"/>
      <c r="Z112" s="88"/>
      <c r="AB112" s="27"/>
      <c r="AC112" s="28"/>
      <c r="AD112" s="28"/>
      <c r="AE112" s="28"/>
      <c r="AF112" s="28"/>
      <c r="AG112" s="28"/>
      <c r="AH112" s="21"/>
      <c r="AI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  <c r="J113" s="93" t="s">
        <v>150</v>
      </c>
      <c r="K113" s="28" t="s">
        <v>151</v>
      </c>
      <c r="L113" s="28"/>
      <c r="M113" s="28"/>
      <c r="N113" s="28" t="s">
        <v>152</v>
      </c>
      <c r="O113" s="28"/>
      <c r="P113" s="21"/>
      <c r="Q113" s="88"/>
      <c r="S113" s="93" t="s">
        <v>150</v>
      </c>
      <c r="T113" s="28" t="s">
        <v>151</v>
      </c>
      <c r="U113" s="28"/>
      <c r="V113" s="28"/>
      <c r="W113" s="28" t="s">
        <v>152</v>
      </c>
      <c r="X113" s="28"/>
      <c r="Y113" s="21"/>
      <c r="Z113" s="88"/>
      <c r="AB113" s="93" t="s">
        <v>150</v>
      </c>
      <c r="AC113" s="28" t="s">
        <v>151</v>
      </c>
      <c r="AD113" s="28"/>
      <c r="AE113" s="28"/>
      <c r="AF113" s="28" t="s">
        <v>152</v>
      </c>
      <c r="AG113" s="28"/>
      <c r="AH113" s="21"/>
      <c r="AI113" s="88"/>
    </row>
    <row r="114" spans="1:35">
      <c r="A114" s="94">
        <f>B111+E111</f>
        <v>2000</v>
      </c>
      <c r="B114" s="348">
        <v>1000</v>
      </c>
      <c r="C114" s="348"/>
      <c r="D114" s="348"/>
      <c r="E114" s="348">
        <v>0</v>
      </c>
      <c r="F114" s="348"/>
      <c r="G114" s="348"/>
      <c r="H114" s="88"/>
      <c r="J114" s="94">
        <f>K111+N111</f>
        <v>1000</v>
      </c>
      <c r="K114" s="348">
        <v>239.99</v>
      </c>
      <c r="L114" s="348"/>
      <c r="M114" s="348"/>
      <c r="N114" s="348">
        <v>0</v>
      </c>
      <c r="O114" s="348"/>
      <c r="P114" s="348"/>
      <c r="Q114" s="88"/>
      <c r="S114" s="94">
        <f>T111+W111</f>
        <v>1000</v>
      </c>
      <c r="T114" s="348">
        <v>199.99</v>
      </c>
      <c r="U114" s="348"/>
      <c r="V114" s="348"/>
      <c r="W114" s="348">
        <v>0</v>
      </c>
      <c r="X114" s="348"/>
      <c r="Y114" s="348"/>
      <c r="Z114" s="88"/>
      <c r="AB114" s="94">
        <f>AC111+AF111</f>
        <v>1000</v>
      </c>
      <c r="AC114" s="348">
        <v>239.99</v>
      </c>
      <c r="AD114" s="348"/>
      <c r="AE114" s="348"/>
      <c r="AF114" s="348">
        <v>0</v>
      </c>
      <c r="AG114" s="348"/>
      <c r="AH114" s="348"/>
      <c r="AI114" s="88"/>
    </row>
    <row r="115" spans="1:35" ht="14.25">
      <c r="A115" s="95"/>
      <c r="B115" s="21"/>
      <c r="C115" s="21"/>
      <c r="D115" s="21"/>
      <c r="E115" s="21"/>
      <c r="F115" s="21"/>
      <c r="G115" s="21"/>
      <c r="H115" s="88"/>
      <c r="J115" s="95"/>
      <c r="K115" s="21"/>
      <c r="L115" s="21"/>
      <c r="M115" s="21"/>
      <c r="N115" s="21"/>
      <c r="O115" s="21"/>
      <c r="P115" s="21"/>
      <c r="Q115" s="88"/>
      <c r="S115" s="95"/>
      <c r="T115" s="21"/>
      <c r="U115" s="21"/>
      <c r="V115" s="21"/>
      <c r="W115" s="21"/>
      <c r="X115" s="21"/>
      <c r="Y115" s="21"/>
      <c r="Z115" s="88"/>
      <c r="AB115" s="95"/>
      <c r="AC115" s="21"/>
      <c r="AD115" s="21"/>
      <c r="AE115" s="21"/>
      <c r="AF115" s="21"/>
      <c r="AG115" s="21"/>
      <c r="AH115" s="21"/>
      <c r="AI115" s="88"/>
    </row>
    <row r="116" spans="1:35" ht="14.25">
      <c r="A116" s="95"/>
      <c r="B116" s="21"/>
      <c r="C116" s="21"/>
      <c r="D116" s="21"/>
      <c r="E116" s="21"/>
      <c r="F116" s="21"/>
      <c r="G116" s="21"/>
      <c r="H116" s="88"/>
      <c r="J116" s="95"/>
      <c r="K116" s="21"/>
      <c r="L116" s="21"/>
      <c r="M116" s="21"/>
      <c r="N116" s="21"/>
      <c r="O116" s="21"/>
      <c r="P116" s="21"/>
      <c r="Q116" s="88"/>
      <c r="S116" s="95"/>
      <c r="T116" s="21"/>
      <c r="U116" s="21"/>
      <c r="V116" s="21"/>
      <c r="W116" s="21"/>
      <c r="X116" s="21"/>
      <c r="Y116" s="21"/>
      <c r="Z116" s="88"/>
      <c r="AB116" s="95"/>
      <c r="AC116" s="21"/>
      <c r="AD116" s="21"/>
      <c r="AE116" s="21"/>
      <c r="AF116" s="21"/>
      <c r="AG116" s="21"/>
      <c r="AH116" s="21"/>
      <c r="AI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35" t="s">
        <v>153</v>
      </c>
      <c r="K117" s="335"/>
      <c r="L117" s="335"/>
      <c r="M117" s="335"/>
      <c r="N117" s="335"/>
      <c r="O117" s="335"/>
      <c r="P117" s="335"/>
      <c r="Q117" s="335"/>
      <c r="S117" s="335" t="s">
        <v>153</v>
      </c>
      <c r="T117" s="335"/>
      <c r="U117" s="335"/>
      <c r="V117" s="335"/>
      <c r="W117" s="335"/>
      <c r="X117" s="335"/>
      <c r="Y117" s="335"/>
      <c r="Z117" s="335"/>
      <c r="AB117" s="335" t="s">
        <v>153</v>
      </c>
      <c r="AC117" s="335"/>
      <c r="AD117" s="335"/>
      <c r="AE117" s="335"/>
      <c r="AF117" s="335"/>
      <c r="AG117" s="335"/>
      <c r="AH117" s="335"/>
      <c r="AI117" s="335"/>
    </row>
    <row r="118" spans="1:35" ht="14.25">
      <c r="A118" s="95"/>
      <c r="B118" s="21"/>
      <c r="C118" s="21"/>
      <c r="D118" s="21"/>
      <c r="E118" s="21"/>
      <c r="F118" s="21"/>
      <c r="G118" s="21"/>
      <c r="H118" s="88"/>
      <c r="J118" s="95"/>
      <c r="K118" s="21"/>
      <c r="L118" s="21"/>
      <c r="M118" s="21"/>
      <c r="N118" s="21"/>
      <c r="O118" s="21"/>
      <c r="P118" s="21"/>
      <c r="Q118" s="88"/>
      <c r="S118" s="95"/>
      <c r="T118" s="21"/>
      <c r="U118" s="21"/>
      <c r="V118" s="21"/>
      <c r="W118" s="21"/>
      <c r="X118" s="21"/>
      <c r="Y118" s="21"/>
      <c r="Z118" s="88"/>
      <c r="AB118" s="95"/>
      <c r="AC118" s="21"/>
      <c r="AD118" s="21"/>
      <c r="AE118" s="21"/>
      <c r="AF118" s="21"/>
      <c r="AG118" s="21"/>
      <c r="AH118" s="21"/>
      <c r="AI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J119" s="66"/>
      <c r="K119" s="351" t="s">
        <v>154</v>
      </c>
      <c r="L119" s="351"/>
      <c r="M119" s="351" t="s">
        <v>155</v>
      </c>
      <c r="N119" s="351"/>
      <c r="O119" s="351" t="s">
        <v>156</v>
      </c>
      <c r="P119" s="351"/>
      <c r="Q119" s="96" t="s">
        <v>157</v>
      </c>
      <c r="S119" s="66"/>
      <c r="T119" s="351" t="s">
        <v>154</v>
      </c>
      <c r="U119" s="351"/>
      <c r="V119" s="351" t="s">
        <v>155</v>
      </c>
      <c r="W119" s="351"/>
      <c r="X119" s="351" t="s">
        <v>156</v>
      </c>
      <c r="Y119" s="351"/>
      <c r="Z119" s="96" t="s">
        <v>157</v>
      </c>
      <c r="AB119" s="66"/>
      <c r="AC119" s="351" t="s">
        <v>154</v>
      </c>
      <c r="AD119" s="351"/>
      <c r="AE119" s="351" t="s">
        <v>155</v>
      </c>
      <c r="AF119" s="351"/>
      <c r="AG119" s="351" t="s">
        <v>156</v>
      </c>
      <c r="AH119" s="351"/>
      <c r="AI119" s="96" t="s">
        <v>157</v>
      </c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  <c r="J120" s="68"/>
      <c r="K120" s="97" t="s">
        <v>158</v>
      </c>
      <c r="L120" s="98" t="s">
        <v>159</v>
      </c>
      <c r="M120" s="97" t="s">
        <v>158</v>
      </c>
      <c r="N120" s="99" t="s">
        <v>159</v>
      </c>
      <c r="O120" s="97" t="s">
        <v>158</v>
      </c>
      <c r="P120" s="99" t="s">
        <v>159</v>
      </c>
      <c r="Q120" s="100"/>
      <c r="S120" s="68"/>
      <c r="T120" s="97" t="s">
        <v>158</v>
      </c>
      <c r="U120" s="98" t="s">
        <v>159</v>
      </c>
      <c r="V120" s="97" t="s">
        <v>158</v>
      </c>
      <c r="W120" s="99" t="s">
        <v>159</v>
      </c>
      <c r="X120" s="97" t="s">
        <v>158</v>
      </c>
      <c r="Y120" s="99" t="s">
        <v>159</v>
      </c>
      <c r="Z120" s="100"/>
      <c r="AB120" s="68"/>
      <c r="AC120" s="97" t="s">
        <v>158</v>
      </c>
      <c r="AD120" s="98" t="s">
        <v>159</v>
      </c>
      <c r="AE120" s="97" t="s">
        <v>158</v>
      </c>
      <c r="AF120" s="99" t="s">
        <v>159</v>
      </c>
      <c r="AG120" s="97" t="s">
        <v>158</v>
      </c>
      <c r="AH120" s="99" t="s">
        <v>159</v>
      </c>
      <c r="AI120" s="100"/>
    </row>
    <row r="121" spans="1:35">
      <c r="A121" s="22" t="s">
        <v>160</v>
      </c>
      <c r="B121" s="22">
        <f>B9</f>
        <v>14333.33</v>
      </c>
      <c r="C121" s="36">
        <v>16412.5</v>
      </c>
      <c r="D121" s="22">
        <f>D3</f>
        <v>0</v>
      </c>
      <c r="E121" s="36">
        <f>D121</f>
        <v>0</v>
      </c>
      <c r="F121" s="22">
        <f>B11</f>
        <v>0</v>
      </c>
      <c r="G121" s="36">
        <f>F121</f>
        <v>0</v>
      </c>
      <c r="H121" s="101">
        <f>H3</f>
        <v>0</v>
      </c>
      <c r="J121" s="22" t="s">
        <v>160</v>
      </c>
      <c r="K121" s="22">
        <f>B3</f>
        <v>0</v>
      </c>
      <c r="L121" s="36">
        <v>28629.17</v>
      </c>
      <c r="M121" s="22">
        <f>D3</f>
        <v>0</v>
      </c>
      <c r="N121" s="36">
        <f>M121</f>
        <v>0</v>
      </c>
      <c r="O121" s="22" t="str">
        <f>F3</f>
        <v xml:space="preserve"> </v>
      </c>
      <c r="P121" s="36" t="str">
        <f>O121</f>
        <v xml:space="preserve"> </v>
      </c>
      <c r="Q121" s="101">
        <f>H3</f>
        <v>0</v>
      </c>
      <c r="S121" s="22" t="s">
        <v>160</v>
      </c>
      <c r="T121" s="22">
        <f>B3</f>
        <v>0</v>
      </c>
      <c r="U121" s="36">
        <f>T121</f>
        <v>0</v>
      </c>
      <c r="V121" s="22">
        <f>D3</f>
        <v>0</v>
      </c>
      <c r="W121" s="36">
        <f>V121</f>
        <v>0</v>
      </c>
      <c r="X121" s="22" t="str">
        <f>F3</f>
        <v xml:space="preserve"> </v>
      </c>
      <c r="Y121" s="36" t="str">
        <f>X121</f>
        <v xml:space="preserve"> </v>
      </c>
      <c r="Z121" s="101">
        <f>H3</f>
        <v>0</v>
      </c>
      <c r="AB121" s="22" t="s">
        <v>160</v>
      </c>
      <c r="AC121" s="22">
        <f>B3</f>
        <v>0</v>
      </c>
      <c r="AD121" s="36">
        <f>AC121</f>
        <v>0</v>
      </c>
      <c r="AE121" s="22">
        <f>D3</f>
        <v>0</v>
      </c>
      <c r="AF121" s="36">
        <f>AE121</f>
        <v>0</v>
      </c>
      <c r="AG121" s="22" t="str">
        <f>F3</f>
        <v xml:space="preserve"> </v>
      </c>
      <c r="AH121" s="36" t="str">
        <f>AG121</f>
        <v xml:space="preserve"> </v>
      </c>
      <c r="AI121" s="101">
        <f>H3</f>
        <v>0</v>
      </c>
    </row>
    <row r="122" spans="1:35">
      <c r="A122" s="27" t="s">
        <v>161</v>
      </c>
      <c r="B122" s="102">
        <v>0</v>
      </c>
      <c r="C122" s="103">
        <v>0</v>
      </c>
      <c r="D122" s="102">
        <v>0</v>
      </c>
      <c r="E122" s="103">
        <v>0</v>
      </c>
      <c r="F122" s="102">
        <v>0</v>
      </c>
      <c r="G122" s="296">
        <v>0</v>
      </c>
      <c r="H122" s="105"/>
      <c r="J122" s="27" t="s">
        <v>161</v>
      </c>
      <c r="K122" s="102">
        <f>B4</f>
        <v>17199.995999999999</v>
      </c>
      <c r="L122" s="103">
        <v>0</v>
      </c>
      <c r="M122" s="102">
        <f>D4</f>
        <v>0</v>
      </c>
      <c r="N122" s="103">
        <f>M122</f>
        <v>0</v>
      </c>
      <c r="O122" s="102" t="str">
        <f>F4</f>
        <v xml:space="preserve"> </v>
      </c>
      <c r="P122" s="296" t="str">
        <f>O122</f>
        <v xml:space="preserve"> </v>
      </c>
      <c r="Q122" s="105"/>
      <c r="S122" s="27" t="s">
        <v>161</v>
      </c>
      <c r="T122" s="102">
        <f>B4</f>
        <v>17199.995999999999</v>
      </c>
      <c r="U122" s="103">
        <v>0.25</v>
      </c>
      <c r="V122" s="102">
        <f>D4</f>
        <v>0</v>
      </c>
      <c r="W122" s="103">
        <f>V122</f>
        <v>0</v>
      </c>
      <c r="X122" s="102" t="str">
        <f>F4</f>
        <v xml:space="preserve"> </v>
      </c>
      <c r="Y122" s="296" t="str">
        <f>X122</f>
        <v xml:space="preserve"> </v>
      </c>
      <c r="Z122" s="105"/>
      <c r="AB122" s="27" t="s">
        <v>161</v>
      </c>
      <c r="AC122" s="102">
        <f>B4</f>
        <v>17199.995999999999</v>
      </c>
      <c r="AD122" s="103">
        <v>0.25</v>
      </c>
      <c r="AE122" s="102">
        <f>D4</f>
        <v>0</v>
      </c>
      <c r="AF122" s="103">
        <f>AE122</f>
        <v>0</v>
      </c>
      <c r="AG122" s="102" t="str">
        <f>F4</f>
        <v xml:space="preserve"> </v>
      </c>
      <c r="AH122" s="296" t="str">
        <f>AG122</f>
        <v xml:space="preserve"> </v>
      </c>
      <c r="AI122" s="105"/>
    </row>
    <row r="123" spans="1:35">
      <c r="A123" s="27" t="s">
        <v>162</v>
      </c>
      <c r="B123" s="27">
        <v>0</v>
      </c>
      <c r="C123" s="36">
        <v>0</v>
      </c>
      <c r="D123" s="27">
        <v>0</v>
      </c>
      <c r="E123" s="36">
        <v>0</v>
      </c>
      <c r="F123" s="27">
        <v>0</v>
      </c>
      <c r="G123" s="36">
        <v>0</v>
      </c>
      <c r="H123" s="29"/>
      <c r="J123" s="27" t="s">
        <v>162</v>
      </c>
      <c r="K123" s="27">
        <f>B5</f>
        <v>0</v>
      </c>
      <c r="L123" s="36">
        <v>0</v>
      </c>
      <c r="M123" s="27">
        <f>D5</f>
        <v>0</v>
      </c>
      <c r="N123" s="36">
        <f>M123</f>
        <v>0</v>
      </c>
      <c r="O123" s="27" t="str">
        <f>F5</f>
        <v xml:space="preserve"> </v>
      </c>
      <c r="P123" s="36" t="str">
        <f>O123</f>
        <v xml:space="preserve"> </v>
      </c>
      <c r="Q123" s="29"/>
      <c r="S123" s="27" t="s">
        <v>162</v>
      </c>
      <c r="T123" s="27">
        <f>B5</f>
        <v>0</v>
      </c>
      <c r="U123" s="36">
        <v>0</v>
      </c>
      <c r="V123" s="27">
        <f>D5</f>
        <v>0</v>
      </c>
      <c r="W123" s="36">
        <f>V123</f>
        <v>0</v>
      </c>
      <c r="X123" s="27" t="str">
        <f>F5</f>
        <v xml:space="preserve"> </v>
      </c>
      <c r="Y123" s="36" t="str">
        <f>X123</f>
        <v xml:space="preserve"> </v>
      </c>
      <c r="Z123" s="29"/>
      <c r="AB123" s="27" t="s">
        <v>162</v>
      </c>
      <c r="AC123" s="27">
        <f>B5</f>
        <v>0</v>
      </c>
      <c r="AD123" s="36">
        <v>0</v>
      </c>
      <c r="AE123" s="27">
        <f>D5</f>
        <v>0</v>
      </c>
      <c r="AF123" s="36">
        <f>AE123</f>
        <v>0</v>
      </c>
      <c r="AG123" s="27" t="str">
        <f>F5</f>
        <v xml:space="preserve"> </v>
      </c>
      <c r="AH123" s="36" t="str">
        <f>AG123</f>
        <v xml:space="preserve"> </v>
      </c>
      <c r="AI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  <c r="J124" s="27" t="s">
        <v>163</v>
      </c>
      <c r="K124" s="27">
        <f t="shared" ref="K124:P124" si="0">(K121*K122)+K123</f>
        <v>0</v>
      </c>
      <c r="L124" s="24">
        <f t="shared" si="0"/>
        <v>0</v>
      </c>
      <c r="M124" s="27">
        <f t="shared" si="0"/>
        <v>0</v>
      </c>
      <c r="N124" s="24">
        <f t="shared" si="0"/>
        <v>0</v>
      </c>
      <c r="O124" s="27" t="e">
        <f t="shared" si="0"/>
        <v>#VALUE!</v>
      </c>
      <c r="P124" s="24" t="e">
        <f t="shared" si="0"/>
        <v>#VALUE!</v>
      </c>
      <c r="Q124" s="29"/>
      <c r="S124" s="27" t="s">
        <v>163</v>
      </c>
      <c r="T124" s="27">
        <f t="shared" ref="T124:Y124" si="1">(T121*T122)+T123</f>
        <v>0</v>
      </c>
      <c r="U124" s="24">
        <f t="shared" si="1"/>
        <v>0</v>
      </c>
      <c r="V124" s="27">
        <f t="shared" si="1"/>
        <v>0</v>
      </c>
      <c r="W124" s="24">
        <f t="shared" si="1"/>
        <v>0</v>
      </c>
      <c r="X124" s="27" t="e">
        <f t="shared" si="1"/>
        <v>#VALUE!</v>
      </c>
      <c r="Y124" s="24" t="e">
        <f t="shared" si="1"/>
        <v>#VALUE!</v>
      </c>
      <c r="Z124" s="29"/>
      <c r="AB124" s="27" t="s">
        <v>163</v>
      </c>
      <c r="AC124" s="27">
        <f t="shared" ref="AC124:AH124" si="2">(AC121*AC122)+AC123</f>
        <v>0</v>
      </c>
      <c r="AD124" s="24">
        <f t="shared" si="2"/>
        <v>0</v>
      </c>
      <c r="AE124" s="27">
        <f t="shared" si="2"/>
        <v>0</v>
      </c>
      <c r="AF124" s="24">
        <f t="shared" si="2"/>
        <v>0</v>
      </c>
      <c r="AG124" s="27" t="e">
        <f t="shared" si="2"/>
        <v>#VALUE!</v>
      </c>
      <c r="AH124" s="24" t="e">
        <f t="shared" si="2"/>
        <v>#VALUE!</v>
      </c>
      <c r="AI124" s="29"/>
    </row>
    <row r="125" spans="1:35">
      <c r="A125" s="49" t="s">
        <v>164</v>
      </c>
      <c r="B125" s="49">
        <f t="shared" ref="B125:G125" si="3">B121-B124</f>
        <v>14333.33</v>
      </c>
      <c r="C125" s="57">
        <f t="shared" si="3"/>
        <v>16412.5</v>
      </c>
      <c r="D125" s="49">
        <f t="shared" si="3"/>
        <v>0</v>
      </c>
      <c r="E125" s="57">
        <f t="shared" si="3"/>
        <v>0</v>
      </c>
      <c r="F125" s="49">
        <f t="shared" si="3"/>
        <v>0</v>
      </c>
      <c r="G125" s="57">
        <f t="shared" si="3"/>
        <v>0</v>
      </c>
      <c r="H125" s="57"/>
      <c r="J125" s="49" t="s">
        <v>164</v>
      </c>
      <c r="K125" s="49">
        <f t="shared" ref="K125:P125" si="4">K121-K124</f>
        <v>0</v>
      </c>
      <c r="L125" s="57">
        <f t="shared" si="4"/>
        <v>28629.17</v>
      </c>
      <c r="M125" s="49">
        <f t="shared" si="4"/>
        <v>0</v>
      </c>
      <c r="N125" s="57">
        <f t="shared" si="4"/>
        <v>0</v>
      </c>
      <c r="O125" s="49" t="e">
        <f t="shared" si="4"/>
        <v>#VALUE!</v>
      </c>
      <c r="P125" s="57" t="e">
        <f t="shared" si="4"/>
        <v>#VALUE!</v>
      </c>
      <c r="Q125" s="57"/>
      <c r="S125" s="49" t="s">
        <v>164</v>
      </c>
      <c r="T125" s="49">
        <f t="shared" ref="T125:Y125" si="5">T121-T124</f>
        <v>0</v>
      </c>
      <c r="U125" s="57">
        <f t="shared" si="5"/>
        <v>0</v>
      </c>
      <c r="V125" s="49">
        <f t="shared" si="5"/>
        <v>0</v>
      </c>
      <c r="W125" s="57">
        <f t="shared" si="5"/>
        <v>0</v>
      </c>
      <c r="X125" s="49" t="e">
        <f t="shared" si="5"/>
        <v>#VALUE!</v>
      </c>
      <c r="Y125" s="57" t="e">
        <f t="shared" si="5"/>
        <v>#VALUE!</v>
      </c>
      <c r="Z125" s="57"/>
      <c r="AB125" s="49" t="s">
        <v>164</v>
      </c>
      <c r="AC125" s="49">
        <f t="shared" ref="AC125:AH125" si="6">AC121-AC124</f>
        <v>0</v>
      </c>
      <c r="AD125" s="57">
        <f t="shared" si="6"/>
        <v>0</v>
      </c>
      <c r="AE125" s="49">
        <f t="shared" si="6"/>
        <v>0</v>
      </c>
      <c r="AF125" s="57">
        <f t="shared" si="6"/>
        <v>0</v>
      </c>
      <c r="AG125" s="49" t="e">
        <f t="shared" si="6"/>
        <v>#VALUE!</v>
      </c>
      <c r="AH125" s="57" t="e">
        <f t="shared" si="6"/>
        <v>#VALUE!</v>
      </c>
      <c r="AI125" s="57"/>
    </row>
    <row r="126" spans="1:35">
      <c r="A126" s="27"/>
      <c r="B126" s="28"/>
      <c r="C126" s="28"/>
      <c r="D126" s="28"/>
      <c r="E126" s="28"/>
      <c r="F126" s="28"/>
      <c r="G126" s="28"/>
      <c r="H126" s="29"/>
      <c r="J126" s="27"/>
      <c r="K126" s="28"/>
      <c r="L126" s="28"/>
      <c r="M126" s="28"/>
      <c r="N126" s="28"/>
      <c r="O126" s="28"/>
      <c r="P126" s="28"/>
      <c r="Q126" s="29"/>
      <c r="S126" s="27"/>
      <c r="T126" s="28"/>
      <c r="U126" s="28"/>
      <c r="V126" s="28"/>
      <c r="W126" s="28"/>
      <c r="X126" s="28"/>
      <c r="Y126" s="28"/>
      <c r="Z126" s="29"/>
      <c r="AB126" s="27"/>
      <c r="AC126" s="28"/>
      <c r="AD126" s="28"/>
      <c r="AE126" s="28"/>
      <c r="AF126" s="28"/>
      <c r="AG126" s="28"/>
      <c r="AH126" s="28"/>
      <c r="AI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  <c r="J127" s="107"/>
      <c r="K127" s="108"/>
      <c r="L127" s="108"/>
      <c r="M127" s="108"/>
      <c r="N127" s="108"/>
      <c r="O127" s="108"/>
      <c r="P127" s="109" t="s">
        <v>158</v>
      </c>
      <c r="Q127" s="110" t="s">
        <v>159</v>
      </c>
      <c r="S127" s="107"/>
      <c r="T127" s="108"/>
      <c r="U127" s="108"/>
      <c r="V127" s="108"/>
      <c r="W127" s="108"/>
      <c r="X127" s="108"/>
      <c r="Y127" s="109" t="s">
        <v>158</v>
      </c>
      <c r="Z127" s="110" t="s">
        <v>159</v>
      </c>
      <c r="AB127" s="107"/>
      <c r="AC127" s="108"/>
      <c r="AD127" s="108"/>
      <c r="AE127" s="108"/>
      <c r="AF127" s="108"/>
      <c r="AG127" s="108"/>
      <c r="AH127" s="109" t="s">
        <v>158</v>
      </c>
      <c r="AI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  <c r="J128" s="111" t="s">
        <v>165</v>
      </c>
      <c r="K128" s="112"/>
      <c r="L128" s="112"/>
      <c r="M128" s="112"/>
      <c r="N128" s="112"/>
      <c r="O128" s="112"/>
      <c r="P128" s="113">
        <f>Q121</f>
        <v>0</v>
      </c>
      <c r="Q128" s="114">
        <f>SUM(Q131:Q133)</f>
        <v>0</v>
      </c>
      <c r="S128" s="111" t="s">
        <v>165</v>
      </c>
      <c r="T128" s="112"/>
      <c r="U128" s="112"/>
      <c r="V128" s="112"/>
      <c r="W128" s="112"/>
      <c r="X128" s="112"/>
      <c r="Y128" s="113">
        <f>Z121</f>
        <v>0</v>
      </c>
      <c r="Z128" s="114">
        <f>SUM(Z131:Z133)</f>
        <v>0</v>
      </c>
      <c r="AB128" s="111" t="s">
        <v>165</v>
      </c>
      <c r="AC128" s="112"/>
      <c r="AD128" s="112"/>
      <c r="AE128" s="112"/>
      <c r="AF128" s="112"/>
      <c r="AG128" s="112"/>
      <c r="AH128" s="113">
        <f>AI121</f>
        <v>0</v>
      </c>
      <c r="AI128" s="114">
        <f>SUM(AI131:AI133)</f>
        <v>0</v>
      </c>
    </row>
    <row r="129" spans="1:35">
      <c r="A129" s="27"/>
      <c r="B129" s="28"/>
      <c r="C129" s="28"/>
      <c r="D129" s="28"/>
      <c r="E129" s="28"/>
      <c r="F129" s="28"/>
      <c r="G129" s="115"/>
      <c r="H129" s="116"/>
      <c r="J129" s="27"/>
      <c r="K129" s="28"/>
      <c r="L129" s="28"/>
      <c r="M129" s="28"/>
      <c r="N129" s="28"/>
      <c r="O129" s="28"/>
      <c r="P129" s="115"/>
      <c r="Q129" s="116"/>
      <c r="S129" s="27"/>
      <c r="T129" s="28"/>
      <c r="U129" s="28"/>
      <c r="V129" s="28"/>
      <c r="W129" s="28"/>
      <c r="X129" s="28"/>
      <c r="Y129" s="115"/>
      <c r="Z129" s="116"/>
      <c r="AB129" s="27"/>
      <c r="AC129" s="28"/>
      <c r="AD129" s="28"/>
      <c r="AE129" s="28"/>
      <c r="AF129" s="28"/>
      <c r="AG129" s="28"/>
      <c r="AH129" s="115"/>
      <c r="AI129" s="116"/>
    </row>
    <row r="130" spans="1:35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J130" s="117" t="s">
        <v>166</v>
      </c>
      <c r="K130" s="352" t="s">
        <v>167</v>
      </c>
      <c r="L130" s="352"/>
      <c r="M130" s="352" t="s">
        <v>168</v>
      </c>
      <c r="N130" s="352"/>
      <c r="O130" s="352" t="s">
        <v>162</v>
      </c>
      <c r="P130" s="352"/>
      <c r="Q130" s="116" t="s">
        <v>159</v>
      </c>
      <c r="S130" s="117" t="s">
        <v>166</v>
      </c>
      <c r="T130" s="352" t="s">
        <v>167</v>
      </c>
      <c r="U130" s="352"/>
      <c r="V130" s="352" t="s">
        <v>168</v>
      </c>
      <c r="W130" s="352"/>
      <c r="X130" s="352" t="s">
        <v>162</v>
      </c>
      <c r="Y130" s="352"/>
      <c r="Z130" s="116" t="s">
        <v>159</v>
      </c>
      <c r="AB130" s="117" t="s">
        <v>166</v>
      </c>
      <c r="AC130" s="352" t="s">
        <v>167</v>
      </c>
      <c r="AD130" s="352"/>
      <c r="AE130" s="352" t="s">
        <v>168</v>
      </c>
      <c r="AF130" s="352"/>
      <c r="AG130" s="352" t="s">
        <v>162</v>
      </c>
      <c r="AH130" s="352"/>
      <c r="AI130" s="116" t="s">
        <v>159</v>
      </c>
    </row>
    <row r="131" spans="1:35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J131" s="27" t="s">
        <v>169</v>
      </c>
      <c r="K131" s="354">
        <f>P128</f>
        <v>0</v>
      </c>
      <c r="L131" s="354"/>
      <c r="M131" s="355">
        <v>0</v>
      </c>
      <c r="N131" s="355"/>
      <c r="O131" s="354">
        <v>0</v>
      </c>
      <c r="P131" s="354"/>
      <c r="Q131" s="119">
        <f>(K131-(K131*M131))-O131</f>
        <v>0</v>
      </c>
      <c r="S131" s="27" t="s">
        <v>169</v>
      </c>
      <c r="T131" s="354">
        <f>Y128</f>
        <v>0</v>
      </c>
      <c r="U131" s="354"/>
      <c r="V131" s="355">
        <v>0</v>
      </c>
      <c r="W131" s="355"/>
      <c r="X131" s="354">
        <v>0</v>
      </c>
      <c r="Y131" s="354"/>
      <c r="Z131" s="119">
        <f>(T131-(T131*V131))-X131</f>
        <v>0</v>
      </c>
      <c r="AB131" s="27" t="s">
        <v>169</v>
      </c>
      <c r="AC131" s="354">
        <f>AH128</f>
        <v>0</v>
      </c>
      <c r="AD131" s="354"/>
      <c r="AE131" s="355">
        <v>0</v>
      </c>
      <c r="AF131" s="355"/>
      <c r="AG131" s="354">
        <v>0</v>
      </c>
      <c r="AH131" s="354"/>
      <c r="AI131" s="119">
        <f>(AC131-(AC131*AE131))-AG131</f>
        <v>0</v>
      </c>
    </row>
    <row r="132" spans="1:35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J132" s="27" t="s">
        <v>170</v>
      </c>
      <c r="K132" s="354">
        <v>0</v>
      </c>
      <c r="L132" s="354"/>
      <c r="M132" s="355">
        <v>0</v>
      </c>
      <c r="N132" s="355"/>
      <c r="O132" s="354">
        <v>0</v>
      </c>
      <c r="P132" s="354"/>
      <c r="Q132" s="119">
        <f>(K132-(K132*M132))-O132</f>
        <v>0</v>
      </c>
      <c r="S132" s="27" t="s">
        <v>170</v>
      </c>
      <c r="T132" s="354">
        <v>0</v>
      </c>
      <c r="U132" s="354"/>
      <c r="V132" s="355">
        <v>0</v>
      </c>
      <c r="W132" s="355"/>
      <c r="X132" s="354">
        <v>0</v>
      </c>
      <c r="Y132" s="354"/>
      <c r="Z132" s="119">
        <f>(T132-(T132*V132))-X132</f>
        <v>0</v>
      </c>
      <c r="AB132" s="27" t="s">
        <v>170</v>
      </c>
      <c r="AC132" s="354">
        <v>0</v>
      </c>
      <c r="AD132" s="354"/>
      <c r="AE132" s="355">
        <v>0</v>
      </c>
      <c r="AF132" s="355"/>
      <c r="AG132" s="354">
        <v>0</v>
      </c>
      <c r="AH132" s="354"/>
      <c r="AI132" s="119">
        <f>(AC132-(AC132*AE132))-AG132</f>
        <v>0</v>
      </c>
    </row>
    <row r="133" spans="1:35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J133" s="27" t="s">
        <v>171</v>
      </c>
      <c r="K133" s="354">
        <v>0</v>
      </c>
      <c r="L133" s="354"/>
      <c r="M133" s="355">
        <v>0</v>
      </c>
      <c r="N133" s="355"/>
      <c r="O133" s="354">
        <v>0</v>
      </c>
      <c r="P133" s="354"/>
      <c r="Q133" s="119">
        <f>(K133-(K133*M133))-O133</f>
        <v>0</v>
      </c>
      <c r="S133" s="27" t="s">
        <v>171</v>
      </c>
      <c r="T133" s="354">
        <v>0</v>
      </c>
      <c r="U133" s="354"/>
      <c r="V133" s="355">
        <v>0</v>
      </c>
      <c r="W133" s="355"/>
      <c r="X133" s="354">
        <v>0</v>
      </c>
      <c r="Y133" s="354"/>
      <c r="Z133" s="119">
        <f>(T133-(T133*V133))-X133</f>
        <v>0</v>
      </c>
      <c r="AB133" s="27" t="s">
        <v>171</v>
      </c>
      <c r="AC133" s="354">
        <v>0</v>
      </c>
      <c r="AD133" s="354"/>
      <c r="AE133" s="355">
        <v>0</v>
      </c>
      <c r="AF133" s="355"/>
      <c r="AG133" s="354">
        <v>0</v>
      </c>
      <c r="AH133" s="354"/>
      <c r="AI133" s="119">
        <f>(AC133-(AC133*AE133))-AG133</f>
        <v>0</v>
      </c>
    </row>
    <row r="134" spans="1:35">
      <c r="A134" s="27"/>
      <c r="B134" s="28"/>
      <c r="C134" s="28"/>
      <c r="D134" s="28"/>
      <c r="E134" s="28"/>
      <c r="F134" s="28"/>
      <c r="G134" s="115"/>
      <c r="H134" s="116"/>
      <c r="J134" s="27"/>
      <c r="K134" s="28"/>
      <c r="L134" s="28"/>
      <c r="M134" s="28"/>
      <c r="N134" s="28"/>
      <c r="O134" s="28"/>
      <c r="P134" s="115"/>
      <c r="Q134" s="116"/>
      <c r="S134" s="27"/>
      <c r="T134" s="28"/>
      <c r="U134" s="28"/>
      <c r="V134" s="28"/>
      <c r="W134" s="28"/>
      <c r="X134" s="28"/>
      <c r="Y134" s="115"/>
      <c r="Z134" s="116"/>
      <c r="AB134" s="27"/>
      <c r="AC134" s="28"/>
      <c r="AD134" s="28"/>
      <c r="AE134" s="28"/>
      <c r="AF134" s="28"/>
      <c r="AG134" s="28"/>
      <c r="AH134" s="115"/>
      <c r="AI134" s="116"/>
    </row>
    <row r="135" spans="1:35" ht="21">
      <c r="A135" s="356" t="s">
        <v>172</v>
      </c>
      <c r="B135" s="356"/>
      <c r="C135" s="356"/>
      <c r="D135" s="356"/>
      <c r="E135" s="356"/>
      <c r="F135" s="356"/>
      <c r="G135" s="109">
        <f>B121</f>
        <v>14333.33</v>
      </c>
      <c r="H135" s="120">
        <f>C125+E125+G125+H128</f>
        <v>16412.5</v>
      </c>
      <c r="J135" s="356" t="s">
        <v>172</v>
      </c>
      <c r="K135" s="356"/>
      <c r="L135" s="356"/>
      <c r="M135" s="356"/>
      <c r="N135" s="356"/>
      <c r="O135" s="356"/>
      <c r="P135" s="109">
        <f t="shared" ref="P135:P142" si="7">H9</f>
        <v>0</v>
      </c>
      <c r="Q135" s="120" t="e">
        <f>L125+N125+P125+Q128</f>
        <v>#VALUE!</v>
      </c>
      <c r="S135" s="356" t="s">
        <v>172</v>
      </c>
      <c r="T135" s="356"/>
      <c r="U135" s="356"/>
      <c r="V135" s="356"/>
      <c r="W135" s="356"/>
      <c r="X135" s="356"/>
      <c r="Y135" s="109">
        <f t="shared" ref="Y135:Y142" si="8">H9</f>
        <v>0</v>
      </c>
      <c r="Z135" s="120" t="e">
        <f>U125+W125+Y125+Z128</f>
        <v>#VALUE!</v>
      </c>
      <c r="AB135" s="356" t="s">
        <v>172</v>
      </c>
      <c r="AC135" s="356"/>
      <c r="AD135" s="356"/>
      <c r="AE135" s="356"/>
      <c r="AF135" s="356"/>
      <c r="AG135" s="356"/>
      <c r="AH135" s="109">
        <f t="shared" ref="AH135:AH142" si="9">H9</f>
        <v>0</v>
      </c>
      <c r="AI135" s="120" t="e">
        <f>AD125+AF125+AH125+AI128</f>
        <v>#VALUE!</v>
      </c>
    </row>
    <row r="136" spans="1:35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57" t="s">
        <v>173</v>
      </c>
      <c r="K136" s="357"/>
      <c r="L136" s="357"/>
      <c r="M136" s="357"/>
      <c r="N136" s="357"/>
      <c r="O136" s="357"/>
      <c r="P136" s="121">
        <f t="shared" si="7"/>
        <v>0</v>
      </c>
      <c r="Q136" s="29">
        <f>P136</f>
        <v>0</v>
      </c>
      <c r="S136" s="357" t="s">
        <v>173</v>
      </c>
      <c r="T136" s="357"/>
      <c r="U136" s="357"/>
      <c r="V136" s="357"/>
      <c r="W136" s="357"/>
      <c r="X136" s="357"/>
      <c r="Y136" s="121">
        <f t="shared" si="8"/>
        <v>0</v>
      </c>
      <c r="Z136" s="29">
        <f>Y136</f>
        <v>0</v>
      </c>
      <c r="AB136" s="357" t="s">
        <v>173</v>
      </c>
      <c r="AC136" s="357"/>
      <c r="AD136" s="357"/>
      <c r="AE136" s="357"/>
      <c r="AF136" s="357"/>
      <c r="AG136" s="357"/>
      <c r="AH136" s="121">
        <f t="shared" si="9"/>
        <v>0</v>
      </c>
      <c r="AI136" s="29">
        <f>AH136</f>
        <v>0</v>
      </c>
    </row>
    <row r="137" spans="1:35">
      <c r="A137" s="357" t="s">
        <v>174</v>
      </c>
      <c r="B137" s="357"/>
      <c r="C137" s="357"/>
      <c r="D137" s="357"/>
      <c r="E137" s="357"/>
      <c r="F137" s="357"/>
      <c r="G137" s="29">
        <f>(G135+G136)*20%</f>
        <v>2866.6660000000002</v>
      </c>
      <c r="H137" s="29">
        <f>(H135+H136)*20%</f>
        <v>3282.5</v>
      </c>
      <c r="J137" s="357" t="s">
        <v>174</v>
      </c>
      <c r="K137" s="357"/>
      <c r="L137" s="357"/>
      <c r="M137" s="357"/>
      <c r="N137" s="357"/>
      <c r="O137" s="357"/>
      <c r="P137" s="121">
        <f t="shared" si="7"/>
        <v>0</v>
      </c>
      <c r="Q137" s="29" t="e">
        <f>(Q135+Q136)*20%</f>
        <v>#VALUE!</v>
      </c>
      <c r="S137" s="357" t="s">
        <v>174</v>
      </c>
      <c r="T137" s="357"/>
      <c r="U137" s="357"/>
      <c r="V137" s="357"/>
      <c r="W137" s="357"/>
      <c r="X137" s="357"/>
      <c r="Y137" s="121">
        <f t="shared" si="8"/>
        <v>0</v>
      </c>
      <c r="Z137" s="29" t="e">
        <f>(Z135+Z136)*20%</f>
        <v>#VALUE!</v>
      </c>
      <c r="AB137" s="357" t="s">
        <v>174</v>
      </c>
      <c r="AC137" s="357"/>
      <c r="AD137" s="357"/>
      <c r="AE137" s="357"/>
      <c r="AF137" s="357"/>
      <c r="AG137" s="357"/>
      <c r="AH137" s="121">
        <f t="shared" si="9"/>
        <v>0</v>
      </c>
      <c r="AI137" s="29" t="e">
        <f>(AI135+AI136)*20%</f>
        <v>#VALUE!</v>
      </c>
    </row>
    <row r="138" spans="1:35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57" t="s">
        <v>175</v>
      </c>
      <c r="K138" s="357"/>
      <c r="L138" s="357"/>
      <c r="M138" s="357"/>
      <c r="N138" s="357"/>
      <c r="O138" s="357"/>
      <c r="P138" s="121">
        <f t="shared" si="7"/>
        <v>0</v>
      </c>
      <c r="Q138" s="29">
        <f>P138</f>
        <v>0</v>
      </c>
      <c r="S138" s="357" t="s">
        <v>175</v>
      </c>
      <c r="T138" s="357"/>
      <c r="U138" s="357"/>
      <c r="V138" s="357"/>
      <c r="W138" s="357"/>
      <c r="X138" s="357"/>
      <c r="Y138" s="121">
        <f t="shared" si="8"/>
        <v>0</v>
      </c>
      <c r="Z138" s="29">
        <f>Y138</f>
        <v>0</v>
      </c>
      <c r="AB138" s="357" t="s">
        <v>175</v>
      </c>
      <c r="AC138" s="357"/>
      <c r="AD138" s="357"/>
      <c r="AE138" s="357"/>
      <c r="AF138" s="357"/>
      <c r="AG138" s="357"/>
      <c r="AH138" s="121">
        <f t="shared" si="9"/>
        <v>0</v>
      </c>
      <c r="AI138" s="29">
        <f>AH138</f>
        <v>0</v>
      </c>
    </row>
    <row r="139" spans="1:35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57" t="s">
        <v>176</v>
      </c>
      <c r="K139" s="357"/>
      <c r="L139" s="357"/>
      <c r="M139" s="357"/>
      <c r="N139" s="357"/>
      <c r="O139" s="357"/>
      <c r="P139" s="121">
        <f t="shared" si="7"/>
        <v>0</v>
      </c>
      <c r="Q139" s="29">
        <f>P139</f>
        <v>0</v>
      </c>
      <c r="S139" s="357" t="s">
        <v>176</v>
      </c>
      <c r="T139" s="357"/>
      <c r="U139" s="357"/>
      <c r="V139" s="357"/>
      <c r="W139" s="357"/>
      <c r="X139" s="357"/>
      <c r="Y139" s="121">
        <f t="shared" si="8"/>
        <v>0</v>
      </c>
      <c r="Z139" s="29">
        <f>Y139</f>
        <v>0</v>
      </c>
      <c r="AB139" s="357" t="s">
        <v>176</v>
      </c>
      <c r="AC139" s="357"/>
      <c r="AD139" s="357"/>
      <c r="AE139" s="357"/>
      <c r="AF139" s="357"/>
      <c r="AG139" s="357"/>
      <c r="AH139" s="121">
        <f t="shared" si="9"/>
        <v>0</v>
      </c>
      <c r="AI139" s="29">
        <f>AH139</f>
        <v>0</v>
      </c>
    </row>
    <row r="140" spans="1:35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57" t="s">
        <v>177</v>
      </c>
      <c r="K140" s="357"/>
      <c r="L140" s="357"/>
      <c r="M140" s="357"/>
      <c r="N140" s="357"/>
      <c r="O140" s="357"/>
      <c r="P140" s="121">
        <f t="shared" si="7"/>
        <v>0</v>
      </c>
      <c r="Q140" s="29">
        <v>55</v>
      </c>
      <c r="S140" s="357" t="s">
        <v>177</v>
      </c>
      <c r="T140" s="357"/>
      <c r="U140" s="357"/>
      <c r="V140" s="357"/>
      <c r="W140" s="357"/>
      <c r="X140" s="357"/>
      <c r="Y140" s="121">
        <f t="shared" si="8"/>
        <v>0</v>
      </c>
      <c r="Z140" s="29">
        <v>55</v>
      </c>
      <c r="AB140" s="357" t="s">
        <v>177</v>
      </c>
      <c r="AC140" s="357"/>
      <c r="AD140" s="357"/>
      <c r="AE140" s="357"/>
      <c r="AF140" s="357"/>
      <c r="AG140" s="357"/>
      <c r="AH140" s="121">
        <f t="shared" si="9"/>
        <v>0</v>
      </c>
      <c r="AI140" s="29">
        <v>55</v>
      </c>
    </row>
    <row r="141" spans="1:35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17199.995999999999</v>
      </c>
      <c r="H141" s="122">
        <f>(H135+H136+H139+H140+H137)-H138</f>
        <v>19695</v>
      </c>
      <c r="J141" s="357" t="s">
        <v>178</v>
      </c>
      <c r="K141" s="357"/>
      <c r="L141" s="357"/>
      <c r="M141" s="357"/>
      <c r="N141" s="357"/>
      <c r="O141" s="357"/>
      <c r="P141" s="123">
        <f t="shared" si="7"/>
        <v>0</v>
      </c>
      <c r="Q141" s="122" t="e">
        <f>(Q135+Q136+Q139+Q140+Q137)-Q138</f>
        <v>#VALUE!</v>
      </c>
      <c r="S141" s="357" t="s">
        <v>178</v>
      </c>
      <c r="T141" s="357"/>
      <c r="U141" s="357"/>
      <c r="V141" s="357"/>
      <c r="W141" s="357"/>
      <c r="X141" s="357"/>
      <c r="Y141" s="123">
        <f t="shared" si="8"/>
        <v>0</v>
      </c>
      <c r="Z141" s="122" t="e">
        <f>(Z135+Z136+Z139+Z140+Z137)-Z138</f>
        <v>#VALUE!</v>
      </c>
      <c r="AB141" s="357" t="s">
        <v>178</v>
      </c>
      <c r="AC141" s="357"/>
      <c r="AD141" s="357"/>
      <c r="AE141" s="357"/>
      <c r="AF141" s="357"/>
      <c r="AG141" s="357"/>
      <c r="AH141" s="123">
        <f t="shared" si="9"/>
        <v>0</v>
      </c>
      <c r="AI141" s="122" t="e">
        <f>(AI135+AI136+AI139+AI140+AI137)-AI138</f>
        <v>#VALUE!</v>
      </c>
    </row>
    <row r="142" spans="1:35">
      <c r="A142" s="357" t="s">
        <v>179</v>
      </c>
      <c r="B142" s="357"/>
      <c r="C142" s="357"/>
      <c r="D142" s="357"/>
      <c r="E142" s="357"/>
      <c r="F142" s="357"/>
      <c r="G142" s="121">
        <f>H16</f>
        <v>0</v>
      </c>
      <c r="H142" s="36">
        <f>G142</f>
        <v>0</v>
      </c>
      <c r="J142" s="357" t="s">
        <v>179</v>
      </c>
      <c r="K142" s="357"/>
      <c r="L142" s="357"/>
      <c r="M142" s="357"/>
      <c r="N142" s="357"/>
      <c r="O142" s="357"/>
      <c r="P142" s="121">
        <f t="shared" si="7"/>
        <v>0</v>
      </c>
      <c r="Q142" s="36">
        <f>P142</f>
        <v>0</v>
      </c>
      <c r="S142" s="357" t="s">
        <v>179</v>
      </c>
      <c r="T142" s="357"/>
      <c r="U142" s="357"/>
      <c r="V142" s="357"/>
      <c r="W142" s="357"/>
      <c r="X142" s="357"/>
      <c r="Y142" s="121">
        <f t="shared" si="8"/>
        <v>0</v>
      </c>
      <c r="Z142" s="36">
        <f>Y142</f>
        <v>0</v>
      </c>
      <c r="AB142" s="357" t="s">
        <v>179</v>
      </c>
      <c r="AC142" s="357"/>
      <c r="AD142" s="357"/>
      <c r="AE142" s="357"/>
      <c r="AF142" s="357"/>
      <c r="AG142" s="357"/>
      <c r="AH142" s="121">
        <f t="shared" si="9"/>
        <v>0</v>
      </c>
      <c r="AI142" s="36">
        <f>AH142</f>
        <v>0</v>
      </c>
    </row>
    <row r="143" spans="1:35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58" t="s">
        <v>180</v>
      </c>
      <c r="K143" s="358"/>
      <c r="L143" s="358"/>
      <c r="M143" s="358"/>
      <c r="N143" s="358"/>
      <c r="O143" s="358"/>
      <c r="P143" s="34"/>
      <c r="Q143" s="29"/>
      <c r="S143" s="358" t="s">
        <v>180</v>
      </c>
      <c r="T143" s="358"/>
      <c r="U143" s="358"/>
      <c r="V143" s="358"/>
      <c r="W143" s="358"/>
      <c r="X143" s="358"/>
      <c r="Y143" s="34"/>
      <c r="Z143" s="29"/>
      <c r="AB143" s="358" t="s">
        <v>180</v>
      </c>
      <c r="AC143" s="358"/>
      <c r="AD143" s="358"/>
      <c r="AE143" s="358"/>
      <c r="AF143" s="358"/>
      <c r="AG143" s="358"/>
      <c r="AH143" s="34"/>
      <c r="AI143" s="29"/>
    </row>
    <row r="144" spans="1:35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J144" s="124" t="s">
        <v>26</v>
      </c>
      <c r="K144" s="360" t="s">
        <v>181</v>
      </c>
      <c r="L144" s="360"/>
      <c r="M144" s="360"/>
      <c r="N144" s="360"/>
      <c r="O144" s="360"/>
      <c r="P144" s="121">
        <f>H18</f>
        <v>0</v>
      </c>
      <c r="Q144" s="36">
        <f>P144</f>
        <v>0</v>
      </c>
      <c r="S144" s="124" t="s">
        <v>26</v>
      </c>
      <c r="T144" s="360" t="s">
        <v>181</v>
      </c>
      <c r="U144" s="360"/>
      <c r="V144" s="360"/>
      <c r="W144" s="360"/>
      <c r="X144" s="360"/>
      <c r="Y144" s="121">
        <f>H18</f>
        <v>0</v>
      </c>
      <c r="Z144" s="36">
        <f>Y144</f>
        <v>0</v>
      </c>
      <c r="AB144" s="124" t="s">
        <v>26</v>
      </c>
      <c r="AC144" s="360" t="s">
        <v>181</v>
      </c>
      <c r="AD144" s="360"/>
      <c r="AE144" s="360"/>
      <c r="AF144" s="360"/>
      <c r="AG144" s="360"/>
      <c r="AH144" s="121">
        <f>H18</f>
        <v>0</v>
      </c>
      <c r="AI144" s="36">
        <f>AH144</f>
        <v>0</v>
      </c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J145" s="124" t="s">
        <v>28</v>
      </c>
      <c r="K145" s="360" t="s">
        <v>181</v>
      </c>
      <c r="L145" s="360"/>
      <c r="M145" s="360"/>
      <c r="N145" s="360"/>
      <c r="O145" s="360"/>
      <c r="P145" s="121">
        <f>H19</f>
        <v>0</v>
      </c>
      <c r="Q145" s="36">
        <f>P145</f>
        <v>0</v>
      </c>
      <c r="S145" s="124" t="s">
        <v>28</v>
      </c>
      <c r="T145" s="360" t="s">
        <v>181</v>
      </c>
      <c r="U145" s="360"/>
      <c r="V145" s="360"/>
      <c r="W145" s="360"/>
      <c r="X145" s="360"/>
      <c r="Y145" s="121">
        <f>H19</f>
        <v>0</v>
      </c>
      <c r="Z145" s="36">
        <f>Y145</f>
        <v>0</v>
      </c>
      <c r="AB145" s="124" t="s">
        <v>28</v>
      </c>
      <c r="AC145" s="360" t="s">
        <v>181</v>
      </c>
      <c r="AD145" s="360"/>
      <c r="AE145" s="360"/>
      <c r="AF145" s="360"/>
      <c r="AG145" s="360"/>
      <c r="AH145" s="121">
        <f>H19</f>
        <v>0</v>
      </c>
      <c r="AI145" s="36">
        <f>AH145</f>
        <v>0</v>
      </c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J146" s="125" t="s">
        <v>29</v>
      </c>
      <c r="K146" s="361" t="s">
        <v>181</v>
      </c>
      <c r="L146" s="361"/>
      <c r="M146" s="361"/>
      <c r="N146" s="361"/>
      <c r="O146" s="361"/>
      <c r="P146" s="121">
        <f>H20</f>
        <v>0</v>
      </c>
      <c r="Q146" s="36">
        <f>P146</f>
        <v>0</v>
      </c>
      <c r="S146" s="125" t="s">
        <v>29</v>
      </c>
      <c r="T146" s="361" t="s">
        <v>181</v>
      </c>
      <c r="U146" s="361"/>
      <c r="V146" s="361"/>
      <c r="W146" s="361"/>
      <c r="X146" s="361"/>
      <c r="Y146" s="121">
        <f>H20</f>
        <v>0</v>
      </c>
      <c r="Z146" s="36">
        <f>Y146</f>
        <v>0</v>
      </c>
      <c r="AB146" s="125" t="s">
        <v>29</v>
      </c>
      <c r="AC146" s="361" t="s">
        <v>181</v>
      </c>
      <c r="AD146" s="361"/>
      <c r="AE146" s="361"/>
      <c r="AF146" s="361"/>
      <c r="AG146" s="361"/>
      <c r="AH146" s="121">
        <f>H20</f>
        <v>0</v>
      </c>
      <c r="AI146" s="36">
        <f>AH146</f>
        <v>0</v>
      </c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17199.995999999999</v>
      </c>
      <c r="H147" s="126">
        <f>H141-((H144*1.2)+(H145*1.2)+(H146*1.2)+(H142*1.2))</f>
        <v>19695</v>
      </c>
      <c r="J147" s="357" t="s">
        <v>182</v>
      </c>
      <c r="K147" s="357"/>
      <c r="L147" s="357"/>
      <c r="M147" s="357"/>
      <c r="N147" s="357"/>
      <c r="O147" s="357"/>
      <c r="P147" s="123">
        <f>P141-((P144*1.2)+(P145*1.2)+(P146*1.2)+(P142*1.2))</f>
        <v>0</v>
      </c>
      <c r="Q147" s="126" t="e">
        <f>Q141-((Q144*1.2)+(Q145*1.2)+(Q146*1.2)+(Q142*1.2))</f>
        <v>#VALUE!</v>
      </c>
      <c r="S147" s="357" t="s">
        <v>182</v>
      </c>
      <c r="T147" s="357"/>
      <c r="U147" s="357"/>
      <c r="V147" s="357"/>
      <c r="W147" s="357"/>
      <c r="X147" s="357"/>
      <c r="Y147" s="123">
        <f>Y141-((Y144*1.2)+(Y145*1.2)+(Y146*1.2)+(Y142*1.2))</f>
        <v>0</v>
      </c>
      <c r="Z147" s="126" t="e">
        <f>Z141-((Z144*1.2)+(Z145*1.2)+(Z146*1.2)+(Z142*1.2))</f>
        <v>#VALUE!</v>
      </c>
      <c r="AB147" s="357" t="s">
        <v>182</v>
      </c>
      <c r="AC147" s="357"/>
      <c r="AD147" s="357"/>
      <c r="AE147" s="357"/>
      <c r="AF147" s="357"/>
      <c r="AG147" s="357"/>
      <c r="AH147" s="123">
        <f>AH141-((AH144*1.2)+(AH145*1.2)+(AH146*1.2)+(AH142*1.2))</f>
        <v>0</v>
      </c>
      <c r="AI147" s="126" t="e">
        <f>AI141-((AI144*1.2)+(AI145*1.2)+(AI146*1.2)+(AI142*1.2))</f>
        <v>#VALUE!</v>
      </c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2079.170000000001</v>
      </c>
      <c r="I148" s="4">
        <f>(H148-G81)/1.2</f>
        <v>-14196.525</v>
      </c>
      <c r="J148" s="357" t="s">
        <v>183</v>
      </c>
      <c r="K148" s="357"/>
      <c r="L148" s="357"/>
      <c r="M148" s="357"/>
      <c r="N148" s="357"/>
      <c r="O148" s="357"/>
      <c r="P148" s="121"/>
      <c r="Q148" s="36" t="e">
        <f>Q147-P147</f>
        <v>#VALUE!</v>
      </c>
      <c r="S148" s="357" t="s">
        <v>183</v>
      </c>
      <c r="T148" s="357"/>
      <c r="U148" s="357"/>
      <c r="V148" s="357"/>
      <c r="W148" s="357"/>
      <c r="X148" s="357"/>
      <c r="Y148" s="121"/>
      <c r="Z148" s="36" t="e">
        <f>Z147-Y147</f>
        <v>#VALUE!</v>
      </c>
      <c r="AB148" s="357" t="s">
        <v>183</v>
      </c>
      <c r="AC148" s="357"/>
      <c r="AD148" s="357"/>
      <c r="AE148" s="357"/>
      <c r="AF148" s="357"/>
      <c r="AG148" s="357"/>
      <c r="AH148" s="121"/>
      <c r="AI148" s="36" t="e">
        <f>AI147-AH147</f>
        <v>#VALUE!</v>
      </c>
    </row>
    <row r="149" spans="1:35">
      <c r="A149" s="27"/>
      <c r="B149" s="28"/>
      <c r="C149" s="28"/>
      <c r="D149" s="28"/>
      <c r="E149" s="21"/>
      <c r="F149" s="21"/>
      <c r="G149" s="21"/>
      <c r="H149" s="29"/>
      <c r="J149" s="27"/>
      <c r="K149" s="28"/>
      <c r="L149" s="28"/>
      <c r="M149" s="28"/>
      <c r="N149" s="21"/>
      <c r="O149" s="21"/>
      <c r="P149" s="21"/>
      <c r="Q149" s="29"/>
      <c r="S149" s="27"/>
      <c r="T149" s="28"/>
      <c r="U149" s="28"/>
      <c r="V149" s="28"/>
      <c r="W149" s="21"/>
      <c r="X149" s="21"/>
      <c r="Y149" s="21"/>
      <c r="Z149" s="29"/>
      <c r="AB149" s="27"/>
      <c r="AC149" s="28"/>
      <c r="AD149" s="28"/>
      <c r="AE149" s="28"/>
      <c r="AF149" s="21"/>
      <c r="AG149" s="21"/>
      <c r="AH149" s="21"/>
      <c r="AI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35" t="s">
        <v>184</v>
      </c>
      <c r="K150" s="335"/>
      <c r="L150" s="335"/>
      <c r="M150" s="335"/>
      <c r="N150" s="335"/>
      <c r="O150" s="335"/>
      <c r="P150" s="335"/>
      <c r="Q150" s="335"/>
      <c r="S150" s="335" t="s">
        <v>184</v>
      </c>
      <c r="T150" s="335"/>
      <c r="U150" s="335"/>
      <c r="V150" s="335"/>
      <c r="W150" s="335"/>
      <c r="X150" s="335"/>
      <c r="Y150" s="335"/>
      <c r="Z150" s="335"/>
      <c r="AB150" s="335" t="s">
        <v>184</v>
      </c>
      <c r="AC150" s="335"/>
      <c r="AD150" s="335"/>
      <c r="AE150" s="335"/>
      <c r="AF150" s="335"/>
      <c r="AG150" s="335"/>
      <c r="AH150" s="335"/>
      <c r="AI150" s="335"/>
    </row>
    <row r="151" spans="1:35">
      <c r="A151" s="27"/>
      <c r="B151" s="28"/>
      <c r="C151" s="28"/>
      <c r="D151" s="28"/>
      <c r="E151" s="21"/>
      <c r="F151" s="21"/>
      <c r="G151" s="21"/>
      <c r="H151" s="29"/>
      <c r="J151" s="27"/>
      <c r="K151" s="28"/>
      <c r="L151" s="28"/>
      <c r="M151" s="28"/>
      <c r="N151" s="21"/>
      <c r="O151" s="21"/>
      <c r="P151" s="21"/>
      <c r="Q151" s="29"/>
      <c r="S151" s="27"/>
      <c r="T151" s="28"/>
      <c r="U151" s="28"/>
      <c r="V151" s="28"/>
      <c r="W151" s="21"/>
      <c r="X151" s="21"/>
      <c r="Y151" s="21"/>
      <c r="Z151" s="29"/>
      <c r="AB151" s="27"/>
      <c r="AC151" s="28"/>
      <c r="AD151" s="28"/>
      <c r="AE151" s="28"/>
      <c r="AF151" s="21"/>
      <c r="AG151" s="21"/>
      <c r="AH151" s="21"/>
      <c r="AI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J152" s="27" t="s">
        <v>185</v>
      </c>
      <c r="K152" s="28"/>
      <c r="L152" s="28"/>
      <c r="M152" s="21"/>
      <c r="N152" s="348">
        <v>10000</v>
      </c>
      <c r="O152" s="348"/>
      <c r="P152" s="348">
        <v>5000</v>
      </c>
      <c r="Q152" s="348"/>
      <c r="S152" s="27" t="s">
        <v>185</v>
      </c>
      <c r="T152" s="28"/>
      <c r="U152" s="28"/>
      <c r="V152" s="21"/>
      <c r="W152" s="348">
        <v>10000</v>
      </c>
      <c r="X152" s="348"/>
      <c r="Y152" s="348">
        <v>5000</v>
      </c>
      <c r="Z152" s="348"/>
      <c r="AB152" s="27" t="s">
        <v>185</v>
      </c>
      <c r="AC152" s="28"/>
      <c r="AD152" s="28"/>
      <c r="AE152" s="21"/>
      <c r="AF152" s="348">
        <v>10000</v>
      </c>
      <c r="AG152" s="348"/>
      <c r="AH152" s="348">
        <v>5000</v>
      </c>
      <c r="AI152" s="348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J153" s="27" t="s">
        <v>186</v>
      </c>
      <c r="K153" s="28"/>
      <c r="L153" s="28"/>
      <c r="M153" s="21"/>
      <c r="N153" s="363">
        <f>P153</f>
        <v>7000</v>
      </c>
      <c r="O153" s="363"/>
      <c r="P153" s="348">
        <v>7000</v>
      </c>
      <c r="Q153" s="348"/>
      <c r="S153" s="27" t="s">
        <v>186</v>
      </c>
      <c r="T153" s="28"/>
      <c r="U153" s="28"/>
      <c r="V153" s="21"/>
      <c r="W153" s="363">
        <f>Y153</f>
        <v>7000</v>
      </c>
      <c r="X153" s="363"/>
      <c r="Y153" s="348">
        <v>7000</v>
      </c>
      <c r="Z153" s="348"/>
      <c r="AB153" s="27" t="s">
        <v>186</v>
      </c>
      <c r="AC153" s="28"/>
      <c r="AD153" s="28"/>
      <c r="AE153" s="21"/>
      <c r="AF153" s="363">
        <f>AH153</f>
        <v>7000</v>
      </c>
      <c r="AG153" s="363"/>
      <c r="AH153" s="348">
        <v>7000</v>
      </c>
      <c r="AI153" s="348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J154" s="27" t="s">
        <v>187</v>
      </c>
      <c r="K154" s="28"/>
      <c r="L154" s="28"/>
      <c r="M154" s="21"/>
      <c r="N154" s="363">
        <f>N152-N153</f>
        <v>3000</v>
      </c>
      <c r="O154" s="363"/>
      <c r="P154" s="364">
        <f>P152-P153</f>
        <v>-2000</v>
      </c>
      <c r="Q154" s="364"/>
      <c r="S154" s="27" t="s">
        <v>187</v>
      </c>
      <c r="T154" s="28"/>
      <c r="U154" s="28"/>
      <c r="V154" s="21"/>
      <c r="W154" s="363">
        <f>W152-W153</f>
        <v>3000</v>
      </c>
      <c r="X154" s="363"/>
      <c r="Y154" s="364">
        <f>Y152-Y153</f>
        <v>-2000</v>
      </c>
      <c r="Z154" s="364"/>
      <c r="AB154" s="27" t="s">
        <v>187</v>
      </c>
      <c r="AC154" s="28"/>
      <c r="AD154" s="28"/>
      <c r="AE154" s="21"/>
      <c r="AF154" s="363">
        <f>AF152-AF153</f>
        <v>3000</v>
      </c>
      <c r="AG154" s="363"/>
      <c r="AH154" s="364">
        <f>AH152-AH153</f>
        <v>-2000</v>
      </c>
      <c r="AI154" s="364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J155" s="27" t="s">
        <v>188</v>
      </c>
      <c r="K155" s="28"/>
      <c r="L155" s="28"/>
      <c r="M155" s="21"/>
      <c r="N155" s="363">
        <f>N154-P154</f>
        <v>5000</v>
      </c>
      <c r="O155" s="363"/>
      <c r="P155" s="21"/>
      <c r="Q155" s="29"/>
      <c r="S155" s="27" t="s">
        <v>188</v>
      </c>
      <c r="T155" s="28"/>
      <c r="U155" s="28"/>
      <c r="V155" s="21"/>
      <c r="W155" s="363">
        <f>W154-Y154</f>
        <v>5000</v>
      </c>
      <c r="X155" s="363"/>
      <c r="Y155" s="21"/>
      <c r="Z155" s="29"/>
      <c r="AB155" s="27" t="s">
        <v>188</v>
      </c>
      <c r="AC155" s="28"/>
      <c r="AD155" s="28"/>
      <c r="AE155" s="21"/>
      <c r="AF155" s="363">
        <f>AF154-AH154</f>
        <v>5000</v>
      </c>
      <c r="AG155" s="363"/>
      <c r="AH155" s="21"/>
      <c r="AI155" s="29"/>
    </row>
    <row r="156" spans="1:35">
      <c r="A156" s="27" t="s">
        <v>189</v>
      </c>
      <c r="B156" s="28"/>
      <c r="C156" s="28"/>
      <c r="D156" s="21"/>
      <c r="E156" s="28"/>
      <c r="F156" s="21"/>
      <c r="G156" s="21"/>
      <c r="H156" s="36">
        <v>1420</v>
      </c>
      <c r="J156" s="27"/>
      <c r="K156" s="28"/>
      <c r="L156" s="28"/>
      <c r="M156" s="21"/>
      <c r="N156" s="28"/>
      <c r="O156" s="21"/>
      <c r="P156" s="21"/>
      <c r="Q156" s="29"/>
      <c r="S156" s="27"/>
      <c r="T156" s="28"/>
      <c r="U156" s="28"/>
      <c r="V156" s="21"/>
      <c r="W156" s="28"/>
      <c r="X156" s="21"/>
      <c r="Y156" s="21"/>
      <c r="Z156" s="29"/>
      <c r="AB156" s="27"/>
      <c r="AC156" s="28"/>
      <c r="AD156" s="28"/>
      <c r="AE156" s="21"/>
      <c r="AF156" s="28"/>
      <c r="AG156" s="21"/>
      <c r="AH156" s="21"/>
      <c r="AI156" s="29"/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2000</v>
      </c>
      <c r="H157" s="365"/>
      <c r="J157" s="22" t="s">
        <v>190</v>
      </c>
      <c r="K157" s="23"/>
      <c r="L157" s="23"/>
      <c r="M157" s="63"/>
      <c r="N157" s="23"/>
      <c r="O157" s="63"/>
      <c r="P157" s="365">
        <f>J114</f>
        <v>1000</v>
      </c>
      <c r="Q157" s="365"/>
      <c r="S157" s="22" t="s">
        <v>190</v>
      </c>
      <c r="T157" s="23"/>
      <c r="U157" s="23"/>
      <c r="V157" s="63"/>
      <c r="W157" s="23"/>
      <c r="X157" s="63"/>
      <c r="Y157" s="365">
        <f>S114</f>
        <v>1000</v>
      </c>
      <c r="Z157" s="365"/>
      <c r="AB157" s="22" t="s">
        <v>190</v>
      </c>
      <c r="AC157" s="23"/>
      <c r="AD157" s="23"/>
      <c r="AE157" s="63"/>
      <c r="AF157" s="23"/>
      <c r="AG157" s="63"/>
      <c r="AH157" s="365">
        <f>AB114</f>
        <v>1000</v>
      </c>
      <c r="AI157" s="365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19115</v>
      </c>
      <c r="H158" s="366"/>
      <c r="J158" s="129" t="s">
        <v>191</v>
      </c>
      <c r="K158" s="28"/>
      <c r="L158" s="28"/>
      <c r="M158" s="21"/>
      <c r="N158" s="28"/>
      <c r="O158" s="21"/>
      <c r="P158" s="366" t="e">
        <f>Q147-P154-P157</f>
        <v>#VALUE!</v>
      </c>
      <c r="Q158" s="366"/>
      <c r="S158" s="129" t="s">
        <v>191</v>
      </c>
      <c r="T158" s="28"/>
      <c r="U158" s="28"/>
      <c r="V158" s="21"/>
      <c r="W158" s="28"/>
      <c r="X158" s="21"/>
      <c r="Y158" s="366" t="e">
        <f>Z147-Y154-Y157</f>
        <v>#VALUE!</v>
      </c>
      <c r="Z158" s="366"/>
      <c r="AB158" s="129" t="s">
        <v>191</v>
      </c>
      <c r="AC158" s="28"/>
      <c r="AD158" s="28"/>
      <c r="AE158" s="21"/>
      <c r="AF158" s="28"/>
      <c r="AG158" s="21"/>
      <c r="AH158" s="366" t="e">
        <f>AI147-AH154-AH157</f>
        <v>#VALUE!</v>
      </c>
      <c r="AI158" s="366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1000</v>
      </c>
      <c r="H159" s="367"/>
      <c r="J159" s="49" t="s">
        <v>66</v>
      </c>
      <c r="K159" s="50"/>
      <c r="L159" s="50"/>
      <c r="M159" s="85"/>
      <c r="N159" s="50"/>
      <c r="O159" s="85"/>
      <c r="P159" s="367">
        <f>K114</f>
        <v>239.99</v>
      </c>
      <c r="Q159" s="367"/>
      <c r="S159" s="49" t="s">
        <v>66</v>
      </c>
      <c r="T159" s="50"/>
      <c r="U159" s="50"/>
      <c r="V159" s="85"/>
      <c r="W159" s="50"/>
      <c r="X159" s="85"/>
      <c r="Y159" s="367">
        <f>T114</f>
        <v>199.99</v>
      </c>
      <c r="Z159" s="367"/>
      <c r="AB159" s="49" t="s">
        <v>66</v>
      </c>
      <c r="AC159" s="50"/>
      <c r="AD159" s="50"/>
      <c r="AE159" s="85"/>
      <c r="AF159" s="50"/>
      <c r="AG159" s="85"/>
      <c r="AH159" s="367">
        <f>AC114</f>
        <v>239.99</v>
      </c>
      <c r="AI159" s="367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/>
      <c r="B161" s="28"/>
      <c r="C161" s="28"/>
      <c r="D161" s="28"/>
      <c r="E161" s="21"/>
      <c r="F161" s="21"/>
      <c r="G161" s="21"/>
      <c r="H161" s="29"/>
      <c r="J161" s="27"/>
      <c r="K161" s="28"/>
      <c r="L161" s="28"/>
      <c r="M161" s="28"/>
      <c r="N161" s="21"/>
      <c r="O161" s="21"/>
      <c r="P161" s="21"/>
      <c r="Q161" s="29"/>
      <c r="S161" s="27"/>
      <c r="T161" s="28"/>
      <c r="U161" s="28"/>
      <c r="V161" s="28"/>
      <c r="W161" s="21"/>
      <c r="X161" s="21"/>
      <c r="Y161" s="21"/>
      <c r="Z161" s="29"/>
      <c r="AB161" s="27"/>
      <c r="AC161" s="28"/>
      <c r="AD161" s="28"/>
      <c r="AE161" s="28"/>
      <c r="AF161" s="21"/>
      <c r="AG161" s="21"/>
      <c r="AH161" s="21"/>
      <c r="AI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35" t="s">
        <v>192</v>
      </c>
      <c r="K162" s="335"/>
      <c r="L162" s="335"/>
      <c r="M162" s="335"/>
      <c r="N162" s="335"/>
      <c r="O162" s="335"/>
      <c r="P162" s="335"/>
      <c r="Q162" s="335"/>
      <c r="S162" s="335" t="s">
        <v>192</v>
      </c>
      <c r="T162" s="335"/>
      <c r="U162" s="335"/>
      <c r="V162" s="335"/>
      <c r="W162" s="335"/>
      <c r="X162" s="335"/>
      <c r="Y162" s="335"/>
      <c r="Z162" s="335"/>
      <c r="AB162" s="335" t="s">
        <v>192</v>
      </c>
      <c r="AC162" s="335"/>
      <c r="AD162" s="335"/>
      <c r="AE162" s="335"/>
      <c r="AF162" s="335"/>
      <c r="AG162" s="335"/>
      <c r="AH162" s="335"/>
      <c r="AI162" s="335"/>
    </row>
    <row r="163" spans="1:35">
      <c r="A163" s="27"/>
      <c r="B163" s="28"/>
      <c r="C163" s="28"/>
      <c r="D163" s="28"/>
      <c r="E163" s="21"/>
      <c r="F163" s="21"/>
      <c r="G163" s="21"/>
      <c r="H163" s="29"/>
      <c r="J163" s="27"/>
      <c r="K163" s="28"/>
      <c r="L163" s="28"/>
      <c r="M163" s="28"/>
      <c r="N163" s="21"/>
      <c r="O163" s="21"/>
      <c r="P163" s="21"/>
      <c r="Q163" s="29"/>
      <c r="S163" s="27"/>
      <c r="T163" s="28"/>
      <c r="U163" s="28"/>
      <c r="V163" s="28"/>
      <c r="W163" s="21"/>
      <c r="X163" s="21"/>
      <c r="Y163" s="21"/>
      <c r="Z163" s="29"/>
      <c r="AB163" s="27"/>
      <c r="AC163" s="28"/>
      <c r="AD163" s="28"/>
      <c r="AE163" s="28"/>
      <c r="AF163" s="21"/>
      <c r="AG163" s="21"/>
      <c r="AH163" s="21"/>
      <c r="AI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J164" s="27" t="s">
        <v>193</v>
      </c>
      <c r="K164" s="368">
        <v>0</v>
      </c>
      <c r="L164" s="368"/>
      <c r="M164" s="28"/>
      <c r="N164" s="21"/>
      <c r="O164" s="21"/>
      <c r="P164" s="21"/>
      <c r="Q164" s="29"/>
      <c r="S164" s="27" t="s">
        <v>193</v>
      </c>
      <c r="T164" s="368">
        <v>0</v>
      </c>
      <c r="U164" s="368"/>
      <c r="V164" s="28"/>
      <c r="W164" s="21"/>
      <c r="X164" s="21"/>
      <c r="Y164" s="21"/>
      <c r="Z164" s="29"/>
      <c r="AB164" s="27" t="s">
        <v>193</v>
      </c>
      <c r="AC164" s="368">
        <v>0</v>
      </c>
      <c r="AD164" s="368"/>
      <c r="AE164" s="28"/>
      <c r="AF164" s="21"/>
      <c r="AG164" s="21"/>
      <c r="AH164" s="21"/>
      <c r="AI164" s="29"/>
    </row>
    <row r="165" spans="1:35">
      <c r="A165" s="27"/>
      <c r="B165" s="28"/>
      <c r="C165" s="28"/>
      <c r="D165" s="28"/>
      <c r="E165" s="21"/>
      <c r="F165" s="21"/>
      <c r="G165" s="21"/>
      <c r="H165" s="29"/>
      <c r="J165" s="27"/>
      <c r="K165" s="28"/>
      <c r="L165" s="28"/>
      <c r="M165" s="28"/>
      <c r="N165" s="21"/>
      <c r="O165" s="21"/>
      <c r="P165" s="21"/>
      <c r="Q165" s="29"/>
      <c r="S165" s="27"/>
      <c r="T165" s="28"/>
      <c r="U165" s="28"/>
      <c r="V165" s="28"/>
      <c r="W165" s="21"/>
      <c r="X165" s="21"/>
      <c r="Y165" s="21"/>
      <c r="Z165" s="29"/>
      <c r="AB165" s="27"/>
      <c r="AC165" s="28"/>
      <c r="AD165" s="28"/>
      <c r="AE165" s="28"/>
      <c r="AF165" s="21"/>
      <c r="AG165" s="21"/>
      <c r="AH165" s="21"/>
      <c r="AI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  <c r="J166" s="130" t="s">
        <v>194</v>
      </c>
      <c r="K166" s="131" t="s">
        <v>195</v>
      </c>
      <c r="L166" s="131"/>
      <c r="M166" s="131"/>
      <c r="N166" s="131" t="s">
        <v>196</v>
      </c>
      <c r="O166" s="21"/>
      <c r="P166" s="21"/>
      <c r="Q166" s="29"/>
      <c r="S166" s="130" t="s">
        <v>194</v>
      </c>
      <c r="T166" s="131" t="s">
        <v>195</v>
      </c>
      <c r="U166" s="131"/>
      <c r="V166" s="131"/>
      <c r="W166" s="131" t="s">
        <v>196</v>
      </c>
      <c r="X166" s="21"/>
      <c r="Y166" s="21"/>
      <c r="Z166" s="29"/>
      <c r="AB166" s="130" t="s">
        <v>194</v>
      </c>
      <c r="AC166" s="131" t="s">
        <v>195</v>
      </c>
      <c r="AD166" s="131"/>
      <c r="AE166" s="131"/>
      <c r="AF166" s="131" t="s">
        <v>196</v>
      </c>
      <c r="AG166" s="21"/>
      <c r="AH166" s="21"/>
      <c r="AI166" s="29"/>
    </row>
    <row r="167" spans="1:35">
      <c r="A167" s="132">
        <f>B95</f>
        <v>661.42986750580133</v>
      </c>
      <c r="B167" s="133" t="str">
        <f>B94</f>
        <v>0</v>
      </c>
      <c r="C167" s="131"/>
      <c r="D167" s="131"/>
      <c r="E167" s="133">
        <f>B96</f>
        <v>661.42986750580133</v>
      </c>
      <c r="F167" s="21"/>
      <c r="G167" s="21">
        <f>ROUND(G95,2)</f>
        <v>601.02</v>
      </c>
      <c r="H167" s="29"/>
      <c r="J167" s="132" t="e">
        <f>K95</f>
        <v>#VALUE!</v>
      </c>
      <c r="K167" s="133">
        <f>K94</f>
        <v>0</v>
      </c>
      <c r="L167" s="131"/>
      <c r="M167" s="131"/>
      <c r="N167" s="133" t="e">
        <f>K96</f>
        <v>#VALUE!</v>
      </c>
      <c r="O167" s="21"/>
      <c r="P167" s="21"/>
      <c r="Q167" s="29"/>
      <c r="S167" s="132" t="e">
        <f>T95</f>
        <v>#VALUE!</v>
      </c>
      <c r="T167" s="133">
        <f>T94</f>
        <v>0</v>
      </c>
      <c r="U167" s="131"/>
      <c r="V167" s="131"/>
      <c r="W167" s="133" t="e">
        <f>T96</f>
        <v>#VALUE!</v>
      </c>
      <c r="X167" s="21"/>
      <c r="Y167" s="21"/>
      <c r="Z167" s="29"/>
      <c r="AB167" s="132" t="e">
        <f>AC95</f>
        <v>#VALUE!</v>
      </c>
      <c r="AC167" s="133">
        <f>AC94</f>
        <v>0</v>
      </c>
      <c r="AD167" s="131"/>
      <c r="AE167" s="131"/>
      <c r="AF167" s="133" t="e">
        <f>AC96</f>
        <v>#VALUE!</v>
      </c>
      <c r="AG167" s="21"/>
      <c r="AH167" s="21"/>
      <c r="AI167" s="29"/>
    </row>
    <row r="168" spans="1:35">
      <c r="A168" s="27"/>
      <c r="B168" s="28"/>
      <c r="C168" s="28"/>
      <c r="D168" s="28"/>
      <c r="E168" s="21"/>
      <c r="F168" s="21"/>
      <c r="G168" s="21"/>
      <c r="H168" s="29"/>
      <c r="J168" s="27"/>
      <c r="K168" s="28"/>
      <c r="L168" s="28"/>
      <c r="M168" s="28"/>
      <c r="N168" s="21"/>
      <c r="O168" s="21"/>
      <c r="P168" s="21"/>
      <c r="Q168" s="29"/>
      <c r="S168" s="27"/>
      <c r="T168" s="28"/>
      <c r="U168" s="28"/>
      <c r="V168" s="28"/>
      <c r="W168" s="21"/>
      <c r="X168" s="21"/>
      <c r="Y168" s="21"/>
      <c r="Z168" s="29"/>
      <c r="AB168" s="27"/>
      <c r="AC168" s="28"/>
      <c r="AD168" s="28"/>
      <c r="AE168" s="28"/>
      <c r="AF168" s="21"/>
      <c r="AG168" s="21"/>
      <c r="AH168" s="21"/>
      <c r="AI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  <c r="J169" s="27" t="s">
        <v>94</v>
      </c>
      <c r="K169" s="28" t="s">
        <v>95</v>
      </c>
      <c r="L169" s="28"/>
      <c r="M169" s="21"/>
      <c r="N169" s="28" t="s">
        <v>198</v>
      </c>
      <c r="O169" s="21"/>
      <c r="P169" s="21"/>
      <c r="Q169" s="29"/>
      <c r="S169" s="27" t="s">
        <v>94</v>
      </c>
      <c r="T169" s="28" t="s">
        <v>95</v>
      </c>
      <c r="U169" s="28"/>
      <c r="V169" s="21"/>
      <c r="W169" s="28" t="s">
        <v>198</v>
      </c>
      <c r="X169" s="21"/>
      <c r="Y169" s="21"/>
      <c r="Z169" s="29"/>
      <c r="AB169" s="27" t="s">
        <v>94</v>
      </c>
      <c r="AC169" s="28" t="s">
        <v>95</v>
      </c>
      <c r="AD169" s="28"/>
      <c r="AE169" s="21"/>
      <c r="AF169" s="28" t="s">
        <v>198</v>
      </c>
      <c r="AG169" s="21"/>
      <c r="AH169" s="21"/>
      <c r="AI169" s="29"/>
    </row>
    <row r="170" spans="1:35">
      <c r="A170" s="134">
        <f>K29</f>
        <v>35</v>
      </c>
      <c r="B170" s="135">
        <f>K30</f>
        <v>35000</v>
      </c>
      <c r="C170" s="136"/>
      <c r="D170" s="21"/>
      <c r="E170" s="137">
        <f>IF(A111="YES",A40,0)</f>
        <v>0</v>
      </c>
      <c r="F170" s="21"/>
      <c r="G170" s="21"/>
      <c r="H170" s="29"/>
      <c r="J170" s="134">
        <f>K29</f>
        <v>35</v>
      </c>
      <c r="K170" s="135">
        <f>K30</f>
        <v>35000</v>
      </c>
      <c r="L170" s="136"/>
      <c r="M170" s="21"/>
      <c r="N170" s="137">
        <f>IF(A111="YES",A40,0)</f>
        <v>0</v>
      </c>
      <c r="O170" s="21"/>
      <c r="P170" s="21"/>
      <c r="Q170" s="29"/>
      <c r="S170" s="134">
        <f>K29</f>
        <v>35</v>
      </c>
      <c r="T170" s="135">
        <f>K30</f>
        <v>35000</v>
      </c>
      <c r="U170" s="136"/>
      <c r="V170" s="21"/>
      <c r="W170" s="137">
        <f>IF(A111="YES",A40,0)</f>
        <v>0</v>
      </c>
      <c r="X170" s="21"/>
      <c r="Y170" s="21"/>
      <c r="Z170" s="29"/>
      <c r="AB170" s="134">
        <f>K29</f>
        <v>35</v>
      </c>
      <c r="AC170" s="135">
        <f>K30</f>
        <v>35000</v>
      </c>
      <c r="AD170" s="136"/>
      <c r="AE170" s="21"/>
      <c r="AF170" s="137">
        <f>IF(A111="YES",A40,0)</f>
        <v>0</v>
      </c>
      <c r="AG170" s="21"/>
      <c r="AH170" s="21"/>
      <c r="AI170" s="29"/>
    </row>
    <row r="171" spans="1:35">
      <c r="A171" s="27"/>
      <c r="B171" s="28"/>
      <c r="C171" s="28"/>
      <c r="D171" s="21"/>
      <c r="E171" s="28"/>
      <c r="F171" s="21"/>
      <c r="G171" s="21"/>
      <c r="H171" s="29"/>
      <c r="J171" s="27"/>
      <c r="K171" s="28"/>
      <c r="L171" s="28"/>
      <c r="M171" s="21"/>
      <c r="N171" s="28"/>
      <c r="O171" s="21"/>
      <c r="P171" s="21"/>
      <c r="Q171" s="29"/>
      <c r="S171" s="27"/>
      <c r="T171" s="28"/>
      <c r="U171" s="28"/>
      <c r="V171" s="21"/>
      <c r="W171" s="28"/>
      <c r="X171" s="21"/>
      <c r="Y171" s="21"/>
      <c r="Z171" s="29"/>
      <c r="AB171" s="27"/>
      <c r="AC171" s="28"/>
      <c r="AD171" s="28"/>
      <c r="AE171" s="21"/>
      <c r="AF171" s="28"/>
      <c r="AG171" s="21"/>
      <c r="AH171" s="21"/>
      <c r="AI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  <c r="J172" s="27" t="s">
        <v>199</v>
      </c>
      <c r="K172" s="28" t="s">
        <v>200</v>
      </c>
      <c r="L172" s="28"/>
      <c r="M172" s="21"/>
      <c r="N172" s="28" t="s">
        <v>201</v>
      </c>
      <c r="O172" s="21"/>
      <c r="P172" s="21"/>
      <c r="Q172" s="29"/>
      <c r="S172" s="27" t="s">
        <v>199</v>
      </c>
      <c r="T172" s="28" t="s">
        <v>200</v>
      </c>
      <c r="U172" s="28"/>
      <c r="V172" s="21"/>
      <c r="W172" s="28" t="s">
        <v>201</v>
      </c>
      <c r="X172" s="21"/>
      <c r="Y172" s="21"/>
      <c r="Z172" s="29"/>
      <c r="AB172" s="27" t="s">
        <v>199</v>
      </c>
      <c r="AC172" s="28" t="s">
        <v>200</v>
      </c>
      <c r="AD172" s="28"/>
      <c r="AE172" s="21"/>
      <c r="AF172" s="28" t="s">
        <v>201</v>
      </c>
      <c r="AG172" s="21"/>
      <c r="AH172" s="21"/>
      <c r="AI172" s="29"/>
    </row>
    <row r="173" spans="1:35">
      <c r="A173" s="138">
        <f>H141-H137-H139-H140</f>
        <v>16412.5</v>
      </c>
      <c r="B173" s="34">
        <f>H137</f>
        <v>3282.5</v>
      </c>
      <c r="C173" s="38"/>
      <c r="D173" s="21"/>
      <c r="E173" s="137">
        <f>H139+H140</f>
        <v>0</v>
      </c>
      <c r="F173" s="21"/>
      <c r="G173" s="21"/>
      <c r="H173" s="29"/>
      <c r="J173" s="138" t="e">
        <f>Q141-Q137-Q139-Q140</f>
        <v>#VALUE!</v>
      </c>
      <c r="K173" s="34" t="e">
        <f>Q137</f>
        <v>#VALUE!</v>
      </c>
      <c r="L173" s="38"/>
      <c r="M173" s="21"/>
      <c r="N173" s="137">
        <f>Q139+Q140</f>
        <v>55</v>
      </c>
      <c r="O173" s="21"/>
      <c r="P173" s="21"/>
      <c r="Q173" s="29"/>
      <c r="S173" s="138" t="e">
        <f>Z141-Z137-Z139-Z140</f>
        <v>#VALUE!</v>
      </c>
      <c r="T173" s="34" t="e">
        <f>Z137</f>
        <v>#VALUE!</v>
      </c>
      <c r="U173" s="38"/>
      <c r="V173" s="21"/>
      <c r="W173" s="137">
        <f>Z139+Z140</f>
        <v>55</v>
      </c>
      <c r="X173" s="21"/>
      <c r="Y173" s="21"/>
      <c r="Z173" s="29"/>
      <c r="AB173" s="138" t="e">
        <f>AI141-AI137-AI139-AI140</f>
        <v>#VALUE!</v>
      </c>
      <c r="AC173" s="34" t="e">
        <f>AI137</f>
        <v>#VALUE!</v>
      </c>
      <c r="AD173" s="38"/>
      <c r="AE173" s="21"/>
      <c r="AF173" s="137">
        <f>AI139+AI140</f>
        <v>55</v>
      </c>
      <c r="AG173" s="21"/>
      <c r="AH173" s="21"/>
      <c r="AI173" s="29"/>
    </row>
    <row r="174" spans="1:35">
      <c r="A174" s="27"/>
      <c r="B174" s="28"/>
      <c r="C174" s="28"/>
      <c r="D174" s="21"/>
      <c r="E174" s="28"/>
      <c r="F174" s="21"/>
      <c r="G174" s="21"/>
      <c r="H174" s="29"/>
      <c r="J174" s="27"/>
      <c r="K174" s="28"/>
      <c r="L174" s="28"/>
      <c r="M174" s="21"/>
      <c r="N174" s="28"/>
      <c r="O174" s="21"/>
      <c r="P174" s="21"/>
      <c r="Q174" s="29"/>
      <c r="S174" s="27"/>
      <c r="T174" s="28"/>
      <c r="U174" s="28"/>
      <c r="V174" s="21"/>
      <c r="W174" s="28"/>
      <c r="X174" s="21"/>
      <c r="Y174" s="21"/>
      <c r="Z174" s="29"/>
      <c r="AB174" s="27"/>
      <c r="AC174" s="28"/>
      <c r="AD174" s="28"/>
      <c r="AE174" s="21"/>
      <c r="AF174" s="28"/>
      <c r="AG174" s="21"/>
      <c r="AH174" s="21"/>
      <c r="AI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  <c r="J175" s="27" t="s">
        <v>202</v>
      </c>
      <c r="K175" s="28" t="s">
        <v>148</v>
      </c>
      <c r="L175" s="28"/>
      <c r="M175" s="21"/>
      <c r="N175" s="28" t="s">
        <v>149</v>
      </c>
      <c r="O175" s="21"/>
      <c r="P175" s="21"/>
      <c r="Q175" s="29"/>
      <c r="S175" s="27" t="s">
        <v>202</v>
      </c>
      <c r="T175" s="28" t="s">
        <v>148</v>
      </c>
      <c r="U175" s="28"/>
      <c r="V175" s="21"/>
      <c r="W175" s="28" t="s">
        <v>149</v>
      </c>
      <c r="X175" s="21"/>
      <c r="Y175" s="21"/>
      <c r="Z175" s="29"/>
      <c r="AB175" s="27" t="s">
        <v>202</v>
      </c>
      <c r="AC175" s="28" t="s">
        <v>148</v>
      </c>
      <c r="AD175" s="28"/>
      <c r="AE175" s="21"/>
      <c r="AF175" s="28" t="s">
        <v>149</v>
      </c>
      <c r="AG175" s="21"/>
      <c r="AH175" s="21"/>
      <c r="AI175" s="29"/>
    </row>
    <row r="176" spans="1:35">
      <c r="A176" s="138">
        <f>H141</f>
        <v>19695</v>
      </c>
      <c r="B176" s="34">
        <f>B111</f>
        <v>1000</v>
      </c>
      <c r="C176" s="34"/>
      <c r="D176" s="21"/>
      <c r="E176" s="34">
        <f>E111</f>
        <v>1000</v>
      </c>
      <c r="F176" s="21"/>
      <c r="G176" s="21"/>
      <c r="H176" s="90"/>
      <c r="J176" s="138" t="e">
        <f>Q141</f>
        <v>#VALUE!</v>
      </c>
      <c r="K176" s="34">
        <f>K111</f>
        <v>1000</v>
      </c>
      <c r="L176" s="34"/>
      <c r="M176" s="21"/>
      <c r="N176" s="34">
        <f>N111</f>
        <v>0</v>
      </c>
      <c r="O176" s="21"/>
      <c r="P176" s="21"/>
      <c r="Q176" s="90"/>
      <c r="S176" s="138" t="e">
        <f>Z141</f>
        <v>#VALUE!</v>
      </c>
      <c r="T176" s="34">
        <f>T111</f>
        <v>1000</v>
      </c>
      <c r="U176" s="34"/>
      <c r="V176" s="21"/>
      <c r="W176" s="34">
        <f>W111</f>
        <v>0</v>
      </c>
      <c r="X176" s="21"/>
      <c r="Y176" s="21"/>
      <c r="Z176" s="90"/>
      <c r="AB176" s="138" t="e">
        <f>AI141</f>
        <v>#VALUE!</v>
      </c>
      <c r="AC176" s="34">
        <f>AC111</f>
        <v>1000</v>
      </c>
      <c r="AD176" s="34"/>
      <c r="AE176" s="21"/>
      <c r="AF176" s="34">
        <f>AF111</f>
        <v>0</v>
      </c>
      <c r="AG176" s="21"/>
      <c r="AH176" s="21"/>
      <c r="AI176" s="90"/>
    </row>
    <row r="177" spans="1:35">
      <c r="A177" s="27"/>
      <c r="B177" s="28"/>
      <c r="C177" s="28"/>
      <c r="D177" s="21"/>
      <c r="E177" s="28"/>
      <c r="F177" s="21"/>
      <c r="G177" s="21"/>
      <c r="H177" s="29"/>
      <c r="J177" s="27"/>
      <c r="K177" s="28"/>
      <c r="L177" s="28"/>
      <c r="M177" s="21"/>
      <c r="N177" s="28"/>
      <c r="O177" s="21"/>
      <c r="P177" s="21"/>
      <c r="Q177" s="29"/>
      <c r="S177" s="27"/>
      <c r="T177" s="28"/>
      <c r="U177" s="28"/>
      <c r="V177" s="21"/>
      <c r="W177" s="28"/>
      <c r="X177" s="21"/>
      <c r="Y177" s="21"/>
      <c r="Z177" s="29"/>
      <c r="AB177" s="27"/>
      <c r="AC177" s="28"/>
      <c r="AD177" s="28"/>
      <c r="AE177" s="21"/>
      <c r="AF177" s="28"/>
      <c r="AG177" s="21"/>
      <c r="AH177" s="21"/>
      <c r="AI177" s="29"/>
    </row>
    <row r="178" spans="1:35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  <c r="J178" s="27" t="s">
        <v>150</v>
      </c>
      <c r="K178" s="28" t="s">
        <v>185</v>
      </c>
      <c r="L178" s="28"/>
      <c r="M178" s="21"/>
      <c r="N178" s="28" t="s">
        <v>191</v>
      </c>
      <c r="O178" s="21"/>
      <c r="P178" s="21"/>
      <c r="Q178" s="29"/>
      <c r="S178" s="27" t="s">
        <v>150</v>
      </c>
      <c r="T178" s="28" t="s">
        <v>185</v>
      </c>
      <c r="U178" s="28"/>
      <c r="V178" s="21"/>
      <c r="W178" s="28" t="s">
        <v>191</v>
      </c>
      <c r="X178" s="21"/>
      <c r="Y178" s="21"/>
      <c r="Z178" s="29"/>
      <c r="AB178" s="27" t="s">
        <v>150</v>
      </c>
      <c r="AC178" s="28" t="s">
        <v>185</v>
      </c>
      <c r="AD178" s="28"/>
      <c r="AE178" s="21"/>
      <c r="AF178" s="28" t="s">
        <v>191</v>
      </c>
      <c r="AG178" s="21"/>
      <c r="AH178" s="21"/>
      <c r="AI178" s="29"/>
    </row>
    <row r="179" spans="1:35">
      <c r="A179" s="94">
        <f>B176+E176</f>
        <v>2000</v>
      </c>
      <c r="B179" s="34">
        <f>G154</f>
        <v>0</v>
      </c>
      <c r="C179" s="34"/>
      <c r="D179" s="21"/>
      <c r="E179" s="34">
        <f>G158</f>
        <v>19115</v>
      </c>
      <c r="F179" s="21"/>
      <c r="G179" s="21"/>
      <c r="H179" s="90"/>
      <c r="J179" s="94">
        <f>K176+N176</f>
        <v>1000</v>
      </c>
      <c r="K179" s="34">
        <f>P154</f>
        <v>-2000</v>
      </c>
      <c r="L179" s="34"/>
      <c r="M179" s="21"/>
      <c r="N179" s="34" t="e">
        <f>J176-J179-K179</f>
        <v>#VALUE!</v>
      </c>
      <c r="O179" s="21"/>
      <c r="P179" s="21"/>
      <c r="Q179" s="90"/>
      <c r="S179" s="94">
        <f>T176+W176</f>
        <v>1000</v>
      </c>
      <c r="T179" s="34">
        <f>Y154</f>
        <v>-2000</v>
      </c>
      <c r="U179" s="34"/>
      <c r="V179" s="21"/>
      <c r="W179" s="34" t="e">
        <f>S176-S179-T179</f>
        <v>#VALUE!</v>
      </c>
      <c r="X179" s="21"/>
      <c r="Y179" s="21"/>
      <c r="Z179" s="90"/>
      <c r="AB179" s="94">
        <f>AC176+AF176</f>
        <v>1000</v>
      </c>
      <c r="AC179" s="34">
        <f>AH154</f>
        <v>-2000</v>
      </c>
      <c r="AD179" s="34"/>
      <c r="AE179" s="21"/>
      <c r="AF179" s="34" t="e">
        <f>AB176-AB179-AC179</f>
        <v>#VALUE!</v>
      </c>
      <c r="AG179" s="21"/>
      <c r="AH179" s="21"/>
      <c r="AI179" s="90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  <c r="J181" s="27" t="s">
        <v>203</v>
      </c>
      <c r="K181" s="28" t="s">
        <v>66</v>
      </c>
      <c r="L181" s="28"/>
      <c r="M181" s="21"/>
      <c r="N181" s="28" t="s">
        <v>204</v>
      </c>
      <c r="O181" s="21"/>
      <c r="P181" s="21"/>
      <c r="Q181" s="29"/>
      <c r="S181" s="27" t="s">
        <v>203</v>
      </c>
      <c r="T181" s="28" t="s">
        <v>66</v>
      </c>
      <c r="U181" s="28"/>
      <c r="V181" s="21"/>
      <c r="W181" s="28" t="s">
        <v>204</v>
      </c>
      <c r="X181" s="21"/>
      <c r="Y181" s="21"/>
      <c r="Z181" s="29"/>
      <c r="AB181" s="27" t="s">
        <v>203</v>
      </c>
      <c r="AC181" s="28" t="s">
        <v>66</v>
      </c>
      <c r="AD181" s="28"/>
      <c r="AE181" s="21"/>
      <c r="AF181" s="28" t="s">
        <v>204</v>
      </c>
      <c r="AG181" s="21"/>
      <c r="AH181" s="21"/>
      <c r="AI181" s="29"/>
    </row>
    <row r="182" spans="1:35">
      <c r="A182" s="94">
        <f>(A167*B59)+E185-E179-A185</f>
        <v>4035.0453627030474</v>
      </c>
      <c r="B182" s="34">
        <f>B114</f>
        <v>1000</v>
      </c>
      <c r="C182" s="34"/>
      <c r="D182" s="21"/>
      <c r="E182" s="34">
        <f>E179+A182+B182+A185</f>
        <v>24160.045362703047</v>
      </c>
      <c r="F182" s="21"/>
      <c r="G182" s="21"/>
      <c r="H182" s="90"/>
      <c r="J182" s="94" t="e">
        <f>(J167*K59)+N185-N179-J185</f>
        <v>#VALUE!</v>
      </c>
      <c r="K182" s="34">
        <f>K114</f>
        <v>239.99</v>
      </c>
      <c r="L182" s="34"/>
      <c r="M182" s="21"/>
      <c r="N182" s="34" t="e">
        <f>N179+J182+K182+J185</f>
        <v>#VALUE!</v>
      </c>
      <c r="O182" s="21"/>
      <c r="P182" s="21"/>
      <c r="Q182" s="90"/>
      <c r="S182" s="94" t="e">
        <f>(S167*T59)+W185-W179-S185</f>
        <v>#VALUE!</v>
      </c>
      <c r="T182" s="34">
        <f>T114</f>
        <v>199.99</v>
      </c>
      <c r="U182" s="34"/>
      <c r="V182" s="21"/>
      <c r="W182" s="34" t="e">
        <f>W179+S182+T182+S185</f>
        <v>#VALUE!</v>
      </c>
      <c r="X182" s="21"/>
      <c r="Y182" s="21"/>
      <c r="Z182" s="90"/>
      <c r="AB182" s="94" t="e">
        <f>(AB167*AC59)+AF185-AF179-AB185</f>
        <v>#VALUE!</v>
      </c>
      <c r="AC182" s="34">
        <f>AC114</f>
        <v>239.99</v>
      </c>
      <c r="AD182" s="34"/>
      <c r="AE182" s="21"/>
      <c r="AF182" s="34" t="e">
        <f>AF179+AB182+AC182+AB185</f>
        <v>#VALUE!</v>
      </c>
      <c r="AG182" s="21"/>
      <c r="AH182" s="21"/>
      <c r="AI182" s="90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  <c r="J184" s="27" t="s">
        <v>205</v>
      </c>
      <c r="K184" s="28" t="s">
        <v>206</v>
      </c>
      <c r="L184" s="28"/>
      <c r="M184" s="21"/>
      <c r="N184" s="28" t="s">
        <v>207</v>
      </c>
      <c r="O184" s="21"/>
      <c r="P184" s="21"/>
      <c r="Q184" s="29"/>
      <c r="S184" s="27" t="s">
        <v>205</v>
      </c>
      <c r="T184" s="28" t="s">
        <v>206</v>
      </c>
      <c r="U184" s="28"/>
      <c r="V184" s="21"/>
      <c r="W184" s="28" t="s">
        <v>207</v>
      </c>
      <c r="X184" s="21"/>
      <c r="Y184" s="21"/>
      <c r="Z184" s="29"/>
      <c r="AB184" s="27" t="s">
        <v>205</v>
      </c>
      <c r="AC184" s="28" t="s">
        <v>206</v>
      </c>
      <c r="AD184" s="28"/>
      <c r="AE184" s="21"/>
      <c r="AF184" s="28" t="s">
        <v>207</v>
      </c>
      <c r="AG184" s="21"/>
      <c r="AH184" s="21"/>
      <c r="AI184" s="29"/>
    </row>
    <row r="185" spans="1:35">
      <c r="A185" s="94">
        <f>B60</f>
        <v>10</v>
      </c>
      <c r="B185" s="34">
        <f>A179+B182</f>
        <v>3000</v>
      </c>
      <c r="C185" s="34"/>
      <c r="D185" s="21"/>
      <c r="E185" s="34">
        <f>IF( E170=0, A185+E167, E170+A185)</f>
        <v>671.42986750580133</v>
      </c>
      <c r="F185" s="21"/>
      <c r="G185" s="21"/>
      <c r="H185" s="90"/>
      <c r="J185" s="94">
        <f>K60</f>
        <v>20</v>
      </c>
      <c r="K185" s="34">
        <f>J179+K182</f>
        <v>1239.99</v>
      </c>
      <c r="L185" s="34"/>
      <c r="M185" s="21"/>
      <c r="N185" s="34">
        <f>N170+J185</f>
        <v>20</v>
      </c>
      <c r="O185" s="21"/>
      <c r="P185" s="21"/>
      <c r="Q185" s="90"/>
      <c r="S185" s="94">
        <f>T60</f>
        <v>10</v>
      </c>
      <c r="T185" s="34">
        <f>S179+T182</f>
        <v>1199.99</v>
      </c>
      <c r="U185" s="34"/>
      <c r="V185" s="21"/>
      <c r="W185" s="34">
        <f>W170+S185</f>
        <v>10</v>
      </c>
      <c r="X185" s="21"/>
      <c r="Y185" s="21"/>
      <c r="Z185" s="90"/>
      <c r="AB185" s="94">
        <f>AC60</f>
        <v>10</v>
      </c>
      <c r="AC185" s="34">
        <f>AB179+AC182</f>
        <v>1239.99</v>
      </c>
      <c r="AD185" s="34"/>
      <c r="AE185" s="21"/>
      <c r="AF185" s="34">
        <f>AF170+AB185</f>
        <v>10</v>
      </c>
      <c r="AG185" s="21"/>
      <c r="AH185" s="21"/>
      <c r="AI185" s="90"/>
    </row>
    <row r="186" spans="1:35">
      <c r="A186" s="27"/>
      <c r="B186" s="28"/>
      <c r="C186" s="28"/>
      <c r="D186" s="28"/>
      <c r="E186" s="21"/>
      <c r="F186" s="21"/>
      <c r="G186" s="21"/>
      <c r="H186" s="29"/>
      <c r="J186" s="27"/>
      <c r="K186" s="28"/>
      <c r="L186" s="28"/>
      <c r="M186" s="28"/>
      <c r="N186" s="21"/>
      <c r="O186" s="21"/>
      <c r="P186" s="21"/>
      <c r="Q186" s="29"/>
      <c r="S186" s="27"/>
      <c r="T186" s="28"/>
      <c r="U186" s="28"/>
      <c r="V186" s="28"/>
      <c r="W186" s="21"/>
      <c r="X186" s="28"/>
      <c r="Y186" s="28"/>
      <c r="Z186" s="29"/>
      <c r="AB186" s="27"/>
      <c r="AC186" s="28"/>
      <c r="AD186" s="28"/>
      <c r="AE186" s="28"/>
      <c r="AF186" s="21"/>
      <c r="AG186" s="21"/>
      <c r="AH186" s="21"/>
      <c r="AI186" s="29"/>
    </row>
    <row r="187" spans="1:35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  <c r="J187" s="27" t="s">
        <v>208</v>
      </c>
      <c r="K187" s="28" t="s">
        <v>209</v>
      </c>
      <c r="L187" s="28"/>
      <c r="M187" s="28"/>
      <c r="N187" s="35" t="s">
        <v>210</v>
      </c>
      <c r="O187" s="21"/>
      <c r="P187" s="21"/>
      <c r="Q187" s="29"/>
      <c r="S187" s="27" t="s">
        <v>208</v>
      </c>
      <c r="T187" s="28" t="s">
        <v>209</v>
      </c>
      <c r="U187" s="28"/>
      <c r="V187" s="28"/>
      <c r="W187" s="35" t="s">
        <v>210</v>
      </c>
      <c r="X187" s="28"/>
      <c r="Y187" s="28"/>
      <c r="Z187" s="29"/>
      <c r="AB187" s="27" t="s">
        <v>208</v>
      </c>
      <c r="AC187" s="28" t="s">
        <v>209</v>
      </c>
      <c r="AD187" s="28"/>
      <c r="AE187" s="28"/>
      <c r="AF187" s="35" t="s">
        <v>210</v>
      </c>
      <c r="AG187" s="28"/>
      <c r="AH187" s="28"/>
      <c r="AI187" s="29"/>
    </row>
    <row r="188" spans="1:35">
      <c r="A188" s="94">
        <f>IF(E105="YES",J18*0.000002,0)</f>
        <v>0</v>
      </c>
      <c r="B188" s="34">
        <f>(G158*B67)</f>
        <v>573.44999999999993</v>
      </c>
      <c r="C188" s="28"/>
      <c r="D188" s="28"/>
      <c r="E188" s="34">
        <f>(E40*A108)*0.1*C45/100</f>
        <v>0</v>
      </c>
      <c r="F188" s="21"/>
      <c r="G188" s="21"/>
      <c r="H188" s="29"/>
      <c r="J188" s="94">
        <f>IF(N105="YES",H15*0.000002,0)</f>
        <v>0</v>
      </c>
      <c r="K188" s="34" t="e">
        <f>(P158*K67)/1.2</f>
        <v>#VALUE!</v>
      </c>
      <c r="L188" s="28"/>
      <c r="M188" s="28"/>
      <c r="N188" s="34">
        <f>(E40*J108)*0.1</f>
        <v>0</v>
      </c>
      <c r="O188" s="21"/>
      <c r="P188" s="21"/>
      <c r="Q188" s="29"/>
      <c r="S188" s="94">
        <f>IF(W105="YES",Z15*0.000002,0)</f>
        <v>0</v>
      </c>
      <c r="T188" s="34" t="e">
        <f>(Y158*T67)/1.2</f>
        <v>#VALUE!</v>
      </c>
      <c r="U188" s="28"/>
      <c r="V188" s="28"/>
      <c r="W188" s="34">
        <f>(E40*S108)*0.1</f>
        <v>0</v>
      </c>
      <c r="X188" s="28"/>
      <c r="Y188" s="28"/>
      <c r="Z188" s="29"/>
      <c r="AB188" s="94">
        <f>IF(AF105="YES",AI15*0.000002,0)</f>
        <v>0</v>
      </c>
      <c r="AC188" s="34" t="e">
        <f>(AH158*AC67)/1.2</f>
        <v>#VALUE!</v>
      </c>
      <c r="AD188" s="28"/>
      <c r="AE188" s="28"/>
      <c r="AF188" s="34">
        <f>(E40*AB108)*0.1</f>
        <v>0</v>
      </c>
      <c r="AG188" s="28"/>
      <c r="AH188" s="28"/>
      <c r="AI188" s="29"/>
    </row>
    <row r="189" spans="1:35">
      <c r="A189" s="94"/>
      <c r="B189" s="34"/>
      <c r="C189" s="28"/>
      <c r="D189" s="28"/>
      <c r="E189" s="21"/>
      <c r="F189" s="21"/>
      <c r="G189" s="21"/>
      <c r="H189" s="29"/>
      <c r="J189" s="94"/>
      <c r="K189" s="34"/>
      <c r="L189" s="28"/>
      <c r="M189" s="28"/>
      <c r="N189" s="21"/>
      <c r="O189" s="21"/>
      <c r="P189" s="21"/>
      <c r="Q189" s="29"/>
      <c r="S189" s="94"/>
      <c r="T189" s="34"/>
      <c r="U189" s="28"/>
      <c r="V189" s="28"/>
      <c r="W189" s="21"/>
      <c r="X189" s="28"/>
      <c r="Y189" s="28"/>
      <c r="Z189" s="29"/>
      <c r="AB189" s="94"/>
      <c r="AC189" s="34"/>
      <c r="AD189" s="28"/>
      <c r="AE189" s="28"/>
      <c r="AF189" s="21"/>
      <c r="AG189" s="28"/>
      <c r="AH189" s="28"/>
      <c r="AI189" s="29"/>
    </row>
    <row r="190" spans="1:35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  <c r="J190" s="53" t="s">
        <v>211</v>
      </c>
      <c r="K190" s="35" t="s">
        <v>212</v>
      </c>
      <c r="L190" s="28"/>
      <c r="M190" s="28"/>
      <c r="N190" s="35" t="s">
        <v>213</v>
      </c>
      <c r="O190" s="21"/>
      <c r="P190" s="21"/>
      <c r="Q190" s="29"/>
      <c r="S190" s="53" t="s">
        <v>211</v>
      </c>
      <c r="T190" s="35" t="s">
        <v>212</v>
      </c>
      <c r="U190" s="28"/>
      <c r="V190" s="28"/>
      <c r="W190" s="35" t="s">
        <v>213</v>
      </c>
      <c r="X190" s="28"/>
      <c r="Y190" s="28"/>
      <c r="Z190" s="29"/>
      <c r="AB190" s="53" t="s">
        <v>211</v>
      </c>
      <c r="AC190" s="35" t="s">
        <v>212</v>
      </c>
      <c r="AD190" s="28"/>
      <c r="AE190" s="28"/>
      <c r="AF190" s="35" t="s">
        <v>213</v>
      </c>
      <c r="AG190" s="28"/>
      <c r="AH190" s="28"/>
      <c r="AI190" s="29"/>
    </row>
    <row r="191" spans="1:35">
      <c r="A191" s="94">
        <v>10</v>
      </c>
      <c r="B191" s="34">
        <f>B188+E188+A191</f>
        <v>583.44999999999993</v>
      </c>
      <c r="C191" s="28"/>
      <c r="D191" s="28"/>
      <c r="E191" s="34">
        <f>H148</f>
        <v>2079.170000000001</v>
      </c>
      <c r="F191" s="21"/>
      <c r="G191" s="21"/>
      <c r="H191" s="29"/>
      <c r="J191" s="94">
        <f>K185-100</f>
        <v>1139.99</v>
      </c>
      <c r="K191" s="34" t="e">
        <f>K188+N188+J191</f>
        <v>#VALUE!</v>
      </c>
      <c r="L191" s="28"/>
      <c r="M191" s="28"/>
      <c r="N191" s="34" t="e">
        <f>Q148</f>
        <v>#VALUE!</v>
      </c>
      <c r="O191" s="21"/>
      <c r="P191" s="21"/>
      <c r="Q191" s="29"/>
      <c r="S191" s="94">
        <f>T185-100</f>
        <v>1099.99</v>
      </c>
      <c r="T191" s="34" t="e">
        <f>T188+W188+S191</f>
        <v>#VALUE!</v>
      </c>
      <c r="U191" s="28"/>
      <c r="V191" s="28"/>
      <c r="W191" s="34" t="e">
        <f>Z148</f>
        <v>#VALUE!</v>
      </c>
      <c r="X191" s="28"/>
      <c r="Y191" s="28"/>
      <c r="Z191" s="29"/>
      <c r="AB191" s="94">
        <f>AC185-100</f>
        <v>1139.99</v>
      </c>
      <c r="AC191" s="34" t="e">
        <f>AC188+AF188+AB191</f>
        <v>#VALUE!</v>
      </c>
      <c r="AD191" s="28"/>
      <c r="AE191" s="28"/>
      <c r="AF191" s="34" t="e">
        <f>AI148</f>
        <v>#VALUE!</v>
      </c>
      <c r="AG191" s="28"/>
      <c r="AH191" s="28"/>
      <c r="AI191" s="29"/>
    </row>
    <row r="192" spans="1:35">
      <c r="A192" s="27"/>
      <c r="B192" s="28"/>
      <c r="C192" s="28"/>
      <c r="D192" s="28"/>
      <c r="E192" s="21"/>
      <c r="F192" s="21"/>
      <c r="G192" s="21"/>
      <c r="H192" s="29"/>
      <c r="J192" s="27"/>
      <c r="K192" s="28"/>
      <c r="L192" s="28"/>
      <c r="M192" s="28"/>
      <c r="N192" s="21"/>
      <c r="O192" s="21"/>
      <c r="P192" s="21"/>
      <c r="Q192" s="29"/>
      <c r="S192" s="27"/>
      <c r="T192" s="28"/>
      <c r="U192" s="28"/>
      <c r="V192" s="28"/>
      <c r="W192" s="21"/>
      <c r="X192" s="21"/>
      <c r="Y192" s="21"/>
      <c r="Z192" s="29"/>
      <c r="AB192" s="27"/>
      <c r="AC192" s="28"/>
      <c r="AD192" s="28"/>
      <c r="AE192" s="28"/>
      <c r="AF192" s="21"/>
      <c r="AG192" s="21"/>
      <c r="AH192" s="21"/>
      <c r="AI192" s="29"/>
    </row>
    <row r="193" spans="1:35">
      <c r="A193" s="58" t="s">
        <v>214</v>
      </c>
      <c r="B193" s="28"/>
      <c r="C193" s="28"/>
      <c r="D193" s="59"/>
      <c r="E193" s="59"/>
      <c r="F193" s="59"/>
      <c r="G193" s="59"/>
      <c r="H193" s="60"/>
      <c r="J193" s="58" t="s">
        <v>214</v>
      </c>
      <c r="K193" s="28"/>
      <c r="L193" s="28"/>
      <c r="M193" s="59"/>
      <c r="N193" s="59"/>
      <c r="O193" s="59"/>
      <c r="P193" s="59"/>
      <c r="Q193" s="60"/>
      <c r="S193" s="58" t="s">
        <v>214</v>
      </c>
      <c r="T193" s="28"/>
      <c r="U193" s="28"/>
      <c r="V193" s="59"/>
      <c r="W193" s="59"/>
      <c r="X193" s="59"/>
      <c r="Y193" s="59"/>
      <c r="Z193" s="60"/>
      <c r="AB193" s="58" t="s">
        <v>214</v>
      </c>
      <c r="AC193" s="28"/>
      <c r="AD193" s="28"/>
      <c r="AE193" s="59"/>
      <c r="AF193" s="59"/>
      <c r="AG193" s="59"/>
      <c r="AH193" s="59"/>
      <c r="AI193" s="60"/>
    </row>
    <row r="194" spans="1:35">
      <c r="A194" s="27"/>
      <c r="B194" s="61"/>
      <c r="C194" s="61"/>
      <c r="D194" s="28"/>
      <c r="E194" s="21"/>
      <c r="F194" s="21"/>
      <c r="G194" s="21"/>
      <c r="H194" s="29"/>
      <c r="J194" s="27"/>
      <c r="K194" s="61"/>
      <c r="L194" s="61"/>
      <c r="M194" s="28"/>
      <c r="N194" s="21"/>
      <c r="O194" s="21"/>
      <c r="P194" s="21"/>
      <c r="Q194" s="29"/>
      <c r="S194" s="27"/>
      <c r="T194" s="61"/>
      <c r="U194" s="61"/>
      <c r="V194" s="28"/>
      <c r="W194" s="21"/>
      <c r="X194" s="21"/>
      <c r="Y194" s="21"/>
      <c r="Z194" s="29"/>
      <c r="AB194" s="27"/>
      <c r="AC194" s="61"/>
      <c r="AD194" s="61"/>
      <c r="AE194" s="28"/>
      <c r="AF194" s="21"/>
      <c r="AG194" s="21"/>
      <c r="AH194" s="21"/>
      <c r="AI194" s="29"/>
    </row>
    <row r="195" spans="1:35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69" t="s">
        <v>94</v>
      </c>
      <c r="K195" s="341" t="s">
        <v>95</v>
      </c>
      <c r="L195" s="341"/>
      <c r="M195" s="341"/>
      <c r="N195" s="21"/>
      <c r="O195" s="21"/>
      <c r="P195" s="21"/>
      <c r="Q195" s="29"/>
      <c r="S195" s="369" t="s">
        <v>94</v>
      </c>
      <c r="T195" s="341" t="s">
        <v>95</v>
      </c>
      <c r="U195" s="341"/>
      <c r="V195" s="341"/>
      <c r="W195" s="21"/>
      <c r="X195" s="21"/>
      <c r="Y195" s="21"/>
      <c r="Z195" s="29"/>
      <c r="AB195" s="369" t="s">
        <v>94</v>
      </c>
      <c r="AC195" s="341" t="s">
        <v>95</v>
      </c>
      <c r="AD195" s="341"/>
      <c r="AE195" s="341"/>
      <c r="AF195" s="21"/>
      <c r="AG195" s="21"/>
      <c r="AH195" s="21"/>
      <c r="AI195" s="29"/>
    </row>
    <row r="196" spans="1:35" ht="19.5" customHeight="1">
      <c r="A196" s="369"/>
      <c r="B196" s="342">
        <f>K30</f>
        <v>35000</v>
      </c>
      <c r="C196" s="342"/>
      <c r="D196" s="342"/>
      <c r="E196" s="21"/>
      <c r="F196" s="21"/>
      <c r="G196" s="21"/>
      <c r="H196" s="29"/>
      <c r="J196" s="369"/>
      <c r="K196" s="342">
        <f>K30</f>
        <v>35000</v>
      </c>
      <c r="L196" s="342"/>
      <c r="M196" s="342"/>
      <c r="N196" s="21"/>
      <c r="O196" s="21"/>
      <c r="P196" s="21"/>
      <c r="Q196" s="29"/>
      <c r="S196" s="369"/>
      <c r="T196" s="342">
        <f>K30</f>
        <v>35000</v>
      </c>
      <c r="U196" s="342"/>
      <c r="V196" s="342"/>
      <c r="W196" s="21"/>
      <c r="X196" s="21"/>
      <c r="Y196" s="21"/>
      <c r="Z196" s="29"/>
      <c r="AB196" s="369"/>
      <c r="AC196" s="342">
        <f>K30</f>
        <v>35000</v>
      </c>
      <c r="AD196" s="342"/>
      <c r="AE196" s="342"/>
      <c r="AF196" s="21"/>
      <c r="AG196" s="21"/>
      <c r="AH196" s="21"/>
      <c r="AI196" s="29"/>
    </row>
    <row r="197" spans="1:35">
      <c r="A197" s="62">
        <f>K29</f>
        <v>35</v>
      </c>
      <c r="B197" s="343">
        <f>B96</f>
        <v>661.42986750580133</v>
      </c>
      <c r="C197" s="343"/>
      <c r="D197" s="343"/>
      <c r="E197" s="21"/>
      <c r="F197" s="21"/>
      <c r="G197" s="21"/>
      <c r="H197" s="29"/>
      <c r="J197" s="62">
        <f>K29</f>
        <v>35</v>
      </c>
      <c r="K197" s="343" t="e">
        <f>K96</f>
        <v>#VALUE!</v>
      </c>
      <c r="L197" s="343"/>
      <c r="M197" s="343"/>
      <c r="N197" s="21"/>
      <c r="O197" s="21"/>
      <c r="P197" s="21"/>
      <c r="Q197" s="29"/>
      <c r="S197" s="62">
        <f>K29</f>
        <v>35</v>
      </c>
      <c r="T197" s="343" t="e">
        <f>T96</f>
        <v>#VALUE!</v>
      </c>
      <c r="U197" s="343"/>
      <c r="V197" s="343"/>
      <c r="W197" s="21"/>
      <c r="X197" s="21"/>
      <c r="Y197" s="21"/>
      <c r="Z197" s="29"/>
      <c r="AB197" s="62">
        <f>K29</f>
        <v>35</v>
      </c>
      <c r="AC197" s="343" t="e">
        <f>AC96</f>
        <v>#VALUE!</v>
      </c>
      <c r="AD197" s="343"/>
      <c r="AE197" s="343"/>
      <c r="AF197" s="21"/>
      <c r="AG197" s="21"/>
      <c r="AH197" s="21"/>
      <c r="AI197" s="29"/>
    </row>
    <row r="198" spans="1:35">
      <c r="A198" s="27"/>
      <c r="B198" s="28"/>
      <c r="C198" s="28"/>
      <c r="D198" s="28"/>
      <c r="E198" s="21"/>
      <c r="F198" s="21"/>
      <c r="G198" s="21"/>
      <c r="H198" s="29"/>
      <c r="J198" s="27"/>
      <c r="K198" s="28"/>
      <c r="L198" s="28"/>
      <c r="M198" s="28"/>
      <c r="N198" s="21"/>
      <c r="O198" s="21"/>
      <c r="P198" s="21"/>
      <c r="Q198" s="29"/>
      <c r="S198" s="27"/>
      <c r="T198" s="28"/>
      <c r="U198" s="28"/>
      <c r="V198" s="28"/>
      <c r="W198" s="21"/>
      <c r="X198" s="21"/>
      <c r="Y198" s="21"/>
      <c r="Z198" s="29"/>
      <c r="AB198" s="27"/>
      <c r="AC198" s="28"/>
      <c r="AD198" s="28"/>
      <c r="AE198" s="28"/>
      <c r="AF198" s="21"/>
      <c r="AG198" s="21"/>
      <c r="AH198" s="21"/>
      <c r="AI198" s="29"/>
    </row>
    <row r="199" spans="1:35">
      <c r="A199" s="27"/>
      <c r="B199" s="28"/>
      <c r="C199" s="28"/>
      <c r="D199" s="28"/>
      <c r="E199" s="21"/>
      <c r="F199" s="21"/>
      <c r="G199" s="21"/>
      <c r="H199" s="29"/>
      <c r="J199" s="27"/>
      <c r="K199" s="28"/>
      <c r="L199" s="28"/>
      <c r="M199" s="28"/>
      <c r="N199" s="21"/>
      <c r="O199" s="21"/>
      <c r="P199" s="21"/>
      <c r="Q199" s="29"/>
      <c r="S199" s="27"/>
      <c r="T199" s="28"/>
      <c r="U199" s="28"/>
      <c r="V199" s="28"/>
      <c r="W199" s="21"/>
      <c r="X199" s="21"/>
      <c r="Y199" s="21"/>
      <c r="Z199" s="29"/>
      <c r="AB199" s="27"/>
      <c r="AC199" s="28"/>
      <c r="AD199" s="28"/>
      <c r="AE199" s="28"/>
      <c r="AF199" s="21"/>
      <c r="AG199" s="21"/>
      <c r="AH199" s="21"/>
      <c r="AI199" s="29"/>
    </row>
    <row r="200" spans="1:35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  <c r="J200" s="27"/>
      <c r="K200" s="28"/>
      <c r="L200" s="28"/>
      <c r="M200" s="28"/>
      <c r="N200" s="21"/>
      <c r="O200" s="21"/>
      <c r="P200" s="21"/>
      <c r="Q200" s="29"/>
      <c r="S200" s="27"/>
      <c r="T200" s="28"/>
      <c r="U200" s="28"/>
      <c r="V200" s="28"/>
      <c r="W200" s="21"/>
      <c r="X200" s="21"/>
      <c r="Y200" s="21"/>
      <c r="Z200" s="29"/>
      <c r="AB200" s="27"/>
      <c r="AC200" s="28"/>
      <c r="AD200" s="28"/>
      <c r="AE200" s="28"/>
      <c r="AF200" s="21"/>
      <c r="AG200" s="21"/>
      <c r="AH200" s="21"/>
      <c r="AI200" s="29"/>
    </row>
    <row r="201" spans="1:35">
      <c r="A201" s="32">
        <f>IF(A40=0,((G167*(B59+1))-E179),((G167*B59)+E185-E179-A185))</f>
        <v>1920.7000000000007</v>
      </c>
      <c r="B201" s="38">
        <f>E179+A201+B182+A185</f>
        <v>22045.7</v>
      </c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49"/>
      <c r="B202" s="50"/>
      <c r="C202" s="50"/>
      <c r="D202" s="50"/>
      <c r="E202" s="50"/>
      <c r="F202" s="50"/>
      <c r="G202" s="50"/>
      <c r="H202" s="57"/>
      <c r="J202" s="49"/>
      <c r="K202" s="50"/>
      <c r="L202" s="50"/>
      <c r="M202" s="50"/>
      <c r="N202" s="50"/>
      <c r="O202" s="50"/>
      <c r="P202" s="50"/>
      <c r="Q202" s="57"/>
      <c r="S202" s="49"/>
      <c r="T202" s="50"/>
      <c r="U202" s="50"/>
      <c r="V202" s="50"/>
      <c r="W202" s="50"/>
      <c r="X202" s="50"/>
      <c r="Y202" s="50"/>
      <c r="Z202" s="57"/>
      <c r="AB202" s="49"/>
      <c r="AC202" s="50"/>
      <c r="AD202" s="50"/>
      <c r="AE202" s="50"/>
      <c r="AF202" s="50"/>
      <c r="AG202" s="50"/>
      <c r="AH202" s="50"/>
      <c r="AI202" s="57"/>
    </row>
    <row r="206" spans="1:35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5">
      <c r="A207" s="27"/>
      <c r="B207" s="28"/>
      <c r="C207" s="28"/>
      <c r="D207" s="28"/>
      <c r="E207" s="21"/>
      <c r="F207" s="21"/>
      <c r="G207" s="21"/>
      <c r="H207" s="29"/>
    </row>
    <row r="208" spans="1:35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42" t="s">
        <v>217</v>
      </c>
      <c r="B209" s="131">
        <f>A197</f>
        <v>35</v>
      </c>
      <c r="C209" s="131"/>
      <c r="D209" s="131"/>
      <c r="E209" s="131">
        <f>B196</f>
        <v>35000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661.42986750580133</v>
      </c>
      <c r="B212" s="133" t="str">
        <f>B167</f>
        <v>0</v>
      </c>
      <c r="C212" s="131"/>
      <c r="D212" s="131"/>
      <c r="E212" s="133">
        <f>E167</f>
        <v>661.42986750580133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16412.5</v>
      </c>
      <c r="B215" s="34">
        <f>B173</f>
        <v>3282.5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19695</v>
      </c>
      <c r="B218" s="34">
        <f>B176</f>
        <v>1000</v>
      </c>
      <c r="C218" s="34"/>
      <c r="D218" s="21"/>
      <c r="E218" s="34">
        <f>E176</f>
        <v>1000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2000</v>
      </c>
      <c r="B221" s="34">
        <f>B179</f>
        <v>0</v>
      </c>
      <c r="C221" s="34"/>
      <c r="D221" s="21"/>
      <c r="E221" s="34">
        <f>E179</f>
        <v>19115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4035.0453627030474</v>
      </c>
      <c r="B224" s="34">
        <f>B182</f>
        <v>1000</v>
      </c>
      <c r="C224" s="34"/>
      <c r="D224" s="21"/>
      <c r="E224" s="34">
        <f>E182</f>
        <v>24160.045362703047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3000</v>
      </c>
      <c r="C227" s="34"/>
      <c r="D227" s="21"/>
      <c r="E227" s="34">
        <f>B59</f>
        <v>34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661.42986750580133</v>
      </c>
      <c r="B230" s="34" t="str">
        <f>B167</f>
        <v>0</v>
      </c>
      <c r="C230" s="38"/>
      <c r="D230" s="38"/>
      <c r="E230" s="34">
        <f>E167</f>
        <v>661.42986750580133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219</v>
      </c>
      <c r="B232" s="28" t="s">
        <v>220</v>
      </c>
      <c r="C232" s="28"/>
      <c r="D232" s="28"/>
      <c r="E232" s="28" t="s">
        <v>80</v>
      </c>
      <c r="F232" s="21"/>
      <c r="G232" s="21"/>
      <c r="H232" s="29"/>
    </row>
    <row r="233" spans="1:8">
      <c r="A233" s="94">
        <f>E170</f>
        <v>0</v>
      </c>
      <c r="B233" s="34">
        <f>E185</f>
        <v>671.42986750580133</v>
      </c>
      <c r="C233" s="28"/>
      <c r="D233" s="28"/>
      <c r="E233" s="34">
        <f>J18*0.000006*100*1.2</f>
        <v>29.178719999999998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221</v>
      </c>
      <c r="B235" s="35" t="s">
        <v>85</v>
      </c>
      <c r="C235" s="28"/>
      <c r="D235" s="28"/>
      <c r="E235" s="35" t="s">
        <v>142</v>
      </c>
      <c r="F235" s="21"/>
      <c r="G235" s="21"/>
      <c r="H235" s="29"/>
    </row>
    <row r="236" spans="1:8">
      <c r="A236" s="94">
        <f>IF(E105="YES",J18*0.000002,0)*100*1.2</f>
        <v>0</v>
      </c>
      <c r="B236" s="34">
        <f>E233+A236</f>
        <v>29.178719999999998</v>
      </c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2079.170000000001</v>
      </c>
      <c r="B240" s="34">
        <f>B68</f>
        <v>573.44999999999993</v>
      </c>
      <c r="C240" s="28"/>
      <c r="D240" s="28"/>
      <c r="E240" s="34">
        <f>E188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1242.6200000000008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K35</f>
        <v>6.5000000000000002E-2</v>
      </c>
      <c r="C253" s="144"/>
      <c r="D253" s="374" t="s">
        <v>226</v>
      </c>
      <c r="E253" s="374"/>
      <c r="F253" s="143">
        <f>B83</f>
        <v>0.115</v>
      </c>
      <c r="G253" s="21"/>
      <c r="H253" s="29"/>
    </row>
    <row r="254" spans="1:8">
      <c r="A254" s="139" t="s">
        <v>227</v>
      </c>
      <c r="B254" s="145">
        <f>(E182-B182)-(B201-B182-A185)</f>
        <v>2124.3453627030467</v>
      </c>
      <c r="C254" s="144"/>
      <c r="D254" s="374" t="s">
        <v>228</v>
      </c>
      <c r="E254" s="374"/>
      <c r="F254" s="146">
        <f>F261+F267+F269+B270+B271</f>
        <v>573.44999999999993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1560.8953627030469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10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10">
      <c r="A258" s="152"/>
      <c r="B258" s="153"/>
      <c r="C258" s="154"/>
      <c r="D258" s="154"/>
      <c r="E258" s="149"/>
      <c r="F258" s="149"/>
      <c r="G258" s="149"/>
      <c r="H258" s="150"/>
    </row>
    <row r="259" spans="1:10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10">
      <c r="A260" s="93" t="s">
        <v>226</v>
      </c>
      <c r="B260" s="155">
        <f>B83</f>
        <v>0.115</v>
      </c>
      <c r="C260" s="38"/>
      <c r="D260" s="363" t="s">
        <v>227</v>
      </c>
      <c r="E260" s="363"/>
      <c r="F260" s="115">
        <f>B254</f>
        <v>2124.3453627030467</v>
      </c>
      <c r="G260" s="21"/>
      <c r="H260" s="29"/>
    </row>
    <row r="261" spans="1:10">
      <c r="A261" s="27" t="s">
        <v>233</v>
      </c>
      <c r="B261" s="155">
        <f>B67</f>
        <v>0.03</v>
      </c>
      <c r="C261" s="28"/>
      <c r="D261" s="363" t="s">
        <v>233</v>
      </c>
      <c r="E261" s="363"/>
      <c r="F261" s="119">
        <f>B68</f>
        <v>573.44999999999993</v>
      </c>
      <c r="G261" s="21"/>
      <c r="H261" s="29"/>
    </row>
    <row r="262" spans="1:10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10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1560.8953627030469</v>
      </c>
      <c r="G263" s="21"/>
      <c r="H263" s="29"/>
    </row>
    <row r="264" spans="1:10">
      <c r="A264" s="94"/>
      <c r="B264" s="34"/>
      <c r="C264" s="28"/>
      <c r="D264" s="28"/>
      <c r="E264" s="34"/>
      <c r="F264" s="21"/>
      <c r="G264" s="21"/>
      <c r="H264" s="29"/>
    </row>
    <row r="265" spans="1:10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10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10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10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10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10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10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  <c r="J271" s="4">
        <v>4</v>
      </c>
    </row>
    <row r="272" spans="1:10">
      <c r="A272" s="49"/>
      <c r="B272" s="50"/>
      <c r="C272" s="50"/>
      <c r="D272" s="50"/>
      <c r="E272" s="50"/>
      <c r="F272" s="50"/>
      <c r="G272" s="50"/>
      <c r="H272" s="57"/>
    </row>
  </sheetData>
  <mergeCells count="260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E36:G36"/>
    <mergeCell ref="J38:K38"/>
    <mergeCell ref="B40:D40"/>
    <mergeCell ref="C45:E45"/>
    <mergeCell ref="A50:A51"/>
    <mergeCell ref="B50:D50"/>
    <mergeCell ref="B51:D51"/>
    <mergeCell ref="B52:D52"/>
    <mergeCell ref="A100:H100"/>
    <mergeCell ref="J100:Q100"/>
    <mergeCell ref="A1:F1"/>
    <mergeCell ref="D7:E18"/>
    <mergeCell ref="A16:C18"/>
    <mergeCell ref="A19:D19"/>
    <mergeCell ref="A21:D21"/>
    <mergeCell ref="A24:H24"/>
    <mergeCell ref="A28:H28"/>
    <mergeCell ref="B30:D30"/>
    <mergeCell ref="E33:G33"/>
  </mergeCells>
  <dataValidations count="1">
    <dataValidation type="list" allowBlank="1" showInputMessage="1" showErrorMessage="1" sqref="B105 K105 N105 T105 W105 AC105 AF105 B108:D108 K108:M108 T108:V108 AC108:AE108 J111 S111 AB111 A144:A146 J144:J146 S144:S146 AB144:AB146" xr:uid="{00000000-0002-0000-1200-000002000000}">
      <formula1>#REF!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200-000000000000}">
          <x14:formula1>
            <xm:f>HirePurchaseNonRegulated!$K$9:$K$10</xm:f>
          </x14:formula1>
          <x14:formula2>
            <xm:f>0</xm:f>
          </x14:formula2>
          <xm:sqref>B26 E105 A111</xm:sqref>
        </x14:dataValidation>
        <x14:dataValidation type="list" allowBlank="1" showErrorMessage="1" xr:uid="{00000000-0002-0000-1200-000001000000}">
          <x14:formula1>
            <xm:f>HirePurchaseNonRegulated!$K$9:$K$10</xm:f>
          </x14:formula1>
          <x14:formula2>
            <xm:f>0</xm:f>
          </x14:formula2>
          <xm:sqref>B70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72"/>
  <sheetViews>
    <sheetView topLeftCell="A249" zoomScale="110" zoomScaleNormal="110" workbookViewId="0">
      <selection activeCell="F262" sqref="F262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7.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91" t="s">
        <v>14</v>
      </c>
      <c r="B1" s="391"/>
      <c r="C1" s="391"/>
      <c r="D1" s="391"/>
      <c r="E1" s="391"/>
      <c r="F1" s="391"/>
      <c r="G1" s="86"/>
      <c r="H1" s="86"/>
      <c r="I1" s="5"/>
      <c r="J1" s="5"/>
    </row>
    <row r="2" spans="1:25" ht="2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286"/>
      <c r="H2" s="287"/>
      <c r="I2" s="5"/>
      <c r="J2" s="5"/>
    </row>
    <row r="3" spans="1:25">
      <c r="A3" s="191"/>
      <c r="B3" s="192"/>
      <c r="C3" s="192"/>
      <c r="D3" s="192"/>
      <c r="E3" s="192"/>
      <c r="F3" s="193" t="s">
        <v>10</v>
      </c>
      <c r="G3" s="288"/>
      <c r="H3" s="289"/>
      <c r="I3" s="5"/>
      <c r="J3" s="5"/>
    </row>
    <row r="4" spans="1:25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103"/>
      <c r="H4" s="105"/>
      <c r="I4" s="5"/>
      <c r="J4" s="5"/>
    </row>
    <row r="5" spans="1:25">
      <c r="A5" s="55"/>
      <c r="B5" s="55"/>
      <c r="C5" s="55"/>
      <c r="D5" s="55"/>
      <c r="E5" s="55"/>
      <c r="F5" s="55" t="s">
        <v>10</v>
      </c>
      <c r="G5" s="288"/>
      <c r="H5" s="29"/>
      <c r="I5" s="5"/>
      <c r="J5" s="5"/>
    </row>
    <row r="6" spans="1:25">
      <c r="A6" s="55"/>
      <c r="B6" s="55"/>
      <c r="C6" s="55"/>
      <c r="D6" s="55"/>
      <c r="E6" s="55"/>
      <c r="F6" s="55"/>
      <c r="G6" s="121"/>
      <c r="H6" s="29"/>
      <c r="I6" s="5"/>
      <c r="J6" s="5"/>
    </row>
    <row r="7" spans="1:25">
      <c r="A7" s="12" t="s">
        <v>19</v>
      </c>
      <c r="B7" s="12" t="s">
        <v>20</v>
      </c>
      <c r="C7" s="12" t="s">
        <v>16</v>
      </c>
      <c r="D7" s="392"/>
      <c r="E7" s="392"/>
      <c r="F7" s="55"/>
      <c r="G7" s="121"/>
      <c r="H7" s="29"/>
      <c r="I7" s="5"/>
      <c r="J7" s="5"/>
    </row>
    <row r="8" spans="1:25">
      <c r="A8" s="196"/>
      <c r="B8" s="55"/>
      <c r="C8" s="55"/>
      <c r="D8" s="392"/>
      <c r="E8" s="392"/>
      <c r="F8" s="55"/>
      <c r="G8" s="28"/>
      <c r="H8" s="29"/>
      <c r="I8" s="5"/>
      <c r="J8" s="5"/>
      <c r="L8" s="14" t="s">
        <v>17</v>
      </c>
      <c r="M8" s="11">
        <f>H13+H14</f>
        <v>0</v>
      </c>
    </row>
    <row r="9" spans="1:25" ht="2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109"/>
      <c r="H9" s="290"/>
      <c r="I9" s="5"/>
      <c r="J9" s="5"/>
      <c r="K9" s="4" t="s">
        <v>31</v>
      </c>
      <c r="L9" s="11"/>
      <c r="M9" s="11"/>
    </row>
    <row r="10" spans="1:25">
      <c r="A10" s="197"/>
      <c r="B10" s="55"/>
      <c r="C10" s="55"/>
      <c r="D10" s="392"/>
      <c r="E10" s="392"/>
      <c r="F10" s="55"/>
      <c r="G10" s="121"/>
      <c r="H10" s="289"/>
      <c r="I10" s="5"/>
      <c r="J10" s="5"/>
      <c r="K10" s="4" t="s">
        <v>32</v>
      </c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121"/>
      <c r="H11" s="29"/>
      <c r="I11" s="5"/>
      <c r="J11" s="5"/>
      <c r="L11" s="11"/>
      <c r="M11" s="11"/>
    </row>
    <row r="12" spans="1:25">
      <c r="A12" s="197"/>
      <c r="B12" s="55"/>
      <c r="C12" s="55"/>
      <c r="D12" s="392"/>
      <c r="E12" s="392"/>
      <c r="F12" s="55"/>
      <c r="G12" s="121"/>
      <c r="H12" s="289"/>
      <c r="I12" s="5"/>
      <c r="J12" s="5"/>
    </row>
    <row r="13" spans="1:25">
      <c r="A13" s="12" t="s">
        <v>23</v>
      </c>
      <c r="B13" s="15">
        <v>0</v>
      </c>
      <c r="C13" s="11"/>
      <c r="D13" s="392"/>
      <c r="E13" s="392"/>
      <c r="F13" s="55"/>
      <c r="G13" s="121"/>
      <c r="H13" s="289"/>
      <c r="I13" s="5"/>
      <c r="J13" s="5"/>
    </row>
    <row r="14" spans="1:25">
      <c r="A14" s="197"/>
      <c r="B14" s="55"/>
      <c r="C14" s="55"/>
      <c r="D14" s="392"/>
      <c r="E14" s="392"/>
      <c r="F14" s="55"/>
      <c r="G14" s="121"/>
      <c r="H14" s="289"/>
      <c r="I14" s="5"/>
      <c r="J14" s="5" t="s">
        <v>24</v>
      </c>
    </row>
    <row r="15" spans="1:25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21"/>
      <c r="H15" s="291"/>
      <c r="I15" s="5"/>
      <c r="J15" s="17">
        <f>H15</f>
        <v>0</v>
      </c>
    </row>
    <row r="16" spans="1:25">
      <c r="A16" s="393"/>
      <c r="B16" s="393"/>
      <c r="C16" s="393"/>
      <c r="D16" s="392"/>
      <c r="E16" s="392"/>
      <c r="F16" s="55"/>
      <c r="G16" s="121"/>
      <c r="H16" s="289"/>
      <c r="I16" s="5"/>
      <c r="J16" s="5"/>
      <c r="Y16" s="18" t="s">
        <v>26</v>
      </c>
    </row>
    <row r="17" spans="1:26">
      <c r="A17" s="393"/>
      <c r="B17" s="393"/>
      <c r="C17" s="393"/>
      <c r="D17" s="392"/>
      <c r="E17" s="392"/>
      <c r="F17" s="55"/>
      <c r="G17" s="34"/>
      <c r="H17" s="29"/>
      <c r="I17" s="5"/>
      <c r="J17" s="5" t="s">
        <v>27</v>
      </c>
      <c r="Y17" s="18" t="s">
        <v>28</v>
      </c>
    </row>
    <row r="18" spans="1:26">
      <c r="A18" s="393"/>
      <c r="B18" s="393"/>
      <c r="C18" s="393"/>
      <c r="D18" s="392"/>
      <c r="E18" s="392"/>
      <c r="F18" s="55"/>
      <c r="G18" s="35"/>
      <c r="H18" s="292"/>
      <c r="I18" s="5"/>
      <c r="J18" s="17">
        <v>40526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35"/>
      <c r="H19" s="292"/>
      <c r="I19" s="5"/>
      <c r="J19" s="5"/>
      <c r="Z19" s="5" t="s">
        <v>31</v>
      </c>
    </row>
    <row r="20" spans="1:26">
      <c r="A20" s="199"/>
      <c r="B20" s="55"/>
      <c r="C20" s="55"/>
      <c r="D20" s="55"/>
      <c r="E20" s="200"/>
      <c r="F20" s="55"/>
      <c r="G20" s="35"/>
      <c r="H20" s="292"/>
      <c r="I20" s="5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293"/>
      <c r="H21" s="294"/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354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>
      <c r="A26" s="32" t="s">
        <v>138</v>
      </c>
      <c r="B26" s="36" t="s">
        <v>385</v>
      </c>
      <c r="C26" s="28"/>
      <c r="D26" s="28"/>
      <c r="E26" s="28"/>
      <c r="F26" s="28"/>
      <c r="G26" s="28"/>
      <c r="H26" s="29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 ht="23.25">
      <c r="A28" s="335" t="s">
        <v>136</v>
      </c>
      <c r="B28" s="335"/>
      <c r="C28" s="335"/>
      <c r="D28" s="335"/>
      <c r="E28" s="335"/>
      <c r="F28" s="335"/>
      <c r="G28" s="335"/>
      <c r="H28" s="335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>
        <v>36</v>
      </c>
      <c r="I29" s="28"/>
      <c r="J29" s="25" t="s">
        <v>94</v>
      </c>
      <c r="K29" s="295">
        <v>12</v>
      </c>
    </row>
    <row r="30" spans="1:26">
      <c r="A30" s="27" t="s">
        <v>193</v>
      </c>
      <c r="B30" s="346" t="s">
        <v>387</v>
      </c>
      <c r="C30" s="346"/>
      <c r="D30" s="346"/>
      <c r="E30" s="28"/>
      <c r="F30" s="28"/>
      <c r="G30" s="28"/>
      <c r="H30" s="29">
        <v>10000</v>
      </c>
      <c r="I30" s="28"/>
      <c r="J30" s="25" t="s">
        <v>45</v>
      </c>
      <c r="K30" s="33">
        <v>10000</v>
      </c>
    </row>
    <row r="31" spans="1:26">
      <c r="A31" s="27"/>
      <c r="B31" s="28"/>
      <c r="C31" s="28"/>
      <c r="D31" s="28"/>
      <c r="E31" s="28"/>
      <c r="F31" s="28"/>
      <c r="G31" s="28"/>
      <c r="H31" s="29">
        <v>27500</v>
      </c>
      <c r="I31" s="28"/>
      <c r="J31" s="25" t="s">
        <v>48</v>
      </c>
      <c r="K31" s="37">
        <v>0</v>
      </c>
    </row>
    <row r="32" spans="1:26">
      <c r="A32" s="27" t="s">
        <v>94</v>
      </c>
      <c r="B32" s="28" t="s">
        <v>95</v>
      </c>
      <c r="C32" s="28"/>
      <c r="D32" s="28"/>
      <c r="E32" s="28" t="s">
        <v>355</v>
      </c>
      <c r="F32" s="28"/>
      <c r="G32" s="28"/>
      <c r="H32" s="29"/>
      <c r="I32" s="5"/>
      <c r="J32" s="25" t="s">
        <v>49</v>
      </c>
      <c r="K32" s="37">
        <v>432</v>
      </c>
    </row>
    <row r="33" spans="1:16" ht="36">
      <c r="A33" s="134">
        <f>A52</f>
        <v>12</v>
      </c>
      <c r="B33" s="173">
        <f>B51</f>
        <v>10000</v>
      </c>
      <c r="C33" s="28"/>
      <c r="D33" s="28"/>
      <c r="E33" s="402">
        <f>K48</f>
        <v>1276.2164056508223</v>
      </c>
      <c r="F33" s="402"/>
      <c r="G33" s="402"/>
      <c r="H33" s="42"/>
      <c r="I33" s="5"/>
      <c r="J33" s="30" t="s">
        <v>356</v>
      </c>
      <c r="K33" s="43">
        <f>E21</f>
        <v>14333.33</v>
      </c>
      <c r="L33" s="4">
        <f>H21-H11+(H16*20%)</f>
        <v>0</v>
      </c>
    </row>
    <row r="34" spans="1:16">
      <c r="A34" s="27"/>
      <c r="B34" s="28"/>
      <c r="C34" s="28"/>
      <c r="D34" s="28"/>
      <c r="E34" s="38"/>
      <c r="F34" s="38"/>
      <c r="G34" s="38"/>
      <c r="H34" s="42"/>
      <c r="I34" s="5"/>
      <c r="J34" s="5"/>
      <c r="K34" s="5"/>
    </row>
    <row r="35" spans="1:16">
      <c r="A35" s="27" t="s">
        <v>357</v>
      </c>
      <c r="B35" s="28" t="s">
        <v>358</v>
      </c>
      <c r="C35" s="28"/>
      <c r="E35" s="28" t="s">
        <v>359</v>
      </c>
      <c r="F35" s="38"/>
      <c r="G35" s="38"/>
      <c r="H35" s="42"/>
      <c r="I35" s="5"/>
      <c r="J35" s="45" t="s">
        <v>59</v>
      </c>
      <c r="K35" s="4">
        <v>7.0000000000000007E-2</v>
      </c>
    </row>
    <row r="36" spans="1:16">
      <c r="A36" s="138">
        <f>K47</f>
        <v>1240.2164056508223</v>
      </c>
      <c r="B36" s="173">
        <f>IF(B26="YES",K42,"0.00")</f>
        <v>36</v>
      </c>
      <c r="C36" s="173"/>
      <c r="D36" s="173"/>
      <c r="E36" s="402">
        <f>K31</f>
        <v>0</v>
      </c>
      <c r="F36" s="402"/>
      <c r="G36" s="402"/>
      <c r="H36" s="42"/>
      <c r="I36" s="5"/>
      <c r="J36" s="5" t="s">
        <v>63</v>
      </c>
      <c r="K36" s="5">
        <f>K29</f>
        <v>12</v>
      </c>
    </row>
    <row r="37" spans="1:16">
      <c r="A37" s="94"/>
      <c r="B37" s="34"/>
      <c r="C37" s="38"/>
      <c r="D37" s="38"/>
      <c r="E37" s="38"/>
      <c r="F37" s="38"/>
      <c r="G37" s="38"/>
      <c r="H37" s="42"/>
      <c r="I37" s="5"/>
      <c r="J37" s="5"/>
      <c r="K37" s="5"/>
    </row>
    <row r="38" spans="1:16">
      <c r="A38" s="27"/>
      <c r="B38" s="28"/>
      <c r="C38" s="38"/>
      <c r="D38" s="38"/>
      <c r="E38" s="38"/>
      <c r="F38" s="38"/>
      <c r="G38" s="38"/>
      <c r="H38" s="42"/>
      <c r="J38" s="337" t="s">
        <v>65</v>
      </c>
      <c r="K38" s="337"/>
      <c r="L38" s="5">
        <v>42030.76</v>
      </c>
      <c r="N38" s="4">
        <f>80.88*36</f>
        <v>2911.68</v>
      </c>
    </row>
    <row r="39" spans="1:16">
      <c r="A39" s="27" t="s">
        <v>360</v>
      </c>
      <c r="B39" s="28" t="s">
        <v>361</v>
      </c>
      <c r="C39" s="28"/>
      <c r="E39" s="28" t="s">
        <v>362</v>
      </c>
      <c r="F39" s="38"/>
      <c r="G39" s="38"/>
      <c r="H39" s="42"/>
      <c r="J39" s="5" t="s">
        <v>96</v>
      </c>
      <c r="K39" s="5">
        <f>K33</f>
        <v>14333.33</v>
      </c>
      <c r="L39" s="5">
        <f>(L47*K46)+K44</f>
        <v>8829.639787141401</v>
      </c>
      <c r="N39" s="4">
        <f>K39-L39</f>
        <v>5503.6902128585989</v>
      </c>
    </row>
    <row r="40" spans="1:16">
      <c r="A40" s="92">
        <f>E36*A45/100</f>
        <v>0</v>
      </c>
      <c r="B40" s="348">
        <f>IF(B26="YES",K42,"0.00")</f>
        <v>36</v>
      </c>
      <c r="C40" s="348"/>
      <c r="D40" s="348"/>
      <c r="E40" s="137">
        <f>K32</f>
        <v>432</v>
      </c>
      <c r="F40" s="38"/>
      <c r="G40" s="38"/>
      <c r="H40" s="42"/>
      <c r="J40" s="5" t="s">
        <v>118</v>
      </c>
      <c r="K40" s="5">
        <f>(A40)/1.2</f>
        <v>0</v>
      </c>
      <c r="L40" s="5">
        <f>K39-L39</f>
        <v>5503.6902128585989</v>
      </c>
      <c r="N40" s="4">
        <f>N38-N39</f>
        <v>-2592.0102128585991</v>
      </c>
    </row>
    <row r="41" spans="1:16">
      <c r="A41" s="27"/>
      <c r="B41" s="28"/>
      <c r="C41" s="28"/>
      <c r="D41" s="28"/>
      <c r="E41" s="28"/>
      <c r="F41" s="38"/>
      <c r="G41" s="38"/>
      <c r="H41" s="42"/>
      <c r="J41" s="5" t="s">
        <v>363</v>
      </c>
      <c r="K41" s="5">
        <f>K35/12</f>
        <v>5.8333333333333336E-3</v>
      </c>
      <c r="L41" s="5"/>
    </row>
    <row r="42" spans="1:16">
      <c r="A42" s="49"/>
      <c r="B42" s="50"/>
      <c r="C42" s="50"/>
      <c r="D42" s="50"/>
      <c r="E42" s="50"/>
      <c r="F42" s="50"/>
      <c r="G42" s="51"/>
      <c r="H42" s="52"/>
      <c r="J42" s="5" t="s">
        <v>364</v>
      </c>
      <c r="K42" s="5">
        <f>(K32/K36)*C45/100</f>
        <v>36</v>
      </c>
      <c r="L42" s="5"/>
    </row>
    <row r="43" spans="1:16">
      <c r="A43" s="22"/>
      <c r="B43" s="23"/>
      <c r="C43" s="23"/>
      <c r="D43" s="23"/>
      <c r="E43" s="23"/>
      <c r="F43" s="23"/>
      <c r="G43" s="23"/>
      <c r="H43" s="24"/>
      <c r="J43" s="5" t="s">
        <v>365</v>
      </c>
      <c r="K43" s="5"/>
      <c r="L43" s="5"/>
    </row>
    <row r="44" spans="1:16">
      <c r="A44" s="53" t="s">
        <v>89</v>
      </c>
      <c r="B44" s="28"/>
      <c r="C44" s="28" t="s">
        <v>90</v>
      </c>
      <c r="D44" s="28"/>
      <c r="E44" s="28"/>
      <c r="F44" s="28"/>
      <c r="G44" s="28"/>
      <c r="H44" s="29"/>
      <c r="J44" s="5" t="s">
        <v>366</v>
      </c>
      <c r="K44" s="5">
        <f>(K40/(1+K41)^(K36+1))</f>
        <v>0</v>
      </c>
      <c r="L44" s="5"/>
    </row>
    <row r="45" spans="1:16">
      <c r="A45" s="54">
        <v>100</v>
      </c>
      <c r="B45" s="28"/>
      <c r="C45" s="339">
        <v>100</v>
      </c>
      <c r="D45" s="339"/>
      <c r="E45" s="339"/>
      <c r="F45" s="28"/>
      <c r="G45" s="28"/>
      <c r="H45" s="29"/>
      <c r="J45" s="5" t="s">
        <v>367</v>
      </c>
      <c r="K45" s="5">
        <f>(K39-K44)</f>
        <v>14333.33</v>
      </c>
      <c r="L45" s="5"/>
    </row>
    <row r="46" spans="1:16">
      <c r="A46" s="49"/>
      <c r="B46" s="50"/>
      <c r="C46" s="50"/>
      <c r="D46" s="50"/>
      <c r="E46" s="50"/>
      <c r="F46" s="50"/>
      <c r="G46" s="50"/>
      <c r="H46" s="57"/>
      <c r="J46" s="5" t="s">
        <v>368</v>
      </c>
      <c r="K46" s="5">
        <f>((1-(1/((1+K41)^K36)))/K41)</f>
        <v>11.557120140237435</v>
      </c>
      <c r="L46" s="5"/>
    </row>
    <row r="47" spans="1:16">
      <c r="A47" s="22"/>
      <c r="B47" s="23"/>
      <c r="C47" s="23"/>
      <c r="D47" s="23"/>
      <c r="E47" s="23"/>
      <c r="F47" s="23"/>
      <c r="G47" s="23"/>
      <c r="H47" s="24"/>
      <c r="J47" s="5" t="s">
        <v>369</v>
      </c>
      <c r="K47" s="5">
        <f>K45/K46</f>
        <v>1240.2164056508223</v>
      </c>
      <c r="L47" s="5">
        <f>L49-K42</f>
        <v>764</v>
      </c>
      <c r="M47" s="4">
        <f>K47-L47</f>
        <v>476.21640565082225</v>
      </c>
    </row>
    <row r="48" spans="1:16" ht="37.5">
      <c r="A48" s="58" t="s">
        <v>93</v>
      </c>
      <c r="B48" s="28"/>
      <c r="C48" s="28"/>
      <c r="D48" s="59"/>
      <c r="E48" s="59"/>
      <c r="F48" s="59"/>
      <c r="G48" s="59"/>
      <c r="H48" s="60"/>
      <c r="J48" s="48" t="s">
        <v>370</v>
      </c>
      <c r="K48" s="5">
        <f>IF(B26="YES",K47+K42,K47)</f>
        <v>1276.2164056508223</v>
      </c>
      <c r="L48" s="5"/>
    </row>
    <row r="49" spans="1:35">
      <c r="A49" s="27"/>
      <c r="B49" s="61"/>
      <c r="C49" s="61"/>
      <c r="D49" s="28"/>
      <c r="E49" s="28"/>
      <c r="F49" s="28"/>
      <c r="G49" s="28"/>
      <c r="H49" s="29"/>
      <c r="J49" s="5" t="s">
        <v>371</v>
      </c>
      <c r="K49" s="5"/>
      <c r="L49" s="5">
        <v>800</v>
      </c>
    </row>
    <row r="50" spans="1:35" ht="21">
      <c r="A50" s="369" t="s">
        <v>94</v>
      </c>
      <c r="B50" s="341" t="s">
        <v>95</v>
      </c>
      <c r="C50" s="341"/>
      <c r="D50" s="341"/>
      <c r="E50" s="28"/>
      <c r="F50" s="28"/>
      <c r="G50" s="28"/>
      <c r="H50" s="29"/>
      <c r="I50" s="5"/>
      <c r="J50" s="5"/>
      <c r="K50" s="5"/>
    </row>
    <row r="51" spans="1:35" ht="19.5" customHeight="1">
      <c r="A51" s="369"/>
      <c r="B51" s="342">
        <f>K30</f>
        <v>10000</v>
      </c>
      <c r="C51" s="342"/>
      <c r="D51" s="342"/>
      <c r="E51" s="28"/>
      <c r="F51" s="28"/>
      <c r="G51" s="28"/>
      <c r="H51" s="29"/>
      <c r="I51" s="5"/>
      <c r="J51" s="5"/>
      <c r="K51" s="5"/>
    </row>
    <row r="52" spans="1:35">
      <c r="A52" s="62">
        <f>K29</f>
        <v>12</v>
      </c>
      <c r="B52" s="343">
        <f>K48</f>
        <v>1276.2164056508223</v>
      </c>
      <c r="C52" s="343"/>
      <c r="D52" s="343"/>
      <c r="E52" s="28"/>
      <c r="F52" s="28"/>
      <c r="G52" s="28"/>
      <c r="H52" s="29"/>
      <c r="I52" s="5"/>
      <c r="J52" s="5"/>
      <c r="K52" s="5"/>
    </row>
    <row r="53" spans="1:35">
      <c r="A53" s="27"/>
      <c r="B53" s="28"/>
      <c r="C53" s="28"/>
      <c r="D53" s="28"/>
      <c r="E53" s="28"/>
      <c r="F53" s="28"/>
      <c r="G53" s="28"/>
      <c r="H53" s="29"/>
      <c r="I53" s="5"/>
      <c r="J53" s="5"/>
      <c r="K53" s="5"/>
    </row>
    <row r="54" spans="1:35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35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35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35">
      <c r="A57" s="22"/>
      <c r="B57" s="23"/>
      <c r="C57" s="23"/>
      <c r="D57" s="23"/>
      <c r="E57" s="63"/>
      <c r="F57" s="63"/>
      <c r="G57" s="63"/>
      <c r="H57" s="24"/>
      <c r="J57" s="22"/>
      <c r="K57" s="23"/>
      <c r="L57" s="23"/>
      <c r="M57" s="23"/>
      <c r="N57" s="63"/>
      <c r="O57" s="63"/>
      <c r="P57" s="63"/>
      <c r="Q57" s="24"/>
      <c r="S57" s="22"/>
      <c r="T57" s="23"/>
      <c r="U57" s="23"/>
      <c r="V57" s="23"/>
      <c r="W57" s="63"/>
      <c r="X57" s="63"/>
      <c r="Y57" s="63"/>
      <c r="Z57" s="24"/>
      <c r="AB57" s="22"/>
      <c r="AC57" s="23"/>
      <c r="AD57" s="23"/>
      <c r="AE57" s="23"/>
      <c r="AF57" s="63"/>
      <c r="AG57" s="63"/>
      <c r="AH57" s="63"/>
      <c r="AI57" s="24"/>
    </row>
    <row r="58" spans="1:35">
      <c r="A58" s="27" t="s">
        <v>96</v>
      </c>
      <c r="B58" s="28">
        <v>1</v>
      </c>
      <c r="C58" s="28"/>
      <c r="D58" s="28"/>
      <c r="E58" s="21"/>
      <c r="F58" s="21"/>
      <c r="G58" s="21"/>
      <c r="H58" s="29"/>
      <c r="J58" s="27" t="s">
        <v>96</v>
      </c>
      <c r="K58" s="28">
        <v>1</v>
      </c>
      <c r="L58" s="28"/>
      <c r="M58" s="28"/>
      <c r="N58" s="21"/>
      <c r="O58" s="21"/>
      <c r="P58" s="21"/>
      <c r="Q58" s="29"/>
      <c r="S58" s="27" t="s">
        <v>96</v>
      </c>
      <c r="T58" s="28">
        <v>1</v>
      </c>
      <c r="U58" s="28"/>
      <c r="V58" s="28"/>
      <c r="W58" s="21"/>
      <c r="X58" s="21"/>
      <c r="Y58" s="21"/>
      <c r="Z58" s="29"/>
      <c r="AB58" s="27" t="s">
        <v>96</v>
      </c>
      <c r="AC58" s="28">
        <v>1</v>
      </c>
      <c r="AD58" s="28"/>
      <c r="AE58" s="28"/>
      <c r="AF58" s="21"/>
      <c r="AG58" s="21"/>
      <c r="AH58" s="21"/>
      <c r="AI58" s="29"/>
    </row>
    <row r="59" spans="1:35">
      <c r="A59" s="27" t="s">
        <v>97</v>
      </c>
      <c r="B59" s="28">
        <f>K29-B58</f>
        <v>11</v>
      </c>
      <c r="C59" s="28"/>
      <c r="D59" s="28"/>
      <c r="E59" s="21"/>
      <c r="F59" s="21"/>
      <c r="G59" s="21"/>
      <c r="H59" s="29"/>
      <c r="J59" s="27" t="s">
        <v>97</v>
      </c>
      <c r="K59" s="28">
        <f>K29-K58</f>
        <v>11</v>
      </c>
      <c r="L59" s="28"/>
      <c r="M59" s="28"/>
      <c r="N59" s="21"/>
      <c r="O59" s="21"/>
      <c r="P59" s="21"/>
      <c r="Q59" s="29"/>
      <c r="S59" s="27" t="s">
        <v>97</v>
      </c>
      <c r="T59" s="28">
        <f>K29-T58</f>
        <v>11</v>
      </c>
      <c r="U59" s="28"/>
      <c r="V59" s="28"/>
      <c r="W59" s="21"/>
      <c r="X59" s="21"/>
      <c r="Y59" s="21"/>
      <c r="Z59" s="29"/>
      <c r="AB59" s="27" t="s">
        <v>97</v>
      </c>
      <c r="AC59" s="28">
        <f>K29-AC58</f>
        <v>11</v>
      </c>
      <c r="AD59" s="28"/>
      <c r="AE59" s="28"/>
      <c r="AF59" s="21"/>
      <c r="AG59" s="21"/>
      <c r="AH59" s="21"/>
      <c r="AI59" s="29"/>
    </row>
    <row r="60" spans="1:35">
      <c r="A60" s="64" t="s">
        <v>98</v>
      </c>
      <c r="B60" s="65">
        <v>10</v>
      </c>
      <c r="C60" s="28"/>
      <c r="D60" s="28"/>
      <c r="E60" s="21"/>
      <c r="F60" s="21"/>
      <c r="G60" s="21"/>
      <c r="H60" s="29"/>
      <c r="J60" s="64" t="s">
        <v>98</v>
      </c>
      <c r="K60" s="65">
        <v>20</v>
      </c>
      <c r="L60" s="28"/>
      <c r="M60" s="28"/>
      <c r="N60" s="21"/>
      <c r="O60" s="21"/>
      <c r="P60" s="21"/>
      <c r="Q60" s="29"/>
      <c r="S60" s="64" t="s">
        <v>98</v>
      </c>
      <c r="T60" s="65">
        <v>10</v>
      </c>
      <c r="U60" s="28"/>
      <c r="V60" s="28"/>
      <c r="W60" s="21"/>
      <c r="X60" s="21"/>
      <c r="Y60" s="21"/>
      <c r="Z60" s="29"/>
      <c r="AB60" s="64" t="s">
        <v>98</v>
      </c>
      <c r="AC60" s="65">
        <v>10</v>
      </c>
      <c r="AD60" s="28"/>
      <c r="AE60" s="28"/>
      <c r="AF60" s="21"/>
      <c r="AG60" s="21"/>
      <c r="AH60" s="21"/>
      <c r="AI60" s="29"/>
    </row>
    <row r="61" spans="1:35">
      <c r="A61" s="27" t="s">
        <v>27</v>
      </c>
      <c r="B61" s="28">
        <f>J18</f>
        <v>40526</v>
      </c>
      <c r="C61" s="28"/>
      <c r="D61" s="28"/>
      <c r="E61" s="21"/>
      <c r="F61" s="21"/>
      <c r="G61" s="21"/>
      <c r="H61" s="29"/>
      <c r="J61" s="27" t="s">
        <v>27</v>
      </c>
      <c r="K61" s="28">
        <f>J18</f>
        <v>40526</v>
      </c>
      <c r="L61" s="28"/>
      <c r="M61" s="28"/>
      <c r="N61" s="21"/>
      <c r="O61" s="21"/>
      <c r="P61" s="21"/>
      <c r="Q61" s="29"/>
      <c r="S61" s="27" t="s">
        <v>27</v>
      </c>
      <c r="T61" s="28">
        <f>J18</f>
        <v>40526</v>
      </c>
      <c r="U61" s="28"/>
      <c r="V61" s="28"/>
      <c r="W61" s="21"/>
      <c r="X61" s="21"/>
      <c r="Y61" s="21"/>
      <c r="Z61" s="29"/>
      <c r="AB61" s="27" t="s">
        <v>27</v>
      </c>
      <c r="AC61" s="28">
        <f>J18</f>
        <v>40526</v>
      </c>
      <c r="AD61" s="28"/>
      <c r="AE61" s="28"/>
      <c r="AF61" s="21"/>
      <c r="AG61" s="21"/>
      <c r="AH61" s="21"/>
      <c r="AI61" s="29"/>
    </row>
    <row r="62" spans="1:35">
      <c r="A62" s="66" t="s">
        <v>99</v>
      </c>
      <c r="B62" s="67">
        <v>1.0500000000000001E-2</v>
      </c>
      <c r="C62" s="28"/>
      <c r="D62" s="28"/>
      <c r="E62" s="21"/>
      <c r="F62" s="21"/>
      <c r="G62" s="21"/>
      <c r="H62" s="29"/>
      <c r="J62" s="66" t="s">
        <v>99</v>
      </c>
      <c r="K62" s="67">
        <v>0.06</v>
      </c>
      <c r="L62" s="28"/>
      <c r="M62" s="28"/>
      <c r="N62" s="21"/>
      <c r="O62" s="21"/>
      <c r="P62" s="21"/>
      <c r="Q62" s="29"/>
      <c r="S62" s="66" t="s">
        <v>99</v>
      </c>
      <c r="T62" s="67">
        <f>IF(AND(K29&gt;=12,K29&lt;=24),0.0105,IF(AND(K29&gt;=48),-0.0075,0))</f>
        <v>1.0500000000000001E-2</v>
      </c>
      <c r="U62" s="28"/>
      <c r="V62" s="28"/>
      <c r="W62" s="21"/>
      <c r="X62" s="21"/>
      <c r="Y62" s="21"/>
      <c r="Z62" s="29"/>
      <c r="AB62" s="66" t="s">
        <v>99</v>
      </c>
      <c r="AC62" s="67">
        <f>IF(AND(K29&gt;=12,K29&lt;=24),0.0105,IF(AND(K29&gt;=48),-0.0075,0))</f>
        <v>1.0500000000000001E-2</v>
      </c>
      <c r="AD62" s="28"/>
      <c r="AE62" s="28"/>
      <c r="AF62" s="21"/>
      <c r="AG62" s="21"/>
      <c r="AH62" s="21"/>
      <c r="AI62" s="29"/>
    </row>
    <row r="63" spans="1:35">
      <c r="A63" s="68" t="s">
        <v>100</v>
      </c>
      <c r="B63" s="69">
        <v>7.0000000000000007E-2</v>
      </c>
      <c r="C63" s="28"/>
      <c r="D63" s="28"/>
      <c r="E63" s="21"/>
      <c r="F63" s="21"/>
      <c r="G63" s="21"/>
      <c r="H63" s="29"/>
      <c r="J63" s="68" t="s">
        <v>100</v>
      </c>
      <c r="K63" s="69">
        <v>0.08</v>
      </c>
      <c r="L63" s="28"/>
      <c r="M63" s="28"/>
      <c r="N63" s="21"/>
      <c r="O63" s="21"/>
      <c r="P63" s="21"/>
      <c r="Q63" s="29"/>
      <c r="S63" s="68" t="s">
        <v>100</v>
      </c>
      <c r="T63" s="69">
        <v>5.8999999999999997E-2</v>
      </c>
      <c r="U63" s="28"/>
      <c r="V63" s="28"/>
      <c r="W63" s="21"/>
      <c r="X63" s="21"/>
      <c r="Y63" s="21"/>
      <c r="Z63" s="29"/>
      <c r="AB63" s="68" t="s">
        <v>100</v>
      </c>
      <c r="AC63" s="69">
        <v>5.8999999999999997E-2</v>
      </c>
      <c r="AD63" s="28"/>
      <c r="AE63" s="28"/>
      <c r="AF63" s="21"/>
      <c r="AG63" s="21"/>
      <c r="AH63" s="21"/>
      <c r="AI63" s="29"/>
    </row>
    <row r="64" spans="1:35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J64" s="70" t="s">
        <v>101</v>
      </c>
      <c r="K64" s="71">
        <v>0.1</v>
      </c>
      <c r="L64" s="28"/>
      <c r="M64" s="28"/>
      <c r="N64" s="21"/>
      <c r="O64" s="21"/>
      <c r="P64" s="21"/>
      <c r="Q64" s="29"/>
      <c r="S64" s="70" t="s">
        <v>101</v>
      </c>
      <c r="T64" s="71">
        <f>IF(T108=AP108,2.4%,7.2%)</f>
        <v>7.2000000000000008E-2</v>
      </c>
      <c r="U64" s="28"/>
      <c r="V64" s="28"/>
      <c r="W64" s="21"/>
      <c r="X64" s="21"/>
      <c r="Y64" s="21"/>
      <c r="Z64" s="29"/>
      <c r="AB64" s="70" t="s">
        <v>101</v>
      </c>
      <c r="AC64" s="71">
        <f>IF(AC108=AP108,2.4%,7.2%)</f>
        <v>7.2000000000000008E-2</v>
      </c>
      <c r="AD64" s="28"/>
      <c r="AE64" s="28"/>
      <c r="AF64" s="21"/>
      <c r="AG64" s="21"/>
      <c r="AH64" s="21"/>
      <c r="AI64" s="29"/>
    </row>
    <row r="65" spans="1:35">
      <c r="A65" s="49" t="s">
        <v>102</v>
      </c>
      <c r="B65" s="57">
        <f>(B89*B59)-(K47*K29)</f>
        <v>5502.1359708013133</v>
      </c>
      <c r="C65" s="28"/>
      <c r="D65" s="28"/>
      <c r="E65" s="21"/>
      <c r="F65" s="21"/>
      <c r="G65" s="21"/>
      <c r="H65" s="29"/>
      <c r="J65" s="49" t="s">
        <v>102</v>
      </c>
      <c r="K65" s="57" t="e">
        <f>(K89*K59)-(K47*K29)</f>
        <v>#VALUE!</v>
      </c>
      <c r="L65" s="28"/>
      <c r="M65" s="28"/>
      <c r="N65" s="21"/>
      <c r="O65" s="21"/>
      <c r="P65" s="21"/>
      <c r="Q65" s="29"/>
      <c r="S65" s="49" t="s">
        <v>102</v>
      </c>
      <c r="T65" s="57" t="e">
        <f>(T89*T59)-(K47*K29)</f>
        <v>#VALUE!</v>
      </c>
      <c r="U65" s="28"/>
      <c r="V65" s="28"/>
      <c r="W65" s="21"/>
      <c r="X65" s="21"/>
      <c r="Y65" s="21"/>
      <c r="Z65" s="29"/>
      <c r="AB65" s="49" t="s">
        <v>102</v>
      </c>
      <c r="AC65" s="57" t="e">
        <f>(AC89*AC59)-(K47*K29)</f>
        <v>#VALUE!</v>
      </c>
      <c r="AD65" s="28"/>
      <c r="AE65" s="28"/>
      <c r="AF65" s="21"/>
      <c r="AG65" s="21"/>
      <c r="AH65" s="21"/>
      <c r="AI65" s="29"/>
    </row>
    <row r="66" spans="1:35">
      <c r="A66" s="66" t="s">
        <v>103</v>
      </c>
      <c r="B66" s="67">
        <v>0.05</v>
      </c>
      <c r="C66" s="28"/>
      <c r="D66" s="28"/>
      <c r="E66" s="21"/>
      <c r="F66" s="21"/>
      <c r="G66" s="21"/>
      <c r="H66" s="29"/>
      <c r="J66" s="66" t="s">
        <v>103</v>
      </c>
      <c r="K66" s="67">
        <v>0.05</v>
      </c>
      <c r="L66" s="28"/>
      <c r="M66" s="28"/>
      <c r="N66" s="21"/>
      <c r="O66" s="21"/>
      <c r="P66" s="21"/>
      <c r="Q66" s="29"/>
      <c r="S66" s="66" t="s">
        <v>103</v>
      </c>
      <c r="T66" s="67">
        <v>5.0000000000000001E-3</v>
      </c>
      <c r="U66" s="28"/>
      <c r="V66" s="28"/>
      <c r="W66" s="21"/>
      <c r="X66" s="21"/>
      <c r="Y66" s="21"/>
      <c r="Z66" s="29"/>
      <c r="AB66" s="66" t="s">
        <v>103</v>
      </c>
      <c r="AC66" s="67">
        <v>5.0000000000000001E-3</v>
      </c>
      <c r="AD66" s="28"/>
      <c r="AE66" s="28"/>
      <c r="AF66" s="21"/>
      <c r="AG66" s="21"/>
      <c r="AH66" s="21"/>
      <c r="AI66" s="29"/>
    </row>
    <row r="67" spans="1:35">
      <c r="A67" s="27"/>
      <c r="B67" s="72">
        <f>B66</f>
        <v>0.05</v>
      </c>
      <c r="C67" s="28"/>
      <c r="D67" s="28"/>
      <c r="E67" s="21"/>
      <c r="F67" s="21"/>
      <c r="G67" s="21"/>
      <c r="H67" s="29"/>
      <c r="J67" s="27" t="s">
        <v>104</v>
      </c>
      <c r="K67" s="72">
        <f>K66+(K66*0.25*(K29/12-1))</f>
        <v>0.05</v>
      </c>
      <c r="L67" s="28"/>
      <c r="M67" s="28"/>
      <c r="N67" s="21"/>
      <c r="O67" s="21"/>
      <c r="P67" s="21"/>
      <c r="Q67" s="29"/>
      <c r="S67" s="27" t="s">
        <v>104</v>
      </c>
      <c r="T67" s="72">
        <f>T66+(T66*0.5*(K29/12-1))</f>
        <v>5.0000000000000001E-3</v>
      </c>
      <c r="U67" s="28"/>
      <c r="V67" s="28"/>
      <c r="W67" s="21"/>
      <c r="X67" s="21"/>
      <c r="Y67" s="21"/>
      <c r="Z67" s="29"/>
      <c r="AB67" s="27" t="s">
        <v>104</v>
      </c>
      <c r="AC67" s="72">
        <f>AC66+(AC66*0.5*(K29/12-1))</f>
        <v>5.0000000000000001E-3</v>
      </c>
      <c r="AD67" s="28"/>
      <c r="AE67" s="28"/>
      <c r="AF67" s="21"/>
      <c r="AG67" s="21"/>
      <c r="AH67" s="21"/>
      <c r="AI67" s="29"/>
    </row>
    <row r="68" spans="1:35">
      <c r="A68" s="49" t="s">
        <v>105</v>
      </c>
      <c r="B68" s="57">
        <f>(G158*B67)</f>
        <v>955.75</v>
      </c>
      <c r="C68" s="28"/>
      <c r="D68" s="28"/>
      <c r="E68" s="21"/>
      <c r="F68" s="21"/>
      <c r="G68" s="21"/>
      <c r="H68" s="29"/>
      <c r="J68" s="49" t="s">
        <v>105</v>
      </c>
      <c r="K68" s="57">
        <f>K61*K67</f>
        <v>2026.3000000000002</v>
      </c>
      <c r="L68" s="28"/>
      <c r="M68" s="28"/>
      <c r="N68" s="21"/>
      <c r="O68" s="21"/>
      <c r="P68" s="21"/>
      <c r="Q68" s="29"/>
      <c r="S68" s="49" t="s">
        <v>105</v>
      </c>
      <c r="T68" s="57">
        <f>T61*T67</f>
        <v>202.63</v>
      </c>
      <c r="U68" s="28"/>
      <c r="V68" s="28"/>
      <c r="W68" s="21"/>
      <c r="X68" s="21"/>
      <c r="Y68" s="21"/>
      <c r="Z68" s="29"/>
      <c r="AB68" s="49" t="s">
        <v>105</v>
      </c>
      <c r="AC68" s="57" t="e">
        <f>AH158*AC67</f>
        <v>#VALUE!</v>
      </c>
      <c r="AD68" s="28"/>
      <c r="AE68" s="28"/>
      <c r="AF68" s="21"/>
      <c r="AG68" s="21"/>
      <c r="AH68" s="21"/>
      <c r="AI68" s="29"/>
    </row>
    <row r="69" spans="1:35">
      <c r="A69" s="66" t="s">
        <v>106</v>
      </c>
      <c r="B69" s="67">
        <v>0</v>
      </c>
      <c r="C69" s="28"/>
      <c r="D69" s="28"/>
      <c r="E69" s="21"/>
      <c r="F69" s="21"/>
      <c r="G69" s="21"/>
      <c r="H69" s="29"/>
      <c r="J69" s="66" t="s">
        <v>106</v>
      </c>
      <c r="K69" s="67">
        <v>0</v>
      </c>
      <c r="L69" s="28"/>
      <c r="M69" s="28"/>
      <c r="N69" s="21"/>
      <c r="O69" s="21"/>
      <c r="P69" s="21"/>
      <c r="Q69" s="29"/>
      <c r="S69" s="66" t="s">
        <v>106</v>
      </c>
      <c r="T69" s="67">
        <v>0</v>
      </c>
      <c r="U69" s="28"/>
      <c r="V69" s="28"/>
      <c r="W69" s="21"/>
      <c r="X69" s="21"/>
      <c r="Y69" s="21"/>
      <c r="Z69" s="29"/>
      <c r="AB69" s="66" t="s">
        <v>106</v>
      </c>
      <c r="AC69" s="67">
        <v>0</v>
      </c>
      <c r="AD69" s="28"/>
      <c r="AE69" s="28"/>
      <c r="AF69" s="21"/>
      <c r="AG69" s="21"/>
      <c r="AH69" s="21"/>
      <c r="AI69" s="29"/>
    </row>
    <row r="70" spans="1:35">
      <c r="A70" s="68" t="s">
        <v>107</v>
      </c>
      <c r="B70" s="69">
        <v>0</v>
      </c>
      <c r="C70" s="28"/>
      <c r="D70" s="28"/>
      <c r="E70" s="21"/>
      <c r="F70" s="21"/>
      <c r="G70" s="21"/>
      <c r="H70" s="29"/>
      <c r="J70" s="68" t="s">
        <v>107</v>
      </c>
      <c r="K70" s="69">
        <v>0</v>
      </c>
      <c r="L70" s="28"/>
      <c r="M70" s="28"/>
      <c r="N70" s="21"/>
      <c r="O70" s="21"/>
      <c r="P70" s="21"/>
      <c r="Q70" s="29"/>
      <c r="S70" s="68" t="s">
        <v>107</v>
      </c>
      <c r="T70" s="69">
        <v>0</v>
      </c>
      <c r="U70" s="28"/>
      <c r="V70" s="28"/>
      <c r="W70" s="21"/>
      <c r="X70" s="21"/>
      <c r="Y70" s="21"/>
      <c r="Z70" s="29"/>
      <c r="AB70" s="68" t="s">
        <v>107</v>
      </c>
      <c r="AC70" s="69">
        <v>0</v>
      </c>
      <c r="AD70" s="28"/>
      <c r="AE70" s="28"/>
      <c r="AF70" s="21"/>
      <c r="AG70" s="21"/>
      <c r="AH70" s="21"/>
      <c r="AI70" s="29"/>
    </row>
    <row r="71" spans="1:35">
      <c r="A71" s="49" t="s">
        <v>108</v>
      </c>
      <c r="B71" s="73">
        <f>B69*(1+B70)</f>
        <v>0</v>
      </c>
      <c r="C71" s="28"/>
      <c r="D71" s="28"/>
      <c r="E71" s="21"/>
      <c r="F71" s="21"/>
      <c r="G71" s="21"/>
      <c r="H71" s="29"/>
      <c r="J71" s="49" t="s">
        <v>108</v>
      </c>
      <c r="K71" s="73">
        <f>K69*(1+K70)</f>
        <v>0</v>
      </c>
      <c r="L71" s="28"/>
      <c r="M71" s="28"/>
      <c r="N71" s="21"/>
      <c r="O71" s="21"/>
      <c r="P71" s="21"/>
      <c r="Q71" s="29"/>
      <c r="S71" s="49" t="s">
        <v>108</v>
      </c>
      <c r="T71" s="73">
        <f>T69*(1+T70)</f>
        <v>0</v>
      </c>
      <c r="U71" s="28"/>
      <c r="V71" s="28"/>
      <c r="W71" s="21"/>
      <c r="X71" s="21"/>
      <c r="Y71" s="21"/>
      <c r="Z71" s="29"/>
      <c r="AB71" s="49" t="s">
        <v>108</v>
      </c>
      <c r="AC71" s="73">
        <f>AC69*(1+AC70)</f>
        <v>0</v>
      </c>
      <c r="AD71" s="28"/>
      <c r="AE71" s="28"/>
      <c r="AF71" s="21"/>
      <c r="AG71" s="21"/>
      <c r="AH71" s="21"/>
      <c r="AI71" s="29"/>
    </row>
    <row r="72" spans="1:35">
      <c r="A72" s="66" t="s">
        <v>109</v>
      </c>
      <c r="B72" s="74">
        <v>0</v>
      </c>
      <c r="C72" s="28"/>
      <c r="D72" s="28"/>
      <c r="E72" s="21"/>
      <c r="F72" s="21"/>
      <c r="G72" s="21"/>
      <c r="H72" s="29"/>
      <c r="J72" s="66" t="s">
        <v>109</v>
      </c>
      <c r="K72" s="74">
        <v>0</v>
      </c>
      <c r="L72" s="28"/>
      <c r="M72" s="28"/>
      <c r="N72" s="21"/>
      <c r="O72" s="21"/>
      <c r="P72" s="21"/>
      <c r="Q72" s="29"/>
      <c r="S72" s="66" t="s">
        <v>109</v>
      </c>
      <c r="T72" s="74">
        <v>0</v>
      </c>
      <c r="U72" s="28"/>
      <c r="V72" s="28"/>
      <c r="W72" s="21"/>
      <c r="X72" s="21"/>
      <c r="Y72" s="21"/>
      <c r="Z72" s="29"/>
      <c r="AB72" s="66" t="s">
        <v>109</v>
      </c>
      <c r="AC72" s="74">
        <v>0</v>
      </c>
      <c r="AD72" s="28"/>
      <c r="AE72" s="28"/>
      <c r="AF72" s="21"/>
      <c r="AG72" s="21"/>
      <c r="AH72" s="21"/>
      <c r="AI72" s="29"/>
    </row>
    <row r="73" spans="1:35">
      <c r="A73" s="68" t="s">
        <v>110</v>
      </c>
      <c r="B73" s="65">
        <v>0</v>
      </c>
      <c r="C73" s="28"/>
      <c r="D73" s="28"/>
      <c r="E73" s="21"/>
      <c r="F73" s="21"/>
      <c r="G73" s="21"/>
      <c r="H73" s="29"/>
      <c r="J73" s="68" t="s">
        <v>110</v>
      </c>
      <c r="K73" s="65">
        <v>0</v>
      </c>
      <c r="L73" s="28"/>
      <c r="M73" s="28"/>
      <c r="N73" s="21"/>
      <c r="O73" s="21"/>
      <c r="P73" s="21"/>
      <c r="Q73" s="29"/>
      <c r="S73" s="68" t="s">
        <v>110</v>
      </c>
      <c r="T73" s="65">
        <v>0</v>
      </c>
      <c r="U73" s="28"/>
      <c r="V73" s="28"/>
      <c r="W73" s="21"/>
      <c r="X73" s="21"/>
      <c r="Y73" s="21"/>
      <c r="Z73" s="29"/>
      <c r="AB73" s="68" t="s">
        <v>110</v>
      </c>
      <c r="AC73" s="65">
        <v>0</v>
      </c>
      <c r="AD73" s="28"/>
      <c r="AE73" s="28"/>
      <c r="AF73" s="21"/>
      <c r="AG73" s="21"/>
      <c r="AH73" s="21"/>
      <c r="AI73" s="29"/>
    </row>
    <row r="74" spans="1:35">
      <c r="A74" s="49" t="s">
        <v>111</v>
      </c>
      <c r="B74" s="57">
        <f>B73*K29</f>
        <v>0</v>
      </c>
      <c r="C74" s="28"/>
      <c r="D74" s="28">
        <f>B74+B72</f>
        <v>0</v>
      </c>
      <c r="E74" s="21"/>
      <c r="F74" s="21"/>
      <c r="G74" s="21"/>
      <c r="H74" s="29"/>
      <c r="J74" s="49" t="s">
        <v>111</v>
      </c>
      <c r="K74" s="57">
        <f>K73*K29</f>
        <v>0</v>
      </c>
      <c r="L74" s="28"/>
      <c r="M74" s="28">
        <f>K74+K72</f>
        <v>0</v>
      </c>
      <c r="N74" s="21"/>
      <c r="O74" s="21"/>
      <c r="P74" s="21"/>
      <c r="Q74" s="29"/>
      <c r="S74" s="49" t="s">
        <v>111</v>
      </c>
      <c r="T74" s="57">
        <f>T73*K29</f>
        <v>0</v>
      </c>
      <c r="U74" s="28"/>
      <c r="V74" s="28">
        <f>T74+T72</f>
        <v>0</v>
      </c>
      <c r="W74" s="21"/>
      <c r="X74" s="21"/>
      <c r="Y74" s="21"/>
      <c r="Z74" s="29"/>
      <c r="AB74" s="49" t="s">
        <v>111</v>
      </c>
      <c r="AC74" s="57">
        <f>AC73*K29</f>
        <v>0</v>
      </c>
      <c r="AD74" s="28"/>
      <c r="AE74" s="28">
        <f>AC74+AC72</f>
        <v>0</v>
      </c>
      <c r="AF74" s="21"/>
      <c r="AG74" s="21"/>
      <c r="AH74" s="21"/>
      <c r="AI74" s="29"/>
    </row>
    <row r="75" spans="1:35">
      <c r="A75" s="68" t="s">
        <v>112</v>
      </c>
      <c r="B75" s="65">
        <v>0</v>
      </c>
      <c r="C75" s="28"/>
      <c r="D75" s="28">
        <f>B75</f>
        <v>0</v>
      </c>
      <c r="E75" s="21"/>
      <c r="F75" s="21"/>
      <c r="G75" s="21"/>
      <c r="H75" s="29"/>
      <c r="J75" s="68" t="s">
        <v>112</v>
      </c>
      <c r="K75" s="65">
        <v>0</v>
      </c>
      <c r="L75" s="28"/>
      <c r="M75" s="28">
        <f>K75</f>
        <v>0</v>
      </c>
      <c r="N75" s="21"/>
      <c r="O75" s="21"/>
      <c r="P75" s="21"/>
      <c r="Q75" s="29"/>
      <c r="S75" s="68" t="s">
        <v>112</v>
      </c>
      <c r="T75" s="65">
        <v>0</v>
      </c>
      <c r="U75" s="28"/>
      <c r="V75" s="28">
        <f>T75</f>
        <v>0</v>
      </c>
      <c r="W75" s="21"/>
      <c r="X75" s="21"/>
      <c r="Y75" s="21"/>
      <c r="Z75" s="29"/>
      <c r="AB75" s="68" t="s">
        <v>112</v>
      </c>
      <c r="AC75" s="65">
        <v>0</v>
      </c>
      <c r="AD75" s="28"/>
      <c r="AE75" s="28">
        <f>AC75</f>
        <v>0</v>
      </c>
      <c r="AF75" s="21"/>
      <c r="AG75" s="21"/>
      <c r="AH75" s="21"/>
      <c r="AI75" s="29"/>
    </row>
    <row r="76" spans="1:35">
      <c r="A76" s="70" t="s">
        <v>113</v>
      </c>
      <c r="B76" s="75">
        <v>0</v>
      </c>
      <c r="C76" s="28"/>
      <c r="D76" s="28">
        <f>B76</f>
        <v>0</v>
      </c>
      <c r="E76" s="21"/>
      <c r="F76" s="28"/>
      <c r="G76" s="21"/>
      <c r="H76" s="29"/>
      <c r="J76" s="70" t="s">
        <v>113</v>
      </c>
      <c r="K76" s="75">
        <v>0</v>
      </c>
      <c r="L76" s="28"/>
      <c r="M76" s="28">
        <f>K76</f>
        <v>0</v>
      </c>
      <c r="N76" s="21"/>
      <c r="O76" s="21"/>
      <c r="P76" s="21"/>
      <c r="Q76" s="29"/>
      <c r="S76" s="70" t="s">
        <v>113</v>
      </c>
      <c r="T76" s="75">
        <v>0</v>
      </c>
      <c r="U76" s="28"/>
      <c r="V76" s="28">
        <f>T76</f>
        <v>0</v>
      </c>
      <c r="W76" s="21"/>
      <c r="X76" s="21"/>
      <c r="Y76" s="21"/>
      <c r="Z76" s="29"/>
      <c r="AB76" s="70" t="s">
        <v>113</v>
      </c>
      <c r="AC76" s="75">
        <v>0</v>
      </c>
      <c r="AD76" s="28"/>
      <c r="AE76" s="28">
        <f>AC76</f>
        <v>0</v>
      </c>
      <c r="AF76" s="21"/>
      <c r="AG76" s="21"/>
      <c r="AH76" s="21"/>
      <c r="AI76" s="29"/>
    </row>
    <row r="77" spans="1:35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  <c r="J77" s="76" t="s">
        <v>114</v>
      </c>
      <c r="K77" s="77">
        <f>SUM(M65:M76)</f>
        <v>0</v>
      </c>
      <c r="L77" s="28"/>
      <c r="M77" s="28"/>
      <c r="N77" s="21"/>
      <c r="O77" s="21"/>
      <c r="P77" s="21"/>
      <c r="Q77" s="29"/>
      <c r="S77" s="76" t="s">
        <v>114</v>
      </c>
      <c r="T77" s="77">
        <f>SUM(V65:V76)</f>
        <v>0</v>
      </c>
      <c r="U77" s="28"/>
      <c r="V77" s="28"/>
      <c r="W77" s="21"/>
      <c r="X77" s="21"/>
      <c r="Y77" s="21"/>
      <c r="Z77" s="29"/>
      <c r="AB77" s="76" t="s">
        <v>114</v>
      </c>
      <c r="AC77" s="77">
        <f>SUM(AE65:AE76)</f>
        <v>0</v>
      </c>
      <c r="AD77" s="28"/>
      <c r="AE77" s="28"/>
      <c r="AF77" s="21"/>
      <c r="AG77" s="21"/>
      <c r="AH77" s="21"/>
      <c r="AI77" s="29"/>
    </row>
    <row r="78" spans="1:35">
      <c r="A78" s="27" t="s">
        <v>115</v>
      </c>
      <c r="B78" s="29">
        <f>B77/K29</f>
        <v>0</v>
      </c>
      <c r="C78" s="28"/>
      <c r="D78" s="28"/>
      <c r="E78" s="21"/>
      <c r="F78" s="21"/>
      <c r="G78" s="21"/>
      <c r="H78" s="29"/>
      <c r="J78" s="27" t="s">
        <v>115</v>
      </c>
      <c r="K78" s="29">
        <f>K77/K29</f>
        <v>0</v>
      </c>
      <c r="L78" s="28"/>
      <c r="M78" s="28"/>
      <c r="N78" s="21"/>
      <c r="O78" s="21"/>
      <c r="P78" s="21"/>
      <c r="Q78" s="29"/>
      <c r="S78" s="27" t="s">
        <v>115</v>
      </c>
      <c r="T78" s="29">
        <f>T77/K29</f>
        <v>0</v>
      </c>
      <c r="U78" s="28"/>
      <c r="V78" s="28"/>
      <c r="W78" s="21"/>
      <c r="X78" s="21"/>
      <c r="Y78" s="21"/>
      <c r="Z78" s="29"/>
      <c r="AB78" s="27" t="s">
        <v>115</v>
      </c>
      <c r="AC78" s="29">
        <f>AC77/K29</f>
        <v>0</v>
      </c>
      <c r="AD78" s="28"/>
      <c r="AE78" s="28"/>
      <c r="AF78" s="21"/>
      <c r="AG78" s="21"/>
      <c r="AH78" s="21"/>
      <c r="AI78" s="29"/>
    </row>
    <row r="79" spans="1:35">
      <c r="A79" s="78" t="s">
        <v>116</v>
      </c>
      <c r="B79" s="52">
        <f>K47</f>
        <v>1240.2164056508223</v>
      </c>
      <c r="C79" s="28"/>
      <c r="D79" s="28"/>
      <c r="E79" s="21"/>
      <c r="F79" s="21"/>
      <c r="G79" s="21"/>
      <c r="H79" s="29"/>
      <c r="J79" s="78" t="s">
        <v>116</v>
      </c>
      <c r="K79" s="52">
        <f>K47</f>
        <v>1240.2164056508223</v>
      </c>
      <c r="L79" s="28"/>
      <c r="M79" s="28"/>
      <c r="N79" s="21"/>
      <c r="O79" s="21"/>
      <c r="P79" s="21"/>
      <c r="Q79" s="29"/>
      <c r="S79" s="78" t="s">
        <v>116</v>
      </c>
      <c r="T79" s="52">
        <f>B52</f>
        <v>1276.2164056508223</v>
      </c>
      <c r="U79" s="28"/>
      <c r="V79" s="28"/>
      <c r="W79" s="21"/>
      <c r="X79" s="21"/>
      <c r="Y79" s="21"/>
      <c r="Z79" s="29"/>
      <c r="AB79" s="78" t="s">
        <v>116</v>
      </c>
      <c r="AC79" s="52">
        <f>B52</f>
        <v>1276.2164056508223</v>
      </c>
      <c r="AD79" s="28"/>
      <c r="AE79" s="28"/>
      <c r="AF79" s="21"/>
      <c r="AG79" s="21"/>
      <c r="AH79" s="21"/>
      <c r="AI79" s="29"/>
    </row>
    <row r="80" spans="1:35">
      <c r="A80" s="27"/>
      <c r="B80" s="28"/>
      <c r="C80" s="28"/>
      <c r="D80" s="28"/>
      <c r="E80" s="21"/>
      <c r="F80" s="21"/>
      <c r="G80" s="21"/>
      <c r="H80" s="29"/>
      <c r="J80" s="27"/>
      <c r="K80" s="28"/>
      <c r="L80" s="28"/>
      <c r="M80" s="28"/>
      <c r="N80" s="21"/>
      <c r="O80" s="21"/>
      <c r="P80" s="21"/>
      <c r="Q80" s="29"/>
      <c r="S80" s="27"/>
      <c r="T80" s="28"/>
      <c r="U80" s="28"/>
      <c r="V80" s="28"/>
      <c r="W80" s="21"/>
      <c r="X80" s="21"/>
      <c r="Y80" s="21"/>
      <c r="Z80" s="29"/>
      <c r="AB80" s="27"/>
      <c r="AC80" s="28"/>
      <c r="AD80" s="28"/>
      <c r="AE80" s="28"/>
      <c r="AF80" s="21"/>
      <c r="AG80" s="21"/>
      <c r="AH80" s="21"/>
      <c r="AI80" s="29"/>
    </row>
    <row r="81" spans="1:35">
      <c r="A81" s="22" t="s">
        <v>117</v>
      </c>
      <c r="B81" s="24">
        <f>G158</f>
        <v>19115</v>
      </c>
      <c r="C81" s="28"/>
      <c r="D81" s="28"/>
      <c r="E81" s="21"/>
      <c r="F81" s="22" t="s">
        <v>117</v>
      </c>
      <c r="G81" s="24">
        <f>G158</f>
        <v>19115</v>
      </c>
      <c r="H81" s="29"/>
      <c r="J81" s="22" t="s">
        <v>117</v>
      </c>
      <c r="K81" s="24" t="e">
        <f>P158</f>
        <v>#VALUE!</v>
      </c>
      <c r="L81" s="28"/>
      <c r="M81" s="28"/>
      <c r="N81" s="21"/>
      <c r="O81" s="21"/>
      <c r="P81" s="21"/>
      <c r="Q81" s="29"/>
      <c r="S81" s="22" t="s">
        <v>117</v>
      </c>
      <c r="T81" s="24" t="e">
        <f>Y158</f>
        <v>#VALUE!</v>
      </c>
      <c r="U81" s="28"/>
      <c r="V81" s="28"/>
      <c r="W81" s="21"/>
      <c r="X81" s="21"/>
      <c r="Y81" s="21"/>
      <c r="Z81" s="29"/>
      <c r="AB81" s="22" t="s">
        <v>117</v>
      </c>
      <c r="AC81" s="24" t="e">
        <f>AH158</f>
        <v>#VALUE!</v>
      </c>
      <c r="AD81" s="28"/>
      <c r="AE81" s="28"/>
      <c r="AF81" s="21"/>
      <c r="AG81" s="21"/>
      <c r="AH81" s="21"/>
      <c r="AI81" s="29"/>
    </row>
    <row r="82" spans="1:35">
      <c r="A82" s="27" t="s">
        <v>118</v>
      </c>
      <c r="B82" s="29">
        <f>IF(A111="YES",A40,0)</f>
        <v>0</v>
      </c>
      <c r="C82" s="28"/>
      <c r="D82" s="28"/>
      <c r="E82" s="21"/>
      <c r="F82" s="27" t="s">
        <v>118</v>
      </c>
      <c r="G82" s="29">
        <f>IF(A111="YES",A40,0)</f>
        <v>0</v>
      </c>
      <c r="H82" s="29"/>
      <c r="J82" s="27" t="s">
        <v>118</v>
      </c>
      <c r="K82" s="29">
        <f>IF(J111="YES",A40,0)</f>
        <v>0</v>
      </c>
      <c r="L82" s="28"/>
      <c r="M82" s="28"/>
      <c r="N82" s="21"/>
      <c r="O82" s="21"/>
      <c r="P82" s="21"/>
      <c r="Q82" s="29"/>
      <c r="S82" s="27" t="s">
        <v>118</v>
      </c>
      <c r="T82" s="29">
        <f>A40</f>
        <v>0</v>
      </c>
      <c r="U82" s="28"/>
      <c r="V82" s="28"/>
      <c r="W82" s="21"/>
      <c r="X82" s="21"/>
      <c r="Y82" s="21"/>
      <c r="Z82" s="29"/>
      <c r="AB82" s="27" t="s">
        <v>118</v>
      </c>
      <c r="AC82" s="29">
        <f>A40</f>
        <v>0</v>
      </c>
      <c r="AD82" s="28"/>
      <c r="AE82" s="28"/>
      <c r="AF82" s="21"/>
      <c r="AG82" s="21"/>
      <c r="AH82" s="21"/>
      <c r="AI82" s="29"/>
    </row>
    <row r="83" spans="1:35">
      <c r="A83" s="27" t="s">
        <v>119</v>
      </c>
      <c r="B83" s="79">
        <f>B62+B63+B64</f>
        <v>0.1305</v>
      </c>
      <c r="C83" s="28"/>
      <c r="D83" s="28"/>
      <c r="E83" s="21"/>
      <c r="F83" s="27" t="s">
        <v>119</v>
      </c>
      <c r="G83" s="79">
        <f>B63</f>
        <v>7.0000000000000007E-2</v>
      </c>
      <c r="H83" s="29"/>
      <c r="J83" s="27" t="s">
        <v>119</v>
      </c>
      <c r="K83" s="72">
        <f>K62+K63+K64</f>
        <v>0.24000000000000002</v>
      </c>
      <c r="L83" s="28"/>
      <c r="M83" s="28"/>
      <c r="N83" s="21"/>
      <c r="O83" s="21"/>
      <c r="P83" s="21"/>
      <c r="Q83" s="29"/>
      <c r="S83" s="27" t="s">
        <v>119</v>
      </c>
      <c r="T83" s="72">
        <f>T62+T63+T64</f>
        <v>0.14150000000000001</v>
      </c>
      <c r="U83" s="28"/>
      <c r="V83" s="28"/>
      <c r="W83" s="21"/>
      <c r="X83" s="21"/>
      <c r="Y83" s="21"/>
      <c r="Z83" s="29"/>
      <c r="AB83" s="27" t="s">
        <v>119</v>
      </c>
      <c r="AC83" s="72">
        <f>AC62+AC63+AC64</f>
        <v>0.14150000000000001</v>
      </c>
      <c r="AD83" s="28"/>
      <c r="AE83" s="28"/>
      <c r="AF83" s="21"/>
      <c r="AG83" s="21"/>
      <c r="AH83" s="21"/>
      <c r="AI83" s="29"/>
    </row>
    <row r="84" spans="1:35">
      <c r="A84" s="27" t="s">
        <v>120</v>
      </c>
      <c r="B84" s="72">
        <f>B83/12</f>
        <v>1.0875000000000001E-2</v>
      </c>
      <c r="C84" s="28"/>
      <c r="D84" s="28"/>
      <c r="E84" s="21"/>
      <c r="F84" s="27" t="s">
        <v>120</v>
      </c>
      <c r="G84" s="72">
        <f>G83/12</f>
        <v>5.8333333333333336E-3</v>
      </c>
      <c r="H84" s="29"/>
      <c r="J84" s="27" t="s">
        <v>120</v>
      </c>
      <c r="K84" s="72">
        <f>K83/12</f>
        <v>0.02</v>
      </c>
      <c r="L84" s="28"/>
      <c r="M84" s="28"/>
      <c r="N84" s="21"/>
      <c r="O84" s="21"/>
      <c r="P84" s="21"/>
      <c r="Q84" s="29"/>
      <c r="S84" s="27" t="s">
        <v>120</v>
      </c>
      <c r="T84" s="72">
        <f>T83/12</f>
        <v>1.1791666666666667E-2</v>
      </c>
      <c r="U84" s="28"/>
      <c r="V84" s="28"/>
      <c r="W84" s="21"/>
      <c r="X84" s="21"/>
      <c r="Y84" s="21"/>
      <c r="Z84" s="29"/>
      <c r="AB84" s="27" t="s">
        <v>120</v>
      </c>
      <c r="AC84" s="72">
        <f>AC83/12</f>
        <v>1.1791666666666667E-2</v>
      </c>
      <c r="AD84" s="28"/>
      <c r="AE84" s="28"/>
      <c r="AF84" s="21"/>
      <c r="AG84" s="21"/>
      <c r="AH84" s="21"/>
      <c r="AI84" s="29"/>
    </row>
    <row r="85" spans="1:35">
      <c r="A85" s="27" t="s">
        <v>121</v>
      </c>
      <c r="B85" s="29">
        <f>B59</f>
        <v>11</v>
      </c>
      <c r="C85" s="28"/>
      <c r="D85" s="28"/>
      <c r="E85" s="21"/>
      <c r="F85" s="27" t="s">
        <v>121</v>
      </c>
      <c r="G85" s="29">
        <f>IF(G82=0,(B59+B58),(B59))</f>
        <v>12</v>
      </c>
      <c r="H85" s="29"/>
      <c r="J85" s="27" t="s">
        <v>121</v>
      </c>
      <c r="K85" s="29">
        <f>IF(K82=0,(K59+K58),(K59))</f>
        <v>12</v>
      </c>
      <c r="L85" s="28"/>
      <c r="M85" s="28"/>
      <c r="N85" s="21"/>
      <c r="O85" s="21"/>
      <c r="P85" s="21"/>
      <c r="Q85" s="29"/>
      <c r="S85" s="27" t="s">
        <v>121</v>
      </c>
      <c r="T85" s="29">
        <f>T59</f>
        <v>11</v>
      </c>
      <c r="U85" s="28"/>
      <c r="V85" s="28"/>
      <c r="W85" s="21"/>
      <c r="X85" s="21"/>
      <c r="Y85" s="21"/>
      <c r="Z85" s="29"/>
      <c r="AB85" s="27" t="s">
        <v>121</v>
      </c>
      <c r="AC85" s="29">
        <f>AC59</f>
        <v>11</v>
      </c>
      <c r="AD85" s="28"/>
      <c r="AE85" s="28"/>
      <c r="AF85" s="21"/>
      <c r="AG85" s="21"/>
      <c r="AH85" s="21"/>
      <c r="AI85" s="29"/>
    </row>
    <row r="86" spans="1:35">
      <c r="A86" s="27" t="s">
        <v>122</v>
      </c>
      <c r="B86" s="29">
        <f>(B82/((1+B84)^(B85+1)))</f>
        <v>0</v>
      </c>
      <c r="C86" s="28"/>
      <c r="D86" s="28"/>
      <c r="E86" s="21"/>
      <c r="F86" s="27" t="s">
        <v>122</v>
      </c>
      <c r="G86" s="29">
        <f>(G82/((1+G84)^(G85+1)))</f>
        <v>0</v>
      </c>
      <c r="H86" s="29"/>
      <c r="J86" s="27" t="s">
        <v>122</v>
      </c>
      <c r="K86" s="29">
        <f>(K82/((1+K84)^(K85+1)))</f>
        <v>0</v>
      </c>
      <c r="L86" s="28"/>
      <c r="M86" s="28"/>
      <c r="N86" s="21"/>
      <c r="O86" s="21"/>
      <c r="P86" s="21"/>
      <c r="Q86" s="29"/>
      <c r="S86" s="27" t="s">
        <v>122</v>
      </c>
      <c r="T86" s="29">
        <f>(T82/((1+T84)^(T85+1)))</f>
        <v>0</v>
      </c>
      <c r="U86" s="28"/>
      <c r="V86" s="28"/>
      <c r="W86" s="21"/>
      <c r="X86" s="21"/>
      <c r="Y86" s="21"/>
      <c r="Z86" s="29"/>
      <c r="AB86" s="27" t="s">
        <v>122</v>
      </c>
      <c r="AC86" s="29">
        <f>(AC82/((1+AC84)^(AC85+1)))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123</v>
      </c>
      <c r="B87" s="29">
        <f>((1-(1/((1+B84)^B85)))/B84)</f>
        <v>10.314827359509581</v>
      </c>
      <c r="C87" s="28"/>
      <c r="D87" s="28"/>
      <c r="E87" s="21"/>
      <c r="F87" s="27" t="s">
        <v>123</v>
      </c>
      <c r="G87" s="29">
        <f>((1-(1/((1+G84)^G85)))/G84)</f>
        <v>11.557120140237435</v>
      </c>
      <c r="H87" s="29"/>
      <c r="J87" s="27" t="s">
        <v>123</v>
      </c>
      <c r="K87" s="29">
        <f>((1-(1/((1+K84)^K85)))/K84)</f>
        <v>10.575341220917178</v>
      </c>
      <c r="L87" s="28"/>
      <c r="M87" s="28"/>
      <c r="N87" s="21"/>
      <c r="O87" s="21"/>
      <c r="P87" s="21"/>
      <c r="Q87" s="29"/>
      <c r="S87" s="27" t="s">
        <v>123</v>
      </c>
      <c r="T87" s="29">
        <f>((1-(1/((1+T84)^T85)))/T84)</f>
        <v>10.259931502735036</v>
      </c>
      <c r="U87" s="28"/>
      <c r="V87" s="28"/>
      <c r="W87" s="21"/>
      <c r="X87" s="21"/>
      <c r="Y87" s="21"/>
      <c r="Z87" s="29"/>
      <c r="AB87" s="27" t="s">
        <v>123</v>
      </c>
      <c r="AC87" s="29">
        <f>((1-(1/((1+AC84)^AC85)))/AC84)</f>
        <v>10.259931502735036</v>
      </c>
      <c r="AD87" s="28"/>
      <c r="AE87" s="28"/>
      <c r="AF87" s="21"/>
      <c r="AG87" s="21"/>
      <c r="AH87" s="21"/>
      <c r="AI87" s="29"/>
    </row>
    <row r="88" spans="1:35">
      <c r="A88" s="27" t="s">
        <v>124</v>
      </c>
      <c r="B88" s="29">
        <f>B81-B86</f>
        <v>19115</v>
      </c>
      <c r="C88" s="28"/>
      <c r="D88" s="28"/>
      <c r="E88" s="21"/>
      <c r="F88" s="27" t="s">
        <v>124</v>
      </c>
      <c r="G88" s="29">
        <f>G81-G86</f>
        <v>19115</v>
      </c>
      <c r="H88" s="29"/>
      <c r="J88" s="27" t="s">
        <v>124</v>
      </c>
      <c r="K88" s="29" t="e">
        <f>K81-K86</f>
        <v>#VALUE!</v>
      </c>
      <c r="L88" s="28"/>
      <c r="M88" s="28"/>
      <c r="N88" s="21"/>
      <c r="O88" s="21"/>
      <c r="P88" s="21"/>
      <c r="Q88" s="29"/>
      <c r="S88" s="27" t="s">
        <v>124</v>
      </c>
      <c r="T88" s="29" t="e">
        <f>T81-T86</f>
        <v>#VALUE!</v>
      </c>
      <c r="U88" s="28"/>
      <c r="V88" s="28"/>
      <c r="W88" s="21"/>
      <c r="X88" s="21"/>
      <c r="Y88" s="21"/>
      <c r="Z88" s="29"/>
      <c r="AB88" s="27" t="s">
        <v>124</v>
      </c>
      <c r="AC88" s="29" t="e">
        <f>AC81-AC86</f>
        <v>#VALUE!</v>
      </c>
      <c r="AD88" s="28"/>
      <c r="AE88" s="28"/>
      <c r="AF88" s="21"/>
      <c r="AG88" s="21"/>
      <c r="AH88" s="21"/>
      <c r="AI88" s="29"/>
    </row>
    <row r="89" spans="1:35">
      <c r="A89" s="27" t="s">
        <v>125</v>
      </c>
      <c r="B89" s="29">
        <f>(B88/B87)</f>
        <v>1853.1575307828346</v>
      </c>
      <c r="C89" s="28"/>
      <c r="D89" s="28"/>
      <c r="E89" s="21"/>
      <c r="F89" s="27" t="s">
        <v>125</v>
      </c>
      <c r="G89" s="29">
        <f>(G88/G87)</f>
        <v>1653.9587516659053</v>
      </c>
      <c r="H89" s="29"/>
      <c r="J89" s="27" t="s">
        <v>125</v>
      </c>
      <c r="K89" s="29" t="e">
        <f>(K88/K87)</f>
        <v>#VALUE!</v>
      </c>
      <c r="L89" s="28"/>
      <c r="M89" s="28"/>
      <c r="N89" s="21"/>
      <c r="O89" s="21"/>
      <c r="P89" s="21"/>
      <c r="Q89" s="29"/>
      <c r="S89" s="27" t="s">
        <v>125</v>
      </c>
      <c r="T89" s="29" t="e">
        <f>(T88/T87)</f>
        <v>#VALUE!</v>
      </c>
      <c r="U89" s="28"/>
      <c r="V89" s="28"/>
      <c r="W89" s="21"/>
      <c r="X89" s="21"/>
      <c r="Y89" s="21"/>
      <c r="Z89" s="29"/>
      <c r="AB89" s="27" t="s">
        <v>125</v>
      </c>
      <c r="AC89" s="29" t="e">
        <f>(AC88/AC87)</f>
        <v>#VALUE!</v>
      </c>
      <c r="AD89" s="28"/>
      <c r="AE89" s="28"/>
      <c r="AF89" s="21"/>
      <c r="AG89" s="21"/>
      <c r="AH89" s="21"/>
      <c r="AI89" s="29"/>
    </row>
    <row r="90" spans="1:35">
      <c r="A90" s="27" t="s">
        <v>126</v>
      </c>
      <c r="B90" s="29">
        <f>((B89*(B85))+B77)</f>
        <v>20384.73283861118</v>
      </c>
      <c r="C90" s="28"/>
      <c r="D90" s="28"/>
      <c r="E90" s="21"/>
      <c r="F90" s="27" t="s">
        <v>126</v>
      </c>
      <c r="G90" s="29">
        <f>((G89*(G85))+G77)</f>
        <v>19847.505019990866</v>
      </c>
      <c r="H90" s="29"/>
      <c r="J90" s="27" t="s">
        <v>126</v>
      </c>
      <c r="K90" s="29" t="e">
        <f>((K89*(K85))+K77)</f>
        <v>#VALUE!</v>
      </c>
      <c r="L90" s="28"/>
      <c r="M90" s="28"/>
      <c r="N90" s="21"/>
      <c r="O90" s="21"/>
      <c r="P90" s="21"/>
      <c r="Q90" s="29"/>
      <c r="S90" s="27" t="s">
        <v>126</v>
      </c>
      <c r="T90" s="29" t="e">
        <f>(T89*(T85))+T77</f>
        <v>#VALUE!</v>
      </c>
      <c r="U90" s="28"/>
      <c r="V90" s="28"/>
      <c r="W90" s="21"/>
      <c r="X90" s="21"/>
      <c r="Y90" s="21"/>
      <c r="Z90" s="29"/>
      <c r="AB90" s="27" t="s">
        <v>126</v>
      </c>
      <c r="AC90" s="29" t="e">
        <f>(AC89*(AC59))+AC77</f>
        <v>#VALUE!</v>
      </c>
      <c r="AD90" s="28"/>
      <c r="AE90" s="28"/>
      <c r="AF90" s="21"/>
      <c r="AG90" s="21"/>
      <c r="AH90" s="21"/>
      <c r="AI90" s="29"/>
    </row>
    <row r="91" spans="1:35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  <c r="J91" s="27" t="s">
        <v>127</v>
      </c>
      <c r="K91" s="29" t="e">
        <f>(K90/(1-K71))*K71</f>
        <v>#VALUE!</v>
      </c>
      <c r="L91" s="28"/>
      <c r="M91" s="28"/>
      <c r="N91" s="21"/>
      <c r="O91" s="21"/>
      <c r="P91" s="21"/>
      <c r="Q91" s="29"/>
      <c r="S91" s="27" t="s">
        <v>127</v>
      </c>
      <c r="T91" s="29" t="e">
        <f>(T90/(1-T71))*T71</f>
        <v>#VALUE!</v>
      </c>
      <c r="U91" s="28"/>
      <c r="V91" s="28"/>
      <c r="W91" s="21"/>
      <c r="X91" s="21"/>
      <c r="Y91" s="21"/>
      <c r="Z91" s="29"/>
      <c r="AB91" s="27" t="s">
        <v>127</v>
      </c>
      <c r="AC91" s="29" t="e">
        <f>(AC90/(1-AC71))*AC71</f>
        <v>#VALUE!</v>
      </c>
      <c r="AD91" s="28"/>
      <c r="AE91" s="28"/>
      <c r="AF91" s="21"/>
      <c r="AG91" s="21"/>
      <c r="AH91" s="21"/>
      <c r="AI91" s="29"/>
    </row>
    <row r="92" spans="1:35">
      <c r="A92" s="49" t="s">
        <v>128</v>
      </c>
      <c r="B92" s="57">
        <f>(B90+B91)</f>
        <v>20384.73283861118</v>
      </c>
      <c r="C92" s="28"/>
      <c r="D92" s="28"/>
      <c r="E92" s="21"/>
      <c r="F92" s="49" t="s">
        <v>128</v>
      </c>
      <c r="G92" s="57">
        <f>(G90+G91)</f>
        <v>19847.505019990866</v>
      </c>
      <c r="H92" s="29"/>
      <c r="J92" s="49" t="s">
        <v>128</v>
      </c>
      <c r="K92" s="57" t="e">
        <f>(K90+K91)</f>
        <v>#VALUE!</v>
      </c>
      <c r="L92" s="28"/>
      <c r="M92" s="28"/>
      <c r="N92" s="21"/>
      <c r="O92" s="21"/>
      <c r="P92" s="21"/>
      <c r="Q92" s="29"/>
      <c r="S92" s="49" t="s">
        <v>128</v>
      </c>
      <c r="T92" s="57" t="e">
        <f>(T90+T91)</f>
        <v>#VALUE!</v>
      </c>
      <c r="U92" s="28"/>
      <c r="V92" s="28"/>
      <c r="W92" s="21"/>
      <c r="X92" s="21"/>
      <c r="Y92" s="21"/>
      <c r="Z92" s="29"/>
      <c r="AB92" s="49" t="s">
        <v>128</v>
      </c>
      <c r="AC92" s="57" t="e">
        <f>(AC90+AC91)</f>
        <v>#VALUE!</v>
      </c>
      <c r="AD92" s="28"/>
      <c r="AE92" s="28"/>
      <c r="AF92" s="21"/>
      <c r="AG92" s="21"/>
      <c r="AH92" s="21"/>
      <c r="AI92" s="29"/>
    </row>
    <row r="93" spans="1:35">
      <c r="A93" s="27"/>
      <c r="B93" s="28"/>
      <c r="C93" s="28"/>
      <c r="D93" s="28"/>
      <c r="E93" s="21"/>
      <c r="F93" s="27"/>
      <c r="G93" s="28"/>
      <c r="H93" s="29"/>
      <c r="J93" s="27"/>
      <c r="K93" s="28"/>
      <c r="L93" s="28"/>
      <c r="M93" s="28"/>
      <c r="N93" s="21"/>
      <c r="O93" s="21"/>
      <c r="P93" s="21"/>
      <c r="Q93" s="29"/>
      <c r="S93" s="27"/>
      <c r="T93" s="28"/>
      <c r="U93" s="28"/>
      <c r="V93" s="28"/>
      <c r="W93" s="21"/>
      <c r="X93" s="21"/>
      <c r="Y93" s="21"/>
      <c r="Z93" s="29"/>
      <c r="AB93" s="27"/>
      <c r="AC93" s="28"/>
      <c r="AD93" s="28"/>
      <c r="AE93" s="28"/>
      <c r="AF93" s="21"/>
      <c r="AG93" s="21"/>
      <c r="AH93" s="21"/>
      <c r="AI93" s="29"/>
    </row>
    <row r="94" spans="1:35">
      <c r="A94" s="76" t="s">
        <v>129</v>
      </c>
      <c r="B94" s="80">
        <f>IF(B26="YES",((E40/B85)*(1+A108)*(C45/100)),"0")</f>
        <v>47.127272727272725</v>
      </c>
      <c r="C94" s="28"/>
      <c r="D94" s="28"/>
      <c r="E94" s="21"/>
      <c r="F94" s="76" t="s">
        <v>129</v>
      </c>
      <c r="G94" s="80">
        <f>IF(B26="YES",((E40/B85)*(1+A108)*(C45/100)),"0")</f>
        <v>47.127272727272725</v>
      </c>
      <c r="H94" s="29"/>
      <c r="J94" s="76" t="s">
        <v>129</v>
      </c>
      <c r="K94" s="77">
        <f>((E40/K85)*(1+J108))*1.2</f>
        <v>56.160000000000004</v>
      </c>
      <c r="L94" s="28"/>
      <c r="M94" s="28"/>
      <c r="N94" s="21"/>
      <c r="O94" s="21"/>
      <c r="P94" s="21"/>
      <c r="Q94" s="29"/>
      <c r="S94" s="76" t="s">
        <v>129</v>
      </c>
      <c r="T94" s="77">
        <f>((E40/T85)*(1+S108))</f>
        <v>47.127272727272725</v>
      </c>
      <c r="U94" s="28"/>
      <c r="V94" s="28"/>
      <c r="W94" s="21"/>
      <c r="X94" s="21"/>
      <c r="Y94" s="21"/>
      <c r="Z94" s="29"/>
      <c r="AB94" s="76" t="s">
        <v>129</v>
      </c>
      <c r="AC94" s="77">
        <f>((E40/AC85)*(1+AB108))*1.2</f>
        <v>56.552727272727267</v>
      </c>
      <c r="AD94" s="28"/>
      <c r="AE94" s="28"/>
      <c r="AF94" s="21"/>
      <c r="AG94" s="21"/>
      <c r="AH94" s="21"/>
      <c r="AI94" s="29"/>
    </row>
    <row r="95" spans="1:35">
      <c r="A95" s="81" t="s">
        <v>130</v>
      </c>
      <c r="B95" s="82">
        <f>(B92/B85)</f>
        <v>1853.1575307828346</v>
      </c>
      <c r="C95" s="28"/>
      <c r="D95" s="28"/>
      <c r="E95" s="21"/>
      <c r="F95" s="81" t="s">
        <v>130</v>
      </c>
      <c r="G95" s="82">
        <f>G92/(G85)</f>
        <v>1653.9587516659055</v>
      </c>
      <c r="H95" s="29"/>
      <c r="J95" s="81" t="s">
        <v>130</v>
      </c>
      <c r="K95" s="82" t="e">
        <f>K92/(K85)</f>
        <v>#VALUE!</v>
      </c>
      <c r="L95" s="28"/>
      <c r="M95" s="28"/>
      <c r="N95" s="21"/>
      <c r="O95" s="21"/>
      <c r="P95" s="21"/>
      <c r="Q95" s="29"/>
      <c r="S95" s="81" t="s">
        <v>130</v>
      </c>
      <c r="T95" s="82" t="e">
        <f>T92/(T85)</f>
        <v>#VALUE!</v>
      </c>
      <c r="U95" s="28"/>
      <c r="V95" s="28"/>
      <c r="W95" s="21"/>
      <c r="X95" s="21"/>
      <c r="Y95" s="21"/>
      <c r="Z95" s="29"/>
      <c r="AB95" s="81" t="s">
        <v>130</v>
      </c>
      <c r="AC95" s="82" t="e">
        <f>AC92/(AC59)</f>
        <v>#VALUE!</v>
      </c>
      <c r="AD95" s="28"/>
      <c r="AE95" s="28"/>
      <c r="AF95" s="21"/>
      <c r="AG95" s="21"/>
      <c r="AH95" s="21"/>
      <c r="AI95" s="29"/>
    </row>
    <row r="96" spans="1:35">
      <c r="A96" s="83" t="s">
        <v>131</v>
      </c>
      <c r="B96" s="84">
        <f>B94+B95</f>
        <v>1900.2848035101074</v>
      </c>
      <c r="C96" s="28"/>
      <c r="D96" s="28"/>
      <c r="E96" s="21"/>
      <c r="F96" s="83" t="s">
        <v>131</v>
      </c>
      <c r="G96" s="84">
        <f>G94+G95</f>
        <v>1701.0860243931784</v>
      </c>
      <c r="H96" s="29"/>
      <c r="J96" s="83" t="s">
        <v>131</v>
      </c>
      <c r="K96" s="84" t="e">
        <f>(K94+K95)</f>
        <v>#VALUE!</v>
      </c>
      <c r="L96" s="28"/>
      <c r="M96" s="28"/>
      <c r="N96" s="21"/>
      <c r="O96" s="21"/>
      <c r="P96" s="21"/>
      <c r="Q96" s="29"/>
      <c r="S96" s="83" t="s">
        <v>131</v>
      </c>
      <c r="T96" s="84" t="e">
        <f>T94+T95</f>
        <v>#VALUE!</v>
      </c>
      <c r="U96" s="28"/>
      <c r="V96" s="28"/>
      <c r="W96" s="21"/>
      <c r="X96" s="21"/>
      <c r="Y96" s="21"/>
      <c r="Z96" s="29"/>
      <c r="AB96" s="83" t="s">
        <v>131</v>
      </c>
      <c r="AC96" s="84" t="e">
        <f>AC94+AC95</f>
        <v>#VALUE!</v>
      </c>
      <c r="AD96" s="28"/>
      <c r="AE96" s="28"/>
      <c r="AF96" s="21"/>
      <c r="AG96" s="21"/>
      <c r="AH96" s="21"/>
      <c r="AI96" s="29"/>
    </row>
    <row r="97" spans="1:42">
      <c r="A97" s="49"/>
      <c r="B97" s="50"/>
      <c r="C97" s="50"/>
      <c r="D97" s="50"/>
      <c r="E97" s="85"/>
      <c r="F97" s="85"/>
      <c r="G97" s="85"/>
      <c r="H97" s="57"/>
      <c r="J97" s="49"/>
      <c r="K97" s="50"/>
      <c r="L97" s="50"/>
      <c r="M97" s="50"/>
      <c r="N97" s="85"/>
      <c r="O97" s="85"/>
      <c r="P97" s="85"/>
      <c r="Q97" s="57"/>
      <c r="S97" s="49"/>
      <c r="T97" s="50"/>
      <c r="U97" s="50"/>
      <c r="V97" s="50"/>
      <c r="W97" s="85"/>
      <c r="X97" s="85"/>
      <c r="Y97" s="85"/>
      <c r="Z97" s="57"/>
      <c r="AB97" s="49"/>
      <c r="AC97" s="50"/>
      <c r="AD97" s="50"/>
      <c r="AE97" s="50"/>
      <c r="AF97" s="85"/>
      <c r="AG97" s="85"/>
      <c r="AH97" s="85"/>
      <c r="AI97" s="57"/>
    </row>
    <row r="98" spans="1:42" ht="14.25">
      <c r="A98" s="21"/>
      <c r="B98" s="21"/>
      <c r="C98" s="21"/>
      <c r="D98" s="21"/>
      <c r="E98" s="21"/>
      <c r="F98" s="21"/>
      <c r="G98" s="21"/>
      <c r="H98" s="21"/>
      <c r="J98" s="21"/>
      <c r="K98" s="21"/>
      <c r="L98" s="21"/>
      <c r="M98" s="21"/>
      <c r="N98" s="21"/>
      <c r="O98" s="21"/>
      <c r="P98" s="21"/>
      <c r="Q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</row>
    <row r="99" spans="1:42" ht="14.25">
      <c r="A99" s="21"/>
      <c r="B99" s="21"/>
      <c r="C99" s="21"/>
      <c r="D99" s="21"/>
      <c r="E99" s="21"/>
      <c r="F99" s="21"/>
      <c r="G99" s="21"/>
      <c r="H99" s="21"/>
      <c r="J99" s="21"/>
      <c r="K99" s="21"/>
      <c r="L99" s="21"/>
      <c r="M99" s="21"/>
      <c r="N99" s="21"/>
      <c r="O99" s="21"/>
      <c r="P99" s="21"/>
      <c r="Q99" s="21"/>
      <c r="S99" s="21"/>
      <c r="T99" s="21"/>
      <c r="U99" s="21"/>
      <c r="V99" s="21"/>
      <c r="W99" s="21"/>
      <c r="X99" s="21"/>
      <c r="Y99" s="21"/>
      <c r="Z99" s="21"/>
      <c r="AB99" s="21"/>
      <c r="AC99" s="21"/>
      <c r="AD99" s="21"/>
      <c r="AE99" s="21"/>
      <c r="AF99" s="21"/>
      <c r="AG99" s="21"/>
      <c r="AH99" s="21"/>
      <c r="AI99" s="21"/>
    </row>
    <row r="100" spans="1:42" ht="47.25" customHeight="1">
      <c r="A100" s="344" t="s">
        <v>132</v>
      </c>
      <c r="B100" s="344"/>
      <c r="C100" s="344"/>
      <c r="D100" s="344"/>
      <c r="E100" s="344"/>
      <c r="F100" s="344"/>
      <c r="G100" s="344"/>
      <c r="H100" s="344"/>
      <c r="J100" s="344" t="s">
        <v>133</v>
      </c>
      <c r="K100" s="344"/>
      <c r="L100" s="344"/>
      <c r="M100" s="344"/>
      <c r="N100" s="344"/>
      <c r="O100" s="344"/>
      <c r="P100" s="344"/>
      <c r="Q100" s="344"/>
      <c r="S100" s="344" t="s">
        <v>134</v>
      </c>
      <c r="T100" s="344"/>
      <c r="U100" s="344"/>
      <c r="V100" s="344"/>
      <c r="W100" s="344"/>
      <c r="X100" s="344"/>
      <c r="Y100" s="344"/>
      <c r="Z100" s="344"/>
      <c r="AB100" s="344" t="s">
        <v>135</v>
      </c>
      <c r="AC100" s="344"/>
      <c r="AD100" s="344"/>
      <c r="AE100" s="344"/>
      <c r="AF100" s="344"/>
      <c r="AG100" s="344"/>
      <c r="AH100" s="344"/>
      <c r="AI100" s="344"/>
    </row>
    <row r="101" spans="1:42">
      <c r="A101" s="22"/>
      <c r="B101" s="23"/>
      <c r="C101" s="23"/>
      <c r="D101" s="23"/>
      <c r="E101" s="63"/>
      <c r="F101" s="63"/>
      <c r="G101" s="63"/>
      <c r="H101" s="87"/>
      <c r="J101" s="22"/>
      <c r="K101" s="23"/>
      <c r="L101" s="23"/>
      <c r="M101" s="23"/>
      <c r="N101" s="63"/>
      <c r="O101" s="63"/>
      <c r="P101" s="63"/>
      <c r="Q101" s="87"/>
      <c r="S101" s="22"/>
      <c r="T101" s="23"/>
      <c r="U101" s="23"/>
      <c r="V101" s="23"/>
      <c r="W101" s="63"/>
      <c r="X101" s="63"/>
      <c r="Y101" s="63"/>
      <c r="Z101" s="87"/>
      <c r="AB101" s="22"/>
      <c r="AC101" s="23"/>
      <c r="AD101" s="23"/>
      <c r="AE101" s="23"/>
      <c r="AF101" s="63"/>
      <c r="AG101" s="63"/>
      <c r="AH101" s="63"/>
      <c r="AI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35" t="s">
        <v>136</v>
      </c>
      <c r="K102" s="335"/>
      <c r="L102" s="335"/>
      <c r="M102" s="335"/>
      <c r="N102" s="335"/>
      <c r="O102" s="335"/>
      <c r="P102" s="335"/>
      <c r="Q102" s="335"/>
      <c r="S102" s="335" t="s">
        <v>136</v>
      </c>
      <c r="T102" s="335"/>
      <c r="U102" s="335"/>
      <c r="V102" s="335"/>
      <c r="W102" s="335"/>
      <c r="X102" s="335"/>
      <c r="Y102" s="335"/>
      <c r="Z102" s="335"/>
      <c r="AB102" s="335" t="s">
        <v>136</v>
      </c>
      <c r="AC102" s="335"/>
      <c r="AD102" s="335"/>
      <c r="AE102" s="335"/>
      <c r="AF102" s="335"/>
      <c r="AG102" s="335"/>
      <c r="AH102" s="335"/>
      <c r="AI102" s="335"/>
    </row>
    <row r="103" spans="1:42">
      <c r="A103" s="27"/>
      <c r="B103" s="28"/>
      <c r="C103" s="28"/>
      <c r="D103" s="28"/>
      <c r="E103" s="21"/>
      <c r="F103" s="21"/>
      <c r="G103" s="21"/>
      <c r="H103" s="88"/>
      <c r="J103" s="27"/>
      <c r="K103" s="28"/>
      <c r="L103" s="28"/>
      <c r="M103" s="28"/>
      <c r="N103" s="21"/>
      <c r="O103" s="21"/>
      <c r="P103" s="21"/>
      <c r="Q103" s="88"/>
      <c r="S103" s="27"/>
      <c r="T103" s="28"/>
      <c r="U103" s="28"/>
      <c r="V103" s="28"/>
      <c r="W103" s="21"/>
      <c r="X103" s="21"/>
      <c r="Y103" s="21"/>
      <c r="Z103" s="88"/>
      <c r="AB103" s="27"/>
      <c r="AC103" s="28"/>
      <c r="AD103" s="28"/>
      <c r="AE103" s="28"/>
      <c r="AF103" s="21"/>
      <c r="AG103" s="21"/>
      <c r="AH103" s="21"/>
      <c r="AI103" s="88"/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J104" s="27" t="s">
        <v>137</v>
      </c>
      <c r="K104" s="28" t="s">
        <v>36</v>
      </c>
      <c r="L104" s="28"/>
      <c r="M104" s="28"/>
      <c r="N104" s="28" t="s">
        <v>138</v>
      </c>
      <c r="O104" s="28"/>
      <c r="P104" s="28"/>
      <c r="Q104" s="29"/>
      <c r="S104" s="27" t="s">
        <v>137</v>
      </c>
      <c r="T104" s="28" t="s">
        <v>36</v>
      </c>
      <c r="U104" s="28"/>
      <c r="V104" s="28"/>
      <c r="W104" s="28" t="s">
        <v>138</v>
      </c>
      <c r="X104" s="28"/>
      <c r="Y104" s="28"/>
      <c r="Z104" s="29"/>
      <c r="AB104" s="27" t="s">
        <v>137</v>
      </c>
      <c r="AC104" s="28" t="s">
        <v>36</v>
      </c>
      <c r="AD104" s="28"/>
      <c r="AE104" s="28"/>
      <c r="AF104" s="28" t="s">
        <v>138</v>
      </c>
      <c r="AG104" s="28"/>
      <c r="AH104" s="28"/>
      <c r="AI104" s="29"/>
    </row>
    <row r="105" spans="1:42">
      <c r="A105" s="32" t="s">
        <v>139</v>
      </c>
      <c r="B105" s="345" t="s">
        <v>140</v>
      </c>
      <c r="C105" s="345"/>
      <c r="D105" s="345"/>
      <c r="E105" s="403" t="s">
        <v>385</v>
      </c>
      <c r="F105" s="403"/>
      <c r="G105" s="403"/>
      <c r="H105" s="88"/>
      <c r="J105" s="32" t="s">
        <v>139</v>
      </c>
      <c r="K105" s="345" t="s">
        <v>140</v>
      </c>
      <c r="L105" s="345"/>
      <c r="M105" s="345"/>
      <c r="N105" s="346" t="s">
        <v>31</v>
      </c>
      <c r="O105" s="346"/>
      <c r="P105" s="346"/>
      <c r="Q105" s="88"/>
      <c r="S105" s="32" t="s">
        <v>139</v>
      </c>
      <c r="T105" s="345" t="s">
        <v>140</v>
      </c>
      <c r="U105" s="345"/>
      <c r="V105" s="345"/>
      <c r="W105" s="346" t="s">
        <v>31</v>
      </c>
      <c r="X105" s="346"/>
      <c r="Y105" s="346"/>
      <c r="Z105" s="88"/>
      <c r="AB105" s="32" t="s">
        <v>139</v>
      </c>
      <c r="AC105" s="345" t="s">
        <v>140</v>
      </c>
      <c r="AD105" s="345"/>
      <c r="AE105" s="345"/>
      <c r="AF105" s="346" t="s">
        <v>31</v>
      </c>
      <c r="AG105" s="346"/>
      <c r="AH105" s="346"/>
      <c r="AI105" s="88"/>
    </row>
    <row r="106" spans="1:42">
      <c r="A106" s="27"/>
      <c r="B106" s="28"/>
      <c r="C106" s="28"/>
      <c r="D106" s="21"/>
      <c r="E106" s="28"/>
      <c r="F106" s="28"/>
      <c r="G106" s="21"/>
      <c r="H106" s="29"/>
      <c r="J106" s="27"/>
      <c r="K106" s="28"/>
      <c r="L106" s="28"/>
      <c r="M106" s="21"/>
      <c r="N106" s="28"/>
      <c r="O106" s="28"/>
      <c r="P106" s="21"/>
      <c r="Q106" s="29"/>
      <c r="S106" s="27"/>
      <c r="T106" s="28"/>
      <c r="U106" s="28"/>
      <c r="V106" s="21"/>
      <c r="W106" s="28"/>
      <c r="X106" s="28"/>
      <c r="Y106" s="21"/>
      <c r="Z106" s="29"/>
      <c r="AB106" s="27"/>
      <c r="AC106" s="28"/>
      <c r="AD106" s="28"/>
      <c r="AE106" s="21"/>
      <c r="AF106" s="28"/>
      <c r="AG106" s="28"/>
      <c r="AH106" s="21"/>
      <c r="AI106" s="29"/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J107" s="27" t="s">
        <v>141</v>
      </c>
      <c r="K107" s="28" t="s">
        <v>142</v>
      </c>
      <c r="L107" s="28"/>
      <c r="M107" s="21"/>
      <c r="N107" s="28" t="s">
        <v>143</v>
      </c>
      <c r="O107" s="28"/>
      <c r="P107" s="21"/>
      <c r="Q107" s="88"/>
      <c r="S107" s="27" t="s">
        <v>141</v>
      </c>
      <c r="T107" s="28" t="s">
        <v>142</v>
      </c>
      <c r="U107" s="28"/>
      <c r="V107" s="21"/>
      <c r="W107" s="28" t="s">
        <v>143</v>
      </c>
      <c r="X107" s="28"/>
      <c r="Y107" s="21"/>
      <c r="Z107" s="88"/>
      <c r="AB107" s="27" t="s">
        <v>141</v>
      </c>
      <c r="AC107" s="28" t="s">
        <v>142</v>
      </c>
      <c r="AD107" s="28"/>
      <c r="AE107" s="21"/>
      <c r="AF107" s="28" t="s">
        <v>143</v>
      </c>
      <c r="AG107" s="28"/>
      <c r="AH107" s="21"/>
      <c r="AI107" s="88"/>
    </row>
    <row r="108" spans="1:42">
      <c r="A108" s="91">
        <v>0.2</v>
      </c>
      <c r="B108" s="348">
        <v>0</v>
      </c>
      <c r="C108" s="348"/>
      <c r="D108" s="348">
        <v>0</v>
      </c>
      <c r="E108" s="349">
        <f>B83</f>
        <v>0.1305</v>
      </c>
      <c r="F108" s="349"/>
      <c r="G108" s="349"/>
      <c r="H108" s="42"/>
      <c r="J108" s="91">
        <v>0.3</v>
      </c>
      <c r="K108" s="348" t="s">
        <v>144</v>
      </c>
      <c r="L108" s="348"/>
      <c r="M108" s="348"/>
      <c r="N108" s="349">
        <f>K83</f>
        <v>0.24000000000000002</v>
      </c>
      <c r="O108" s="349"/>
      <c r="P108" s="349"/>
      <c r="Q108" s="42"/>
      <c r="S108" s="91">
        <v>0.2</v>
      </c>
      <c r="T108" s="348" t="s">
        <v>145</v>
      </c>
      <c r="U108" s="348"/>
      <c r="V108" s="348"/>
      <c r="W108" s="349">
        <f>T83</f>
        <v>0.14150000000000001</v>
      </c>
      <c r="X108" s="349"/>
      <c r="Y108" s="349"/>
      <c r="Z108" s="42"/>
      <c r="AB108" s="91">
        <v>0.2</v>
      </c>
      <c r="AC108" s="348" t="s">
        <v>145</v>
      </c>
      <c r="AD108" s="348"/>
      <c r="AE108" s="348"/>
      <c r="AF108" s="350">
        <f>AC83</f>
        <v>0.14150000000000001</v>
      </c>
      <c r="AG108" s="350"/>
      <c r="AH108" s="350"/>
      <c r="AI108" s="42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J109" s="27"/>
      <c r="K109" s="28"/>
      <c r="L109" s="28"/>
      <c r="M109" s="28"/>
      <c r="N109" s="28"/>
      <c r="O109" s="28"/>
      <c r="P109" s="28"/>
      <c r="Q109" s="29"/>
      <c r="S109" s="27"/>
      <c r="T109" s="28"/>
      <c r="U109" s="28"/>
      <c r="V109" s="28"/>
      <c r="W109" s="28"/>
      <c r="X109" s="28"/>
      <c r="Y109" s="28"/>
      <c r="Z109" s="29"/>
      <c r="AB109" s="27"/>
      <c r="AC109" s="28"/>
      <c r="AD109" s="28"/>
      <c r="AE109" s="28"/>
      <c r="AF109" s="28"/>
      <c r="AG109" s="28"/>
      <c r="AH109" s="28"/>
      <c r="AI109" s="29"/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J110" s="27" t="s">
        <v>147</v>
      </c>
      <c r="K110" s="28" t="s">
        <v>148</v>
      </c>
      <c r="L110" s="28"/>
      <c r="M110" s="28"/>
      <c r="N110" s="28" t="s">
        <v>149</v>
      </c>
      <c r="O110" s="28"/>
      <c r="P110" s="28"/>
      <c r="Q110" s="29"/>
      <c r="S110" s="27" t="s">
        <v>147</v>
      </c>
      <c r="T110" s="28" t="s">
        <v>148</v>
      </c>
      <c r="U110" s="28"/>
      <c r="V110" s="28"/>
      <c r="W110" s="28" t="s">
        <v>149</v>
      </c>
      <c r="X110" s="28"/>
      <c r="Y110" s="28"/>
      <c r="Z110" s="29"/>
      <c r="AB110" s="27" t="s">
        <v>147</v>
      </c>
      <c r="AC110" s="28" t="s">
        <v>148</v>
      </c>
      <c r="AD110" s="28"/>
      <c r="AE110" s="28"/>
      <c r="AF110" s="28" t="s">
        <v>149</v>
      </c>
      <c r="AG110" s="28"/>
      <c r="AH110" s="28"/>
      <c r="AI110" s="29"/>
    </row>
    <row r="111" spans="1:42">
      <c r="A111" s="36" t="s">
        <v>31</v>
      </c>
      <c r="B111" s="348">
        <v>1000</v>
      </c>
      <c r="C111" s="348"/>
      <c r="D111" s="348"/>
      <c r="E111" s="348">
        <v>1000</v>
      </c>
      <c r="F111" s="348"/>
      <c r="G111" s="348"/>
      <c r="H111" s="88"/>
      <c r="J111" s="36" t="s">
        <v>32</v>
      </c>
      <c r="K111" s="348">
        <v>1000</v>
      </c>
      <c r="L111" s="348"/>
      <c r="M111" s="348"/>
      <c r="N111" s="348">
        <v>0</v>
      </c>
      <c r="O111" s="348"/>
      <c r="P111" s="348"/>
      <c r="Q111" s="88"/>
      <c r="S111" s="36" t="s">
        <v>31</v>
      </c>
      <c r="T111" s="348">
        <v>1000</v>
      </c>
      <c r="U111" s="348"/>
      <c r="V111" s="348"/>
      <c r="W111" s="348">
        <v>0</v>
      </c>
      <c r="X111" s="348"/>
      <c r="Y111" s="348"/>
      <c r="Z111" s="88"/>
      <c r="AB111" s="36" t="s">
        <v>31</v>
      </c>
      <c r="AC111" s="348">
        <v>1000</v>
      </c>
      <c r="AD111" s="348"/>
      <c r="AE111" s="348"/>
      <c r="AF111" s="348">
        <v>0</v>
      </c>
      <c r="AG111" s="348"/>
      <c r="AH111" s="348"/>
      <c r="AI111" s="88"/>
    </row>
    <row r="112" spans="1:42">
      <c r="A112" s="27"/>
      <c r="B112" s="28"/>
      <c r="C112" s="28"/>
      <c r="D112" s="28"/>
      <c r="E112" s="28"/>
      <c r="F112" s="28"/>
      <c r="G112" s="21"/>
      <c r="H112" s="88"/>
      <c r="J112" s="27"/>
      <c r="K112" s="28"/>
      <c r="L112" s="28"/>
      <c r="M112" s="28"/>
      <c r="N112" s="28"/>
      <c r="O112" s="28"/>
      <c r="P112" s="21"/>
      <c r="Q112" s="88"/>
      <c r="S112" s="27"/>
      <c r="T112" s="28"/>
      <c r="U112" s="28"/>
      <c r="V112" s="28"/>
      <c r="W112" s="28"/>
      <c r="X112" s="28"/>
      <c r="Y112" s="21"/>
      <c r="Z112" s="88"/>
      <c r="AB112" s="27"/>
      <c r="AC112" s="28"/>
      <c r="AD112" s="28"/>
      <c r="AE112" s="28"/>
      <c r="AF112" s="28"/>
      <c r="AG112" s="28"/>
      <c r="AH112" s="21"/>
      <c r="AI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  <c r="J113" s="93" t="s">
        <v>150</v>
      </c>
      <c r="K113" s="28" t="s">
        <v>151</v>
      </c>
      <c r="L113" s="28"/>
      <c r="M113" s="28"/>
      <c r="N113" s="28" t="s">
        <v>152</v>
      </c>
      <c r="O113" s="28"/>
      <c r="P113" s="21"/>
      <c r="Q113" s="88"/>
      <c r="S113" s="93" t="s">
        <v>150</v>
      </c>
      <c r="T113" s="28" t="s">
        <v>151</v>
      </c>
      <c r="U113" s="28"/>
      <c r="V113" s="28"/>
      <c r="W113" s="28" t="s">
        <v>152</v>
      </c>
      <c r="X113" s="28"/>
      <c r="Y113" s="21"/>
      <c r="Z113" s="88"/>
      <c r="AB113" s="93" t="s">
        <v>150</v>
      </c>
      <c r="AC113" s="28" t="s">
        <v>151</v>
      </c>
      <c r="AD113" s="28"/>
      <c r="AE113" s="28"/>
      <c r="AF113" s="28" t="s">
        <v>152</v>
      </c>
      <c r="AG113" s="28"/>
      <c r="AH113" s="21"/>
      <c r="AI113" s="88"/>
    </row>
    <row r="114" spans="1:35">
      <c r="A114" s="94">
        <f>B111+E111</f>
        <v>2000</v>
      </c>
      <c r="B114" s="348">
        <v>833.33333333333337</v>
      </c>
      <c r="C114" s="348"/>
      <c r="D114" s="348"/>
      <c r="E114" s="348">
        <v>0</v>
      </c>
      <c r="F114" s="348"/>
      <c r="G114" s="348"/>
      <c r="H114" s="88"/>
      <c r="J114" s="94">
        <f>K111+N111</f>
        <v>1000</v>
      </c>
      <c r="K114" s="348">
        <v>239.99</v>
      </c>
      <c r="L114" s="348"/>
      <c r="M114" s="348"/>
      <c r="N114" s="348">
        <v>0</v>
      </c>
      <c r="O114" s="348"/>
      <c r="P114" s="348"/>
      <c r="Q114" s="88"/>
      <c r="S114" s="94">
        <f>T111+W111</f>
        <v>1000</v>
      </c>
      <c r="T114" s="348">
        <v>199.99</v>
      </c>
      <c r="U114" s="348"/>
      <c r="V114" s="348"/>
      <c r="W114" s="348">
        <v>0</v>
      </c>
      <c r="X114" s="348"/>
      <c r="Y114" s="348"/>
      <c r="Z114" s="88"/>
      <c r="AB114" s="94">
        <f>AC111+AF111</f>
        <v>1000</v>
      </c>
      <c r="AC114" s="348">
        <v>239.99</v>
      </c>
      <c r="AD114" s="348"/>
      <c r="AE114" s="348"/>
      <c r="AF114" s="348">
        <v>0</v>
      </c>
      <c r="AG114" s="348"/>
      <c r="AH114" s="348"/>
      <c r="AI114" s="88"/>
    </row>
    <row r="115" spans="1:35" ht="14.25">
      <c r="A115" s="95"/>
      <c r="B115" s="21"/>
      <c r="C115" s="21"/>
      <c r="D115" s="21"/>
      <c r="E115" s="21"/>
      <c r="F115" s="21"/>
      <c r="G115" s="21"/>
      <c r="H115" s="88"/>
      <c r="J115" s="95"/>
      <c r="K115" s="21"/>
      <c r="L115" s="21"/>
      <c r="M115" s="21"/>
      <c r="N115" s="21"/>
      <c r="O115" s="21"/>
      <c r="P115" s="21"/>
      <c r="Q115" s="88"/>
      <c r="S115" s="95"/>
      <c r="T115" s="21"/>
      <c r="U115" s="21"/>
      <c r="V115" s="21"/>
      <c r="W115" s="21"/>
      <c r="X115" s="21"/>
      <c r="Y115" s="21"/>
      <c r="Z115" s="88"/>
      <c r="AB115" s="95"/>
      <c r="AC115" s="21"/>
      <c r="AD115" s="21"/>
      <c r="AE115" s="21"/>
      <c r="AF115" s="21"/>
      <c r="AG115" s="21"/>
      <c r="AH115" s="21"/>
      <c r="AI115" s="88"/>
    </row>
    <row r="116" spans="1:35" ht="14.25">
      <c r="A116" s="95"/>
      <c r="B116" s="21"/>
      <c r="C116" s="21"/>
      <c r="D116" s="21"/>
      <c r="E116" s="21"/>
      <c r="F116" s="21"/>
      <c r="G116" s="21"/>
      <c r="H116" s="88"/>
      <c r="J116" s="95"/>
      <c r="K116" s="21"/>
      <c r="L116" s="21"/>
      <c r="M116" s="21"/>
      <c r="N116" s="21"/>
      <c r="O116" s="21"/>
      <c r="P116" s="21"/>
      <c r="Q116" s="88"/>
      <c r="S116" s="95"/>
      <c r="T116" s="21"/>
      <c r="U116" s="21"/>
      <c r="V116" s="21"/>
      <c r="W116" s="21"/>
      <c r="X116" s="21"/>
      <c r="Y116" s="21"/>
      <c r="Z116" s="88"/>
      <c r="AB116" s="95"/>
      <c r="AC116" s="21"/>
      <c r="AD116" s="21"/>
      <c r="AE116" s="21"/>
      <c r="AF116" s="21"/>
      <c r="AG116" s="21"/>
      <c r="AH116" s="21"/>
      <c r="AI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35" t="s">
        <v>153</v>
      </c>
      <c r="K117" s="335"/>
      <c r="L117" s="335"/>
      <c r="M117" s="335"/>
      <c r="N117" s="335"/>
      <c r="O117" s="335"/>
      <c r="P117" s="335"/>
      <c r="Q117" s="335"/>
      <c r="S117" s="335" t="s">
        <v>153</v>
      </c>
      <c r="T117" s="335"/>
      <c r="U117" s="335"/>
      <c r="V117" s="335"/>
      <c r="W117" s="335"/>
      <c r="X117" s="335"/>
      <c r="Y117" s="335"/>
      <c r="Z117" s="335"/>
      <c r="AB117" s="335" t="s">
        <v>153</v>
      </c>
      <c r="AC117" s="335"/>
      <c r="AD117" s="335"/>
      <c r="AE117" s="335"/>
      <c r="AF117" s="335"/>
      <c r="AG117" s="335"/>
      <c r="AH117" s="335"/>
      <c r="AI117" s="335"/>
    </row>
    <row r="118" spans="1:35" ht="14.25">
      <c r="A118" s="95"/>
      <c r="B118" s="21"/>
      <c r="C118" s="21"/>
      <c r="D118" s="21"/>
      <c r="E118" s="21"/>
      <c r="F118" s="21"/>
      <c r="G118" s="21"/>
      <c r="H118" s="88"/>
      <c r="J118" s="95"/>
      <c r="K118" s="21"/>
      <c r="L118" s="21"/>
      <c r="M118" s="21"/>
      <c r="N118" s="21"/>
      <c r="O118" s="21"/>
      <c r="P118" s="21"/>
      <c r="Q118" s="88"/>
      <c r="S118" s="95"/>
      <c r="T118" s="21"/>
      <c r="U118" s="21"/>
      <c r="V118" s="21"/>
      <c r="W118" s="21"/>
      <c r="X118" s="21"/>
      <c r="Y118" s="21"/>
      <c r="Z118" s="88"/>
      <c r="AB118" s="95"/>
      <c r="AC118" s="21"/>
      <c r="AD118" s="21"/>
      <c r="AE118" s="21"/>
      <c r="AF118" s="21"/>
      <c r="AG118" s="21"/>
      <c r="AH118" s="21"/>
      <c r="AI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J119" s="66"/>
      <c r="K119" s="351" t="s">
        <v>154</v>
      </c>
      <c r="L119" s="351"/>
      <c r="M119" s="351" t="s">
        <v>155</v>
      </c>
      <c r="N119" s="351"/>
      <c r="O119" s="351" t="s">
        <v>156</v>
      </c>
      <c r="P119" s="351"/>
      <c r="Q119" s="96" t="s">
        <v>157</v>
      </c>
      <c r="S119" s="66"/>
      <c r="T119" s="351" t="s">
        <v>154</v>
      </c>
      <c r="U119" s="351"/>
      <c r="V119" s="351" t="s">
        <v>155</v>
      </c>
      <c r="W119" s="351"/>
      <c r="X119" s="351" t="s">
        <v>156</v>
      </c>
      <c r="Y119" s="351"/>
      <c r="Z119" s="96" t="s">
        <v>157</v>
      </c>
      <c r="AB119" s="66"/>
      <c r="AC119" s="351" t="s">
        <v>154</v>
      </c>
      <c r="AD119" s="351"/>
      <c r="AE119" s="351" t="s">
        <v>155</v>
      </c>
      <c r="AF119" s="351"/>
      <c r="AG119" s="351" t="s">
        <v>156</v>
      </c>
      <c r="AH119" s="351"/>
      <c r="AI119" s="96" t="s">
        <v>157</v>
      </c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  <c r="J120" s="68"/>
      <c r="K120" s="97" t="s">
        <v>158</v>
      </c>
      <c r="L120" s="98" t="s">
        <v>159</v>
      </c>
      <c r="M120" s="97" t="s">
        <v>158</v>
      </c>
      <c r="N120" s="99" t="s">
        <v>159</v>
      </c>
      <c r="O120" s="97" t="s">
        <v>158</v>
      </c>
      <c r="P120" s="99" t="s">
        <v>159</v>
      </c>
      <c r="Q120" s="100"/>
      <c r="S120" s="68"/>
      <c r="T120" s="97" t="s">
        <v>158</v>
      </c>
      <c r="U120" s="98" t="s">
        <v>159</v>
      </c>
      <c r="V120" s="97" t="s">
        <v>158</v>
      </c>
      <c r="W120" s="99" t="s">
        <v>159</v>
      </c>
      <c r="X120" s="97" t="s">
        <v>158</v>
      </c>
      <c r="Y120" s="99" t="s">
        <v>159</v>
      </c>
      <c r="Z120" s="100"/>
      <c r="AB120" s="68"/>
      <c r="AC120" s="97" t="s">
        <v>158</v>
      </c>
      <c r="AD120" s="98" t="s">
        <v>159</v>
      </c>
      <c r="AE120" s="97" t="s">
        <v>158</v>
      </c>
      <c r="AF120" s="99" t="s">
        <v>159</v>
      </c>
      <c r="AG120" s="97" t="s">
        <v>158</v>
      </c>
      <c r="AH120" s="99" t="s">
        <v>159</v>
      </c>
      <c r="AI120" s="100"/>
    </row>
    <row r="121" spans="1:35">
      <c r="A121" s="22" t="s">
        <v>160</v>
      </c>
      <c r="B121" s="22">
        <f>B9</f>
        <v>14333.33</v>
      </c>
      <c r="C121" s="36">
        <v>16412.5</v>
      </c>
      <c r="D121" s="22">
        <f>D3</f>
        <v>0</v>
      </c>
      <c r="E121" s="36">
        <f>D121</f>
        <v>0</v>
      </c>
      <c r="F121" s="22">
        <f>B11</f>
        <v>0</v>
      </c>
      <c r="G121" s="36">
        <f>F121</f>
        <v>0</v>
      </c>
      <c r="H121" s="101">
        <f>H3</f>
        <v>0</v>
      </c>
      <c r="J121" s="22" t="s">
        <v>160</v>
      </c>
      <c r="K121" s="22">
        <f>B3</f>
        <v>0</v>
      </c>
      <c r="L121" s="36">
        <v>28629.17</v>
      </c>
      <c r="M121" s="22">
        <f>D3</f>
        <v>0</v>
      </c>
      <c r="N121" s="36">
        <f>M121</f>
        <v>0</v>
      </c>
      <c r="O121" s="22" t="str">
        <f>F3</f>
        <v xml:space="preserve"> </v>
      </c>
      <c r="P121" s="36" t="str">
        <f>O121</f>
        <v xml:space="preserve"> </v>
      </c>
      <c r="Q121" s="101">
        <f>H3</f>
        <v>0</v>
      </c>
      <c r="S121" s="22" t="s">
        <v>160</v>
      </c>
      <c r="T121" s="22">
        <f>B3</f>
        <v>0</v>
      </c>
      <c r="U121" s="36">
        <f>T121</f>
        <v>0</v>
      </c>
      <c r="V121" s="22">
        <f>D3</f>
        <v>0</v>
      </c>
      <c r="W121" s="36">
        <f>V121</f>
        <v>0</v>
      </c>
      <c r="X121" s="22" t="str">
        <f>F3</f>
        <v xml:space="preserve"> </v>
      </c>
      <c r="Y121" s="36" t="str">
        <f>X121</f>
        <v xml:space="preserve"> </v>
      </c>
      <c r="Z121" s="101">
        <f>H3</f>
        <v>0</v>
      </c>
      <c r="AB121" s="22" t="s">
        <v>160</v>
      </c>
      <c r="AC121" s="22">
        <f>B3</f>
        <v>0</v>
      </c>
      <c r="AD121" s="36">
        <f>AC121</f>
        <v>0</v>
      </c>
      <c r="AE121" s="22">
        <f>D3</f>
        <v>0</v>
      </c>
      <c r="AF121" s="36">
        <f>AE121</f>
        <v>0</v>
      </c>
      <c r="AG121" s="22" t="str">
        <f>F3</f>
        <v xml:space="preserve"> </v>
      </c>
      <c r="AH121" s="36" t="str">
        <f>AG121</f>
        <v xml:space="preserve"> </v>
      </c>
      <c r="AI121" s="101">
        <f>H3</f>
        <v>0</v>
      </c>
    </row>
    <row r="122" spans="1:35">
      <c r="A122" s="27" t="s">
        <v>161</v>
      </c>
      <c r="B122" s="102">
        <v>0</v>
      </c>
      <c r="C122" s="103">
        <v>0</v>
      </c>
      <c r="D122" s="102">
        <v>0</v>
      </c>
      <c r="E122" s="103">
        <v>0</v>
      </c>
      <c r="F122" s="102">
        <v>0</v>
      </c>
      <c r="G122" s="296">
        <v>0</v>
      </c>
      <c r="H122" s="105"/>
      <c r="J122" s="27" t="s">
        <v>161</v>
      </c>
      <c r="K122" s="102">
        <f>B4</f>
        <v>17199.995999999999</v>
      </c>
      <c r="L122" s="103">
        <v>0</v>
      </c>
      <c r="M122" s="102">
        <f>D4</f>
        <v>0</v>
      </c>
      <c r="N122" s="103">
        <f>M122</f>
        <v>0</v>
      </c>
      <c r="O122" s="102" t="str">
        <f>F4</f>
        <v xml:space="preserve"> </v>
      </c>
      <c r="P122" s="296" t="str">
        <f>O122</f>
        <v xml:space="preserve"> </v>
      </c>
      <c r="Q122" s="105"/>
      <c r="S122" s="27" t="s">
        <v>161</v>
      </c>
      <c r="T122" s="102">
        <f>B4</f>
        <v>17199.995999999999</v>
      </c>
      <c r="U122" s="103">
        <v>0.25</v>
      </c>
      <c r="V122" s="102">
        <f>D4</f>
        <v>0</v>
      </c>
      <c r="W122" s="103">
        <f>V122</f>
        <v>0</v>
      </c>
      <c r="X122" s="102" t="str">
        <f>F4</f>
        <v xml:space="preserve"> </v>
      </c>
      <c r="Y122" s="296" t="str">
        <f>X122</f>
        <v xml:space="preserve"> </v>
      </c>
      <c r="Z122" s="105"/>
      <c r="AB122" s="27" t="s">
        <v>161</v>
      </c>
      <c r="AC122" s="102">
        <f>B4</f>
        <v>17199.995999999999</v>
      </c>
      <c r="AD122" s="103">
        <v>0.25</v>
      </c>
      <c r="AE122" s="102">
        <f>D4</f>
        <v>0</v>
      </c>
      <c r="AF122" s="103">
        <f>AE122</f>
        <v>0</v>
      </c>
      <c r="AG122" s="102" t="str">
        <f>F4</f>
        <v xml:space="preserve"> </v>
      </c>
      <c r="AH122" s="296" t="str">
        <f>AG122</f>
        <v xml:space="preserve"> </v>
      </c>
      <c r="AI122" s="105"/>
    </row>
    <row r="123" spans="1:35">
      <c r="A123" s="27" t="s">
        <v>162</v>
      </c>
      <c r="B123" s="27">
        <v>0</v>
      </c>
      <c r="C123" s="36">
        <v>0</v>
      </c>
      <c r="D123" s="27">
        <v>0</v>
      </c>
      <c r="E123" s="36">
        <v>0</v>
      </c>
      <c r="F123" s="27">
        <v>0</v>
      </c>
      <c r="G123" s="36">
        <v>0</v>
      </c>
      <c r="H123" s="29"/>
      <c r="J123" s="27" t="s">
        <v>162</v>
      </c>
      <c r="K123" s="27">
        <f>B5</f>
        <v>0</v>
      </c>
      <c r="L123" s="36">
        <v>0</v>
      </c>
      <c r="M123" s="27">
        <f>D5</f>
        <v>0</v>
      </c>
      <c r="N123" s="36">
        <f>M123</f>
        <v>0</v>
      </c>
      <c r="O123" s="27" t="str">
        <f>F5</f>
        <v xml:space="preserve"> </v>
      </c>
      <c r="P123" s="36" t="str">
        <f>O123</f>
        <v xml:space="preserve"> </v>
      </c>
      <c r="Q123" s="29"/>
      <c r="S123" s="27" t="s">
        <v>162</v>
      </c>
      <c r="T123" s="27">
        <f>B5</f>
        <v>0</v>
      </c>
      <c r="U123" s="36">
        <v>0</v>
      </c>
      <c r="V123" s="27">
        <f>D5</f>
        <v>0</v>
      </c>
      <c r="W123" s="36">
        <f>V123</f>
        <v>0</v>
      </c>
      <c r="X123" s="27" t="str">
        <f>F5</f>
        <v xml:space="preserve"> </v>
      </c>
      <c r="Y123" s="36" t="str">
        <f>X123</f>
        <v xml:space="preserve"> </v>
      </c>
      <c r="Z123" s="29"/>
      <c r="AB123" s="27" t="s">
        <v>162</v>
      </c>
      <c r="AC123" s="27">
        <f>B5</f>
        <v>0</v>
      </c>
      <c r="AD123" s="36">
        <v>0</v>
      </c>
      <c r="AE123" s="27">
        <f>D5</f>
        <v>0</v>
      </c>
      <c r="AF123" s="36">
        <f>AE123</f>
        <v>0</v>
      </c>
      <c r="AG123" s="27" t="str">
        <f>F5</f>
        <v xml:space="preserve"> </v>
      </c>
      <c r="AH123" s="36" t="str">
        <f>AG123</f>
        <v xml:space="preserve"> </v>
      </c>
      <c r="AI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  <c r="J124" s="27" t="s">
        <v>163</v>
      </c>
      <c r="K124" s="27">
        <f t="shared" ref="K124:P124" si="0">(K121*K122)+K123</f>
        <v>0</v>
      </c>
      <c r="L124" s="24">
        <f t="shared" si="0"/>
        <v>0</v>
      </c>
      <c r="M124" s="27">
        <f t="shared" si="0"/>
        <v>0</v>
      </c>
      <c r="N124" s="24">
        <f t="shared" si="0"/>
        <v>0</v>
      </c>
      <c r="O124" s="27" t="e">
        <f t="shared" si="0"/>
        <v>#VALUE!</v>
      </c>
      <c r="P124" s="24" t="e">
        <f t="shared" si="0"/>
        <v>#VALUE!</v>
      </c>
      <c r="Q124" s="29"/>
      <c r="S124" s="27" t="s">
        <v>163</v>
      </c>
      <c r="T124" s="27">
        <f t="shared" ref="T124:Y124" si="1">(T121*T122)+T123</f>
        <v>0</v>
      </c>
      <c r="U124" s="24">
        <f t="shared" si="1"/>
        <v>0</v>
      </c>
      <c r="V124" s="27">
        <f t="shared" si="1"/>
        <v>0</v>
      </c>
      <c r="W124" s="24">
        <f t="shared" si="1"/>
        <v>0</v>
      </c>
      <c r="X124" s="27" t="e">
        <f t="shared" si="1"/>
        <v>#VALUE!</v>
      </c>
      <c r="Y124" s="24" t="e">
        <f t="shared" si="1"/>
        <v>#VALUE!</v>
      </c>
      <c r="Z124" s="29"/>
      <c r="AB124" s="27" t="s">
        <v>163</v>
      </c>
      <c r="AC124" s="27">
        <f t="shared" ref="AC124:AH124" si="2">(AC121*AC122)+AC123</f>
        <v>0</v>
      </c>
      <c r="AD124" s="24">
        <f t="shared" si="2"/>
        <v>0</v>
      </c>
      <c r="AE124" s="27">
        <f t="shared" si="2"/>
        <v>0</v>
      </c>
      <c r="AF124" s="24">
        <f t="shared" si="2"/>
        <v>0</v>
      </c>
      <c r="AG124" s="27" t="e">
        <f t="shared" si="2"/>
        <v>#VALUE!</v>
      </c>
      <c r="AH124" s="24" t="e">
        <f t="shared" si="2"/>
        <v>#VALUE!</v>
      </c>
      <c r="AI124" s="29"/>
    </row>
    <row r="125" spans="1:35">
      <c r="A125" s="49" t="s">
        <v>164</v>
      </c>
      <c r="B125" s="49">
        <f t="shared" ref="B125:G125" si="3">B121-B124</f>
        <v>14333.33</v>
      </c>
      <c r="C125" s="57">
        <f t="shared" si="3"/>
        <v>16412.5</v>
      </c>
      <c r="D125" s="49">
        <f t="shared" si="3"/>
        <v>0</v>
      </c>
      <c r="E125" s="57">
        <f t="shared" si="3"/>
        <v>0</v>
      </c>
      <c r="F125" s="49">
        <f t="shared" si="3"/>
        <v>0</v>
      </c>
      <c r="G125" s="57">
        <f t="shared" si="3"/>
        <v>0</v>
      </c>
      <c r="H125" s="57"/>
      <c r="J125" s="49" t="s">
        <v>164</v>
      </c>
      <c r="K125" s="49">
        <f t="shared" ref="K125:P125" si="4">K121-K124</f>
        <v>0</v>
      </c>
      <c r="L125" s="57">
        <f t="shared" si="4"/>
        <v>28629.17</v>
      </c>
      <c r="M125" s="49">
        <f t="shared" si="4"/>
        <v>0</v>
      </c>
      <c r="N125" s="57">
        <f t="shared" si="4"/>
        <v>0</v>
      </c>
      <c r="O125" s="49" t="e">
        <f t="shared" si="4"/>
        <v>#VALUE!</v>
      </c>
      <c r="P125" s="57" t="e">
        <f t="shared" si="4"/>
        <v>#VALUE!</v>
      </c>
      <c r="Q125" s="57"/>
      <c r="S125" s="49" t="s">
        <v>164</v>
      </c>
      <c r="T125" s="49">
        <f t="shared" ref="T125:Y125" si="5">T121-T124</f>
        <v>0</v>
      </c>
      <c r="U125" s="57">
        <f t="shared" si="5"/>
        <v>0</v>
      </c>
      <c r="V125" s="49">
        <f t="shared" si="5"/>
        <v>0</v>
      </c>
      <c r="W125" s="57">
        <f t="shared" si="5"/>
        <v>0</v>
      </c>
      <c r="X125" s="49" t="e">
        <f t="shared" si="5"/>
        <v>#VALUE!</v>
      </c>
      <c r="Y125" s="57" t="e">
        <f t="shared" si="5"/>
        <v>#VALUE!</v>
      </c>
      <c r="Z125" s="57"/>
      <c r="AB125" s="49" t="s">
        <v>164</v>
      </c>
      <c r="AC125" s="49">
        <f t="shared" ref="AC125:AH125" si="6">AC121-AC124</f>
        <v>0</v>
      </c>
      <c r="AD125" s="57">
        <f t="shared" si="6"/>
        <v>0</v>
      </c>
      <c r="AE125" s="49">
        <f t="shared" si="6"/>
        <v>0</v>
      </c>
      <c r="AF125" s="57">
        <f t="shared" si="6"/>
        <v>0</v>
      </c>
      <c r="AG125" s="49" t="e">
        <f t="shared" si="6"/>
        <v>#VALUE!</v>
      </c>
      <c r="AH125" s="57" t="e">
        <f t="shared" si="6"/>
        <v>#VALUE!</v>
      </c>
      <c r="AI125" s="57"/>
    </row>
    <row r="126" spans="1:35">
      <c r="A126" s="27"/>
      <c r="B126" s="28"/>
      <c r="C126" s="28"/>
      <c r="D126" s="28"/>
      <c r="E126" s="28"/>
      <c r="F126" s="28"/>
      <c r="G126" s="28"/>
      <c r="H126" s="29"/>
      <c r="J126" s="27"/>
      <c r="K126" s="28"/>
      <c r="L126" s="28"/>
      <c r="M126" s="28"/>
      <c r="N126" s="28"/>
      <c r="O126" s="28"/>
      <c r="P126" s="28"/>
      <c r="Q126" s="29"/>
      <c r="S126" s="27"/>
      <c r="T126" s="28"/>
      <c r="U126" s="28"/>
      <c r="V126" s="28"/>
      <c r="W126" s="28"/>
      <c r="X126" s="28"/>
      <c r="Y126" s="28"/>
      <c r="Z126" s="29"/>
      <c r="AB126" s="27"/>
      <c r="AC126" s="28"/>
      <c r="AD126" s="28"/>
      <c r="AE126" s="28"/>
      <c r="AF126" s="28"/>
      <c r="AG126" s="28"/>
      <c r="AH126" s="28"/>
      <c r="AI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  <c r="J127" s="107"/>
      <c r="K127" s="108"/>
      <c r="L127" s="108"/>
      <c r="M127" s="108"/>
      <c r="N127" s="108"/>
      <c r="O127" s="108"/>
      <c r="P127" s="109" t="s">
        <v>158</v>
      </c>
      <c r="Q127" s="110" t="s">
        <v>159</v>
      </c>
      <c r="S127" s="107"/>
      <c r="T127" s="108"/>
      <c r="U127" s="108"/>
      <c r="V127" s="108"/>
      <c r="W127" s="108"/>
      <c r="X127" s="108"/>
      <c r="Y127" s="109" t="s">
        <v>158</v>
      </c>
      <c r="Z127" s="110" t="s">
        <v>159</v>
      </c>
      <c r="AB127" s="107"/>
      <c r="AC127" s="108"/>
      <c r="AD127" s="108"/>
      <c r="AE127" s="108"/>
      <c r="AF127" s="108"/>
      <c r="AG127" s="108"/>
      <c r="AH127" s="109" t="s">
        <v>158</v>
      </c>
      <c r="AI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  <c r="J128" s="111" t="s">
        <v>165</v>
      </c>
      <c r="K128" s="112"/>
      <c r="L128" s="112"/>
      <c r="M128" s="112"/>
      <c r="N128" s="112"/>
      <c r="O128" s="112"/>
      <c r="P128" s="113">
        <f>Q121</f>
        <v>0</v>
      </c>
      <c r="Q128" s="114">
        <f>SUM(Q131:Q133)</f>
        <v>0</v>
      </c>
      <c r="S128" s="111" t="s">
        <v>165</v>
      </c>
      <c r="T128" s="112"/>
      <c r="U128" s="112"/>
      <c r="V128" s="112"/>
      <c r="W128" s="112"/>
      <c r="X128" s="112"/>
      <c r="Y128" s="113">
        <f>Z121</f>
        <v>0</v>
      </c>
      <c r="Z128" s="114">
        <f>SUM(Z131:Z133)</f>
        <v>0</v>
      </c>
      <c r="AB128" s="111" t="s">
        <v>165</v>
      </c>
      <c r="AC128" s="112"/>
      <c r="AD128" s="112"/>
      <c r="AE128" s="112"/>
      <c r="AF128" s="112"/>
      <c r="AG128" s="112"/>
      <c r="AH128" s="113">
        <f>AI121</f>
        <v>0</v>
      </c>
      <c r="AI128" s="114">
        <f>SUM(AI131:AI133)</f>
        <v>0</v>
      </c>
    </row>
    <row r="129" spans="1:35">
      <c r="A129" s="27"/>
      <c r="B129" s="28"/>
      <c r="C129" s="28"/>
      <c r="D129" s="28"/>
      <c r="E129" s="28"/>
      <c r="F129" s="28"/>
      <c r="G129" s="115"/>
      <c r="H129" s="116"/>
      <c r="J129" s="27"/>
      <c r="K129" s="28"/>
      <c r="L129" s="28"/>
      <c r="M129" s="28"/>
      <c r="N129" s="28"/>
      <c r="O129" s="28"/>
      <c r="P129" s="115"/>
      <c r="Q129" s="116"/>
      <c r="S129" s="27"/>
      <c r="T129" s="28"/>
      <c r="U129" s="28"/>
      <c r="V129" s="28"/>
      <c r="W129" s="28"/>
      <c r="X129" s="28"/>
      <c r="Y129" s="115"/>
      <c r="Z129" s="116"/>
      <c r="AB129" s="27"/>
      <c r="AC129" s="28"/>
      <c r="AD129" s="28"/>
      <c r="AE129" s="28"/>
      <c r="AF129" s="28"/>
      <c r="AG129" s="28"/>
      <c r="AH129" s="115"/>
      <c r="AI129" s="116"/>
    </row>
    <row r="130" spans="1:35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J130" s="117" t="s">
        <v>166</v>
      </c>
      <c r="K130" s="352" t="s">
        <v>167</v>
      </c>
      <c r="L130" s="352"/>
      <c r="M130" s="352" t="s">
        <v>168</v>
      </c>
      <c r="N130" s="352"/>
      <c r="O130" s="352" t="s">
        <v>162</v>
      </c>
      <c r="P130" s="352"/>
      <c r="Q130" s="116" t="s">
        <v>159</v>
      </c>
      <c r="S130" s="117" t="s">
        <v>166</v>
      </c>
      <c r="T130" s="352" t="s">
        <v>167</v>
      </c>
      <c r="U130" s="352"/>
      <c r="V130" s="352" t="s">
        <v>168</v>
      </c>
      <c r="W130" s="352"/>
      <c r="X130" s="352" t="s">
        <v>162</v>
      </c>
      <c r="Y130" s="352"/>
      <c r="Z130" s="116" t="s">
        <v>159</v>
      </c>
      <c r="AB130" s="117" t="s">
        <v>166</v>
      </c>
      <c r="AC130" s="352" t="s">
        <v>167</v>
      </c>
      <c r="AD130" s="352"/>
      <c r="AE130" s="352" t="s">
        <v>168</v>
      </c>
      <c r="AF130" s="352"/>
      <c r="AG130" s="352" t="s">
        <v>162</v>
      </c>
      <c r="AH130" s="352"/>
      <c r="AI130" s="116" t="s">
        <v>159</v>
      </c>
    </row>
    <row r="131" spans="1:35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J131" s="27" t="s">
        <v>169</v>
      </c>
      <c r="K131" s="354">
        <f>P128</f>
        <v>0</v>
      </c>
      <c r="L131" s="354"/>
      <c r="M131" s="355">
        <v>0</v>
      </c>
      <c r="N131" s="355"/>
      <c r="O131" s="354">
        <v>0</v>
      </c>
      <c r="P131" s="354"/>
      <c r="Q131" s="119">
        <f>(K131-(K131*M131))-O131</f>
        <v>0</v>
      </c>
      <c r="S131" s="27" t="s">
        <v>169</v>
      </c>
      <c r="T131" s="354">
        <f>Y128</f>
        <v>0</v>
      </c>
      <c r="U131" s="354"/>
      <c r="V131" s="355">
        <v>0</v>
      </c>
      <c r="W131" s="355"/>
      <c r="X131" s="354">
        <v>0</v>
      </c>
      <c r="Y131" s="354"/>
      <c r="Z131" s="119">
        <f>(T131-(T131*V131))-X131</f>
        <v>0</v>
      </c>
      <c r="AB131" s="27" t="s">
        <v>169</v>
      </c>
      <c r="AC131" s="354">
        <f>AH128</f>
        <v>0</v>
      </c>
      <c r="AD131" s="354"/>
      <c r="AE131" s="355">
        <v>0</v>
      </c>
      <c r="AF131" s="355"/>
      <c r="AG131" s="354">
        <v>0</v>
      </c>
      <c r="AH131" s="354"/>
      <c r="AI131" s="119">
        <f>(AC131-(AC131*AE131))-AG131</f>
        <v>0</v>
      </c>
    </row>
    <row r="132" spans="1:35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J132" s="27" t="s">
        <v>170</v>
      </c>
      <c r="K132" s="354">
        <v>0</v>
      </c>
      <c r="L132" s="354"/>
      <c r="M132" s="355">
        <v>0</v>
      </c>
      <c r="N132" s="355"/>
      <c r="O132" s="354">
        <v>0</v>
      </c>
      <c r="P132" s="354"/>
      <c r="Q132" s="119">
        <f>(K132-(K132*M132))-O132</f>
        <v>0</v>
      </c>
      <c r="S132" s="27" t="s">
        <v>170</v>
      </c>
      <c r="T132" s="354">
        <v>0</v>
      </c>
      <c r="U132" s="354"/>
      <c r="V132" s="355">
        <v>0</v>
      </c>
      <c r="W132" s="355"/>
      <c r="X132" s="354">
        <v>0</v>
      </c>
      <c r="Y132" s="354"/>
      <c r="Z132" s="119">
        <f>(T132-(T132*V132))-X132</f>
        <v>0</v>
      </c>
      <c r="AB132" s="27" t="s">
        <v>170</v>
      </c>
      <c r="AC132" s="354">
        <v>0</v>
      </c>
      <c r="AD132" s="354"/>
      <c r="AE132" s="355">
        <v>0</v>
      </c>
      <c r="AF132" s="355"/>
      <c r="AG132" s="354">
        <v>0</v>
      </c>
      <c r="AH132" s="354"/>
      <c r="AI132" s="119">
        <f>(AC132-(AC132*AE132))-AG132</f>
        <v>0</v>
      </c>
    </row>
    <row r="133" spans="1:35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J133" s="27" t="s">
        <v>171</v>
      </c>
      <c r="K133" s="354">
        <v>0</v>
      </c>
      <c r="L133" s="354"/>
      <c r="M133" s="355">
        <v>0</v>
      </c>
      <c r="N133" s="355"/>
      <c r="O133" s="354">
        <v>0</v>
      </c>
      <c r="P133" s="354"/>
      <c r="Q133" s="119">
        <f>(K133-(K133*M133))-O133</f>
        <v>0</v>
      </c>
      <c r="S133" s="27" t="s">
        <v>171</v>
      </c>
      <c r="T133" s="354">
        <v>0</v>
      </c>
      <c r="U133" s="354"/>
      <c r="V133" s="355">
        <v>0</v>
      </c>
      <c r="W133" s="355"/>
      <c r="X133" s="354">
        <v>0</v>
      </c>
      <c r="Y133" s="354"/>
      <c r="Z133" s="119">
        <f>(T133-(T133*V133))-X133</f>
        <v>0</v>
      </c>
      <c r="AB133" s="27" t="s">
        <v>171</v>
      </c>
      <c r="AC133" s="354">
        <v>0</v>
      </c>
      <c r="AD133" s="354"/>
      <c r="AE133" s="355">
        <v>0</v>
      </c>
      <c r="AF133" s="355"/>
      <c r="AG133" s="354">
        <v>0</v>
      </c>
      <c r="AH133" s="354"/>
      <c r="AI133" s="119">
        <f>(AC133-(AC133*AE133))-AG133</f>
        <v>0</v>
      </c>
    </row>
    <row r="134" spans="1:35">
      <c r="A134" s="27"/>
      <c r="B134" s="28"/>
      <c r="C134" s="28"/>
      <c r="D134" s="28"/>
      <c r="E134" s="28"/>
      <c r="F134" s="28"/>
      <c r="G134" s="115"/>
      <c r="H134" s="116"/>
      <c r="J134" s="27"/>
      <c r="K134" s="28"/>
      <c r="L134" s="28"/>
      <c r="M134" s="28"/>
      <c r="N134" s="28"/>
      <c r="O134" s="28"/>
      <c r="P134" s="115"/>
      <c r="Q134" s="116"/>
      <c r="S134" s="27"/>
      <c r="T134" s="28"/>
      <c r="U134" s="28"/>
      <c r="V134" s="28"/>
      <c r="W134" s="28"/>
      <c r="X134" s="28"/>
      <c r="Y134" s="115"/>
      <c r="Z134" s="116"/>
      <c r="AB134" s="27"/>
      <c r="AC134" s="28"/>
      <c r="AD134" s="28"/>
      <c r="AE134" s="28"/>
      <c r="AF134" s="28"/>
      <c r="AG134" s="28"/>
      <c r="AH134" s="115"/>
      <c r="AI134" s="116"/>
    </row>
    <row r="135" spans="1:35" ht="21">
      <c r="A135" s="356" t="s">
        <v>172</v>
      </c>
      <c r="B135" s="356"/>
      <c r="C135" s="356"/>
      <c r="D135" s="356"/>
      <c r="E135" s="356"/>
      <c r="F135" s="356"/>
      <c r="G135" s="109">
        <f>B121</f>
        <v>14333.33</v>
      </c>
      <c r="H135" s="120">
        <f>C125+E125+G125+H128</f>
        <v>16412.5</v>
      </c>
      <c r="J135" s="356" t="s">
        <v>172</v>
      </c>
      <c r="K135" s="356"/>
      <c r="L135" s="356"/>
      <c r="M135" s="356"/>
      <c r="N135" s="356"/>
      <c r="O135" s="356"/>
      <c r="P135" s="109">
        <f t="shared" ref="P135:P142" si="7">H9</f>
        <v>0</v>
      </c>
      <c r="Q135" s="120" t="e">
        <f>L125+N125+P125+Q128</f>
        <v>#VALUE!</v>
      </c>
      <c r="S135" s="356" t="s">
        <v>172</v>
      </c>
      <c r="T135" s="356"/>
      <c r="U135" s="356"/>
      <c r="V135" s="356"/>
      <c r="W135" s="356"/>
      <c r="X135" s="356"/>
      <c r="Y135" s="109">
        <f t="shared" ref="Y135:Y142" si="8">H9</f>
        <v>0</v>
      </c>
      <c r="Z135" s="120" t="e">
        <f>U125+W125+Y125+Z128</f>
        <v>#VALUE!</v>
      </c>
      <c r="AB135" s="356" t="s">
        <v>172</v>
      </c>
      <c r="AC135" s="356"/>
      <c r="AD135" s="356"/>
      <c r="AE135" s="356"/>
      <c r="AF135" s="356"/>
      <c r="AG135" s="356"/>
      <c r="AH135" s="109">
        <f t="shared" ref="AH135:AH142" si="9">H9</f>
        <v>0</v>
      </c>
      <c r="AI135" s="120" t="e">
        <f>AD125+AF125+AH125+AI128</f>
        <v>#VALUE!</v>
      </c>
    </row>
    <row r="136" spans="1:35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57" t="s">
        <v>173</v>
      </c>
      <c r="K136" s="357"/>
      <c r="L136" s="357"/>
      <c r="M136" s="357"/>
      <c r="N136" s="357"/>
      <c r="O136" s="357"/>
      <c r="P136" s="121">
        <f t="shared" si="7"/>
        <v>0</v>
      </c>
      <c r="Q136" s="29">
        <f>P136</f>
        <v>0</v>
      </c>
      <c r="S136" s="357" t="s">
        <v>173</v>
      </c>
      <c r="T136" s="357"/>
      <c r="U136" s="357"/>
      <c r="V136" s="357"/>
      <c r="W136" s="357"/>
      <c r="X136" s="357"/>
      <c r="Y136" s="121">
        <f t="shared" si="8"/>
        <v>0</v>
      </c>
      <c r="Z136" s="29">
        <f>Y136</f>
        <v>0</v>
      </c>
      <c r="AB136" s="357" t="s">
        <v>173</v>
      </c>
      <c r="AC136" s="357"/>
      <c r="AD136" s="357"/>
      <c r="AE136" s="357"/>
      <c r="AF136" s="357"/>
      <c r="AG136" s="357"/>
      <c r="AH136" s="121">
        <f t="shared" si="9"/>
        <v>0</v>
      </c>
      <c r="AI136" s="29">
        <f>AH136</f>
        <v>0</v>
      </c>
    </row>
    <row r="137" spans="1:35">
      <c r="A137" s="357" t="s">
        <v>174</v>
      </c>
      <c r="B137" s="357"/>
      <c r="C137" s="357"/>
      <c r="D137" s="357"/>
      <c r="E137" s="357"/>
      <c r="F137" s="357"/>
      <c r="G137" s="29">
        <f>(G135+G136)*20%</f>
        <v>2866.6660000000002</v>
      </c>
      <c r="H137" s="29">
        <f>(H135+H136)*20%</f>
        <v>3282.5</v>
      </c>
      <c r="J137" s="357" t="s">
        <v>174</v>
      </c>
      <c r="K137" s="357"/>
      <c r="L137" s="357"/>
      <c r="M137" s="357"/>
      <c r="N137" s="357"/>
      <c r="O137" s="357"/>
      <c r="P137" s="121">
        <f t="shared" si="7"/>
        <v>0</v>
      </c>
      <c r="Q137" s="29" t="e">
        <f>(Q135+Q136)*20%</f>
        <v>#VALUE!</v>
      </c>
      <c r="S137" s="357" t="s">
        <v>174</v>
      </c>
      <c r="T137" s="357"/>
      <c r="U137" s="357"/>
      <c r="V137" s="357"/>
      <c r="W137" s="357"/>
      <c r="X137" s="357"/>
      <c r="Y137" s="121">
        <f t="shared" si="8"/>
        <v>0</v>
      </c>
      <c r="Z137" s="29" t="e">
        <f>(Z135+Z136)*20%</f>
        <v>#VALUE!</v>
      </c>
      <c r="AB137" s="357" t="s">
        <v>174</v>
      </c>
      <c r="AC137" s="357"/>
      <c r="AD137" s="357"/>
      <c r="AE137" s="357"/>
      <c r="AF137" s="357"/>
      <c r="AG137" s="357"/>
      <c r="AH137" s="121">
        <f t="shared" si="9"/>
        <v>0</v>
      </c>
      <c r="AI137" s="29" t="e">
        <f>(AI135+AI136)*20%</f>
        <v>#VALUE!</v>
      </c>
    </row>
    <row r="138" spans="1:35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57" t="s">
        <v>175</v>
      </c>
      <c r="K138" s="357"/>
      <c r="L138" s="357"/>
      <c r="M138" s="357"/>
      <c r="N138" s="357"/>
      <c r="O138" s="357"/>
      <c r="P138" s="121">
        <f t="shared" si="7"/>
        <v>0</v>
      </c>
      <c r="Q138" s="29">
        <f>P138</f>
        <v>0</v>
      </c>
      <c r="S138" s="357" t="s">
        <v>175</v>
      </c>
      <c r="T138" s="357"/>
      <c r="U138" s="357"/>
      <c r="V138" s="357"/>
      <c r="W138" s="357"/>
      <c r="X138" s="357"/>
      <c r="Y138" s="121">
        <f t="shared" si="8"/>
        <v>0</v>
      </c>
      <c r="Z138" s="29">
        <f>Y138</f>
        <v>0</v>
      </c>
      <c r="AB138" s="357" t="s">
        <v>175</v>
      </c>
      <c r="AC138" s="357"/>
      <c r="AD138" s="357"/>
      <c r="AE138" s="357"/>
      <c r="AF138" s="357"/>
      <c r="AG138" s="357"/>
      <c r="AH138" s="121">
        <f t="shared" si="9"/>
        <v>0</v>
      </c>
      <c r="AI138" s="29">
        <f>AH138</f>
        <v>0</v>
      </c>
    </row>
    <row r="139" spans="1:35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57" t="s">
        <v>176</v>
      </c>
      <c r="K139" s="357"/>
      <c r="L139" s="357"/>
      <c r="M139" s="357"/>
      <c r="N139" s="357"/>
      <c r="O139" s="357"/>
      <c r="P139" s="121">
        <f t="shared" si="7"/>
        <v>0</v>
      </c>
      <c r="Q139" s="29">
        <f>P139</f>
        <v>0</v>
      </c>
      <c r="S139" s="357" t="s">
        <v>176</v>
      </c>
      <c r="T139" s="357"/>
      <c r="U139" s="357"/>
      <c r="V139" s="357"/>
      <c r="W139" s="357"/>
      <c r="X139" s="357"/>
      <c r="Y139" s="121">
        <f t="shared" si="8"/>
        <v>0</v>
      </c>
      <c r="Z139" s="29">
        <f>Y139</f>
        <v>0</v>
      </c>
      <c r="AB139" s="357" t="s">
        <v>176</v>
      </c>
      <c r="AC139" s="357"/>
      <c r="AD139" s="357"/>
      <c r="AE139" s="357"/>
      <c r="AF139" s="357"/>
      <c r="AG139" s="357"/>
      <c r="AH139" s="121">
        <f t="shared" si="9"/>
        <v>0</v>
      </c>
      <c r="AI139" s="29">
        <f>AH139</f>
        <v>0</v>
      </c>
    </row>
    <row r="140" spans="1:35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57" t="s">
        <v>177</v>
      </c>
      <c r="K140" s="357"/>
      <c r="L140" s="357"/>
      <c r="M140" s="357"/>
      <c r="N140" s="357"/>
      <c r="O140" s="357"/>
      <c r="P140" s="121">
        <f t="shared" si="7"/>
        <v>0</v>
      </c>
      <c r="Q140" s="29">
        <v>55</v>
      </c>
      <c r="S140" s="357" t="s">
        <v>177</v>
      </c>
      <c r="T140" s="357"/>
      <c r="U140" s="357"/>
      <c r="V140" s="357"/>
      <c r="W140" s="357"/>
      <c r="X140" s="357"/>
      <c r="Y140" s="121">
        <f t="shared" si="8"/>
        <v>0</v>
      </c>
      <c r="Z140" s="29">
        <v>55</v>
      </c>
      <c r="AB140" s="357" t="s">
        <v>177</v>
      </c>
      <c r="AC140" s="357"/>
      <c r="AD140" s="357"/>
      <c r="AE140" s="357"/>
      <c r="AF140" s="357"/>
      <c r="AG140" s="357"/>
      <c r="AH140" s="121">
        <f t="shared" si="9"/>
        <v>0</v>
      </c>
      <c r="AI140" s="29">
        <v>55</v>
      </c>
    </row>
    <row r="141" spans="1:35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17199.995999999999</v>
      </c>
      <c r="H141" s="122">
        <f>(H135+H136+H139+H140+H137)-H138</f>
        <v>19695</v>
      </c>
      <c r="J141" s="357" t="s">
        <v>178</v>
      </c>
      <c r="K141" s="357"/>
      <c r="L141" s="357"/>
      <c r="M141" s="357"/>
      <c r="N141" s="357"/>
      <c r="O141" s="357"/>
      <c r="P141" s="123">
        <f t="shared" si="7"/>
        <v>0</v>
      </c>
      <c r="Q141" s="122" t="e">
        <f>(Q135+Q136+Q139+Q140+Q137)-Q138</f>
        <v>#VALUE!</v>
      </c>
      <c r="S141" s="357" t="s">
        <v>178</v>
      </c>
      <c r="T141" s="357"/>
      <c r="U141" s="357"/>
      <c r="V141" s="357"/>
      <c r="W141" s="357"/>
      <c r="X141" s="357"/>
      <c r="Y141" s="123">
        <f t="shared" si="8"/>
        <v>0</v>
      </c>
      <c r="Z141" s="122" t="e">
        <f>(Z135+Z136+Z139+Z140+Z137)-Z138</f>
        <v>#VALUE!</v>
      </c>
      <c r="AB141" s="357" t="s">
        <v>178</v>
      </c>
      <c r="AC141" s="357"/>
      <c r="AD141" s="357"/>
      <c r="AE141" s="357"/>
      <c r="AF141" s="357"/>
      <c r="AG141" s="357"/>
      <c r="AH141" s="123">
        <f t="shared" si="9"/>
        <v>0</v>
      </c>
      <c r="AI141" s="122" t="e">
        <f>(AI135+AI136+AI139+AI140+AI137)-AI138</f>
        <v>#VALUE!</v>
      </c>
    </row>
    <row r="142" spans="1:35">
      <c r="A142" s="357" t="s">
        <v>179</v>
      </c>
      <c r="B142" s="357"/>
      <c r="C142" s="357"/>
      <c r="D142" s="357"/>
      <c r="E142" s="357"/>
      <c r="F142" s="357"/>
      <c r="G142" s="121">
        <f>H16</f>
        <v>0</v>
      </c>
      <c r="H142" s="36">
        <f>G142</f>
        <v>0</v>
      </c>
      <c r="J142" s="357" t="s">
        <v>179</v>
      </c>
      <c r="K142" s="357"/>
      <c r="L142" s="357"/>
      <c r="M142" s="357"/>
      <c r="N142" s="357"/>
      <c r="O142" s="357"/>
      <c r="P142" s="121">
        <f t="shared" si="7"/>
        <v>0</v>
      </c>
      <c r="Q142" s="36">
        <f>P142</f>
        <v>0</v>
      </c>
      <c r="S142" s="357" t="s">
        <v>179</v>
      </c>
      <c r="T142" s="357"/>
      <c r="U142" s="357"/>
      <c r="V142" s="357"/>
      <c r="W142" s="357"/>
      <c r="X142" s="357"/>
      <c r="Y142" s="121">
        <f t="shared" si="8"/>
        <v>0</v>
      </c>
      <c r="Z142" s="36">
        <f>Y142</f>
        <v>0</v>
      </c>
      <c r="AB142" s="357" t="s">
        <v>179</v>
      </c>
      <c r="AC142" s="357"/>
      <c r="AD142" s="357"/>
      <c r="AE142" s="357"/>
      <c r="AF142" s="357"/>
      <c r="AG142" s="357"/>
      <c r="AH142" s="121">
        <f t="shared" si="9"/>
        <v>0</v>
      </c>
      <c r="AI142" s="36">
        <f>AH142</f>
        <v>0</v>
      </c>
    </row>
    <row r="143" spans="1:35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58" t="s">
        <v>180</v>
      </c>
      <c r="K143" s="358"/>
      <c r="L143" s="358"/>
      <c r="M143" s="358"/>
      <c r="N143" s="358"/>
      <c r="O143" s="358"/>
      <c r="P143" s="34"/>
      <c r="Q143" s="29"/>
      <c r="S143" s="358" t="s">
        <v>180</v>
      </c>
      <c r="T143" s="358"/>
      <c r="U143" s="358"/>
      <c r="V143" s="358"/>
      <c r="W143" s="358"/>
      <c r="X143" s="358"/>
      <c r="Y143" s="34"/>
      <c r="Z143" s="29"/>
      <c r="AB143" s="358" t="s">
        <v>180</v>
      </c>
      <c r="AC143" s="358"/>
      <c r="AD143" s="358"/>
      <c r="AE143" s="358"/>
      <c r="AF143" s="358"/>
      <c r="AG143" s="358"/>
      <c r="AH143" s="34"/>
      <c r="AI143" s="29"/>
    </row>
    <row r="144" spans="1:35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J144" s="124" t="s">
        <v>26</v>
      </c>
      <c r="K144" s="360" t="s">
        <v>181</v>
      </c>
      <c r="L144" s="360"/>
      <c r="M144" s="360"/>
      <c r="N144" s="360"/>
      <c r="O144" s="360"/>
      <c r="P144" s="121">
        <f>H18</f>
        <v>0</v>
      </c>
      <c r="Q144" s="36">
        <f>P144</f>
        <v>0</v>
      </c>
      <c r="S144" s="124" t="s">
        <v>26</v>
      </c>
      <c r="T144" s="360" t="s">
        <v>181</v>
      </c>
      <c r="U144" s="360"/>
      <c r="V144" s="360"/>
      <c r="W144" s="360"/>
      <c r="X144" s="360"/>
      <c r="Y144" s="121">
        <f>H18</f>
        <v>0</v>
      </c>
      <c r="Z144" s="36">
        <f>Y144</f>
        <v>0</v>
      </c>
      <c r="AB144" s="124" t="s">
        <v>26</v>
      </c>
      <c r="AC144" s="360" t="s">
        <v>181</v>
      </c>
      <c r="AD144" s="360"/>
      <c r="AE144" s="360"/>
      <c r="AF144" s="360"/>
      <c r="AG144" s="360"/>
      <c r="AH144" s="121">
        <f>H18</f>
        <v>0</v>
      </c>
      <c r="AI144" s="36">
        <f>AH144</f>
        <v>0</v>
      </c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J145" s="124" t="s">
        <v>28</v>
      </c>
      <c r="K145" s="360" t="s">
        <v>181</v>
      </c>
      <c r="L145" s="360"/>
      <c r="M145" s="360"/>
      <c r="N145" s="360"/>
      <c r="O145" s="360"/>
      <c r="P145" s="121">
        <f>H19</f>
        <v>0</v>
      </c>
      <c r="Q145" s="36">
        <f>P145</f>
        <v>0</v>
      </c>
      <c r="S145" s="124" t="s">
        <v>28</v>
      </c>
      <c r="T145" s="360" t="s">
        <v>181</v>
      </c>
      <c r="U145" s="360"/>
      <c r="V145" s="360"/>
      <c r="W145" s="360"/>
      <c r="X145" s="360"/>
      <c r="Y145" s="121">
        <f>H19</f>
        <v>0</v>
      </c>
      <c r="Z145" s="36">
        <f>Y145</f>
        <v>0</v>
      </c>
      <c r="AB145" s="124" t="s">
        <v>28</v>
      </c>
      <c r="AC145" s="360" t="s">
        <v>181</v>
      </c>
      <c r="AD145" s="360"/>
      <c r="AE145" s="360"/>
      <c r="AF145" s="360"/>
      <c r="AG145" s="360"/>
      <c r="AH145" s="121">
        <f>H19</f>
        <v>0</v>
      </c>
      <c r="AI145" s="36">
        <f>AH145</f>
        <v>0</v>
      </c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J146" s="125" t="s">
        <v>29</v>
      </c>
      <c r="K146" s="361" t="s">
        <v>181</v>
      </c>
      <c r="L146" s="361"/>
      <c r="M146" s="361"/>
      <c r="N146" s="361"/>
      <c r="O146" s="361"/>
      <c r="P146" s="121">
        <f>H20</f>
        <v>0</v>
      </c>
      <c r="Q146" s="36">
        <f>P146</f>
        <v>0</v>
      </c>
      <c r="S146" s="125" t="s">
        <v>29</v>
      </c>
      <c r="T146" s="361" t="s">
        <v>181</v>
      </c>
      <c r="U146" s="361"/>
      <c r="V146" s="361"/>
      <c r="W146" s="361"/>
      <c r="X146" s="361"/>
      <c r="Y146" s="121">
        <f>H20</f>
        <v>0</v>
      </c>
      <c r="Z146" s="36">
        <f>Y146</f>
        <v>0</v>
      </c>
      <c r="AB146" s="125" t="s">
        <v>29</v>
      </c>
      <c r="AC146" s="361" t="s">
        <v>181</v>
      </c>
      <c r="AD146" s="361"/>
      <c r="AE146" s="361"/>
      <c r="AF146" s="361"/>
      <c r="AG146" s="361"/>
      <c r="AH146" s="121">
        <f>H20</f>
        <v>0</v>
      </c>
      <c r="AI146" s="36">
        <f>AH146</f>
        <v>0</v>
      </c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17199.995999999999</v>
      </c>
      <c r="H147" s="126">
        <f>H141-((H144*1.2)+(H145*1.2)+(H146*1.2)+(H142*1.2))</f>
        <v>19695</v>
      </c>
      <c r="J147" s="357" t="s">
        <v>182</v>
      </c>
      <c r="K147" s="357"/>
      <c r="L147" s="357"/>
      <c r="M147" s="357"/>
      <c r="N147" s="357"/>
      <c r="O147" s="357"/>
      <c r="P147" s="123">
        <f>P141-((P144*1.2)+(P145*1.2)+(P146*1.2)+(P142*1.2))</f>
        <v>0</v>
      </c>
      <c r="Q147" s="126" t="e">
        <f>Q141-((Q144*1.2)+(Q145*1.2)+(Q146*1.2)+(Q142*1.2))</f>
        <v>#VALUE!</v>
      </c>
      <c r="S147" s="357" t="s">
        <v>182</v>
      </c>
      <c r="T147" s="357"/>
      <c r="U147" s="357"/>
      <c r="V147" s="357"/>
      <c r="W147" s="357"/>
      <c r="X147" s="357"/>
      <c r="Y147" s="123">
        <f>Y141-((Y144*1.2)+(Y145*1.2)+(Y146*1.2)+(Y142*1.2))</f>
        <v>0</v>
      </c>
      <c r="Z147" s="126" t="e">
        <f>Z141-((Z144*1.2)+(Z145*1.2)+(Z146*1.2)+(Z142*1.2))</f>
        <v>#VALUE!</v>
      </c>
      <c r="AB147" s="357" t="s">
        <v>182</v>
      </c>
      <c r="AC147" s="357"/>
      <c r="AD147" s="357"/>
      <c r="AE147" s="357"/>
      <c r="AF147" s="357"/>
      <c r="AG147" s="357"/>
      <c r="AH147" s="123">
        <f>AH141-((AH144*1.2)+(AH145*1.2)+(AH146*1.2)+(AH142*1.2))</f>
        <v>0</v>
      </c>
      <c r="AI147" s="126" t="e">
        <f>AI141-((AI144*1.2)+(AI145*1.2)+(AI146*1.2)+(AI142*1.2))</f>
        <v>#VALUE!</v>
      </c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2079.170000000001</v>
      </c>
      <c r="I148" s="4">
        <f>(H148-G81)/1.2</f>
        <v>-14196.525</v>
      </c>
      <c r="J148" s="357" t="s">
        <v>183</v>
      </c>
      <c r="K148" s="357"/>
      <c r="L148" s="357"/>
      <c r="M148" s="357"/>
      <c r="N148" s="357"/>
      <c r="O148" s="357"/>
      <c r="P148" s="121"/>
      <c r="Q148" s="36" t="e">
        <f>Q147-P147</f>
        <v>#VALUE!</v>
      </c>
      <c r="S148" s="357" t="s">
        <v>183</v>
      </c>
      <c r="T148" s="357"/>
      <c r="U148" s="357"/>
      <c r="V148" s="357"/>
      <c r="W148" s="357"/>
      <c r="X148" s="357"/>
      <c r="Y148" s="121"/>
      <c r="Z148" s="36" t="e">
        <f>Z147-Y147</f>
        <v>#VALUE!</v>
      </c>
      <c r="AB148" s="357" t="s">
        <v>183</v>
      </c>
      <c r="AC148" s="357"/>
      <c r="AD148" s="357"/>
      <c r="AE148" s="357"/>
      <c r="AF148" s="357"/>
      <c r="AG148" s="357"/>
      <c r="AH148" s="121"/>
      <c r="AI148" s="36" t="e">
        <f>AI147-AH147</f>
        <v>#VALUE!</v>
      </c>
    </row>
    <row r="149" spans="1:35">
      <c r="A149" s="27"/>
      <c r="B149" s="28"/>
      <c r="C149" s="28"/>
      <c r="D149" s="28"/>
      <c r="E149" s="21"/>
      <c r="F149" s="21"/>
      <c r="G149" s="21"/>
      <c r="H149" s="29"/>
      <c r="J149" s="27"/>
      <c r="K149" s="28"/>
      <c r="L149" s="28"/>
      <c r="M149" s="28"/>
      <c r="N149" s="21"/>
      <c r="O149" s="21"/>
      <c r="P149" s="21"/>
      <c r="Q149" s="29"/>
      <c r="S149" s="27"/>
      <c r="T149" s="28"/>
      <c r="U149" s="28"/>
      <c r="V149" s="28"/>
      <c r="W149" s="21"/>
      <c r="X149" s="21"/>
      <c r="Y149" s="21"/>
      <c r="Z149" s="29"/>
      <c r="AB149" s="27"/>
      <c r="AC149" s="28"/>
      <c r="AD149" s="28"/>
      <c r="AE149" s="28"/>
      <c r="AF149" s="21"/>
      <c r="AG149" s="21"/>
      <c r="AH149" s="21"/>
      <c r="AI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35" t="s">
        <v>184</v>
      </c>
      <c r="K150" s="335"/>
      <c r="L150" s="335"/>
      <c r="M150" s="335"/>
      <c r="N150" s="335"/>
      <c r="O150" s="335"/>
      <c r="P150" s="335"/>
      <c r="Q150" s="335"/>
      <c r="S150" s="335" t="s">
        <v>184</v>
      </c>
      <c r="T150" s="335"/>
      <c r="U150" s="335"/>
      <c r="V150" s="335"/>
      <c r="W150" s="335"/>
      <c r="X150" s="335"/>
      <c r="Y150" s="335"/>
      <c r="Z150" s="335"/>
      <c r="AB150" s="335" t="s">
        <v>184</v>
      </c>
      <c r="AC150" s="335"/>
      <c r="AD150" s="335"/>
      <c r="AE150" s="335"/>
      <c r="AF150" s="335"/>
      <c r="AG150" s="335"/>
      <c r="AH150" s="335"/>
      <c r="AI150" s="335"/>
    </row>
    <row r="151" spans="1:35">
      <c r="A151" s="27"/>
      <c r="B151" s="28"/>
      <c r="C151" s="28"/>
      <c r="D151" s="28"/>
      <c r="E151" s="21"/>
      <c r="F151" s="21"/>
      <c r="G151" s="21"/>
      <c r="H151" s="29"/>
      <c r="J151" s="27"/>
      <c r="K151" s="28"/>
      <c r="L151" s="28"/>
      <c r="M151" s="28"/>
      <c r="N151" s="21"/>
      <c r="O151" s="21"/>
      <c r="P151" s="21"/>
      <c r="Q151" s="29"/>
      <c r="S151" s="27"/>
      <c r="T151" s="28"/>
      <c r="U151" s="28"/>
      <c r="V151" s="28"/>
      <c r="W151" s="21"/>
      <c r="X151" s="21"/>
      <c r="Y151" s="21"/>
      <c r="Z151" s="29"/>
      <c r="AB151" s="27"/>
      <c r="AC151" s="28"/>
      <c r="AD151" s="28"/>
      <c r="AE151" s="28"/>
      <c r="AF151" s="21"/>
      <c r="AG151" s="21"/>
      <c r="AH151" s="21"/>
      <c r="AI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J152" s="27" t="s">
        <v>185</v>
      </c>
      <c r="K152" s="28"/>
      <c r="L152" s="28"/>
      <c r="M152" s="21"/>
      <c r="N152" s="348">
        <v>10000</v>
      </c>
      <c r="O152" s="348"/>
      <c r="P152" s="348">
        <v>5000</v>
      </c>
      <c r="Q152" s="348"/>
      <c r="S152" s="27" t="s">
        <v>185</v>
      </c>
      <c r="T152" s="28"/>
      <c r="U152" s="28"/>
      <c r="V152" s="21"/>
      <c r="W152" s="348">
        <v>10000</v>
      </c>
      <c r="X152" s="348"/>
      <c r="Y152" s="348">
        <v>5000</v>
      </c>
      <c r="Z152" s="348"/>
      <c r="AB152" s="27" t="s">
        <v>185</v>
      </c>
      <c r="AC152" s="28"/>
      <c r="AD152" s="28"/>
      <c r="AE152" s="21"/>
      <c r="AF152" s="348">
        <v>10000</v>
      </c>
      <c r="AG152" s="348"/>
      <c r="AH152" s="348">
        <v>5000</v>
      </c>
      <c r="AI152" s="348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J153" s="27" t="s">
        <v>186</v>
      </c>
      <c r="K153" s="28"/>
      <c r="L153" s="28"/>
      <c r="M153" s="21"/>
      <c r="N153" s="363">
        <f>P153</f>
        <v>7000</v>
      </c>
      <c r="O153" s="363"/>
      <c r="P153" s="348">
        <v>7000</v>
      </c>
      <c r="Q153" s="348"/>
      <c r="S153" s="27" t="s">
        <v>186</v>
      </c>
      <c r="T153" s="28"/>
      <c r="U153" s="28"/>
      <c r="V153" s="21"/>
      <c r="W153" s="363">
        <f>Y153</f>
        <v>7000</v>
      </c>
      <c r="X153" s="363"/>
      <c r="Y153" s="348">
        <v>7000</v>
      </c>
      <c r="Z153" s="348"/>
      <c r="AB153" s="27" t="s">
        <v>186</v>
      </c>
      <c r="AC153" s="28"/>
      <c r="AD153" s="28"/>
      <c r="AE153" s="21"/>
      <c r="AF153" s="363">
        <f>AH153</f>
        <v>7000</v>
      </c>
      <c r="AG153" s="363"/>
      <c r="AH153" s="348">
        <v>7000</v>
      </c>
      <c r="AI153" s="348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J154" s="27" t="s">
        <v>187</v>
      </c>
      <c r="K154" s="28"/>
      <c r="L154" s="28"/>
      <c r="M154" s="21"/>
      <c r="N154" s="363">
        <f>N152-N153</f>
        <v>3000</v>
      </c>
      <c r="O154" s="363"/>
      <c r="P154" s="364">
        <f>P152-P153</f>
        <v>-2000</v>
      </c>
      <c r="Q154" s="364"/>
      <c r="S154" s="27" t="s">
        <v>187</v>
      </c>
      <c r="T154" s="28"/>
      <c r="U154" s="28"/>
      <c r="V154" s="21"/>
      <c r="W154" s="363">
        <f>W152-W153</f>
        <v>3000</v>
      </c>
      <c r="X154" s="363"/>
      <c r="Y154" s="364">
        <f>Y152-Y153</f>
        <v>-2000</v>
      </c>
      <c r="Z154" s="364"/>
      <c r="AB154" s="27" t="s">
        <v>187</v>
      </c>
      <c r="AC154" s="28"/>
      <c r="AD154" s="28"/>
      <c r="AE154" s="21"/>
      <c r="AF154" s="363">
        <f>AF152-AF153</f>
        <v>3000</v>
      </c>
      <c r="AG154" s="363"/>
      <c r="AH154" s="364">
        <f>AH152-AH153</f>
        <v>-2000</v>
      </c>
      <c r="AI154" s="364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J155" s="27" t="s">
        <v>188</v>
      </c>
      <c r="K155" s="28"/>
      <c r="L155" s="28"/>
      <c r="M155" s="21"/>
      <c r="N155" s="363">
        <f>N154-P154</f>
        <v>5000</v>
      </c>
      <c r="O155" s="363"/>
      <c r="P155" s="21"/>
      <c r="Q155" s="29"/>
      <c r="S155" s="27" t="s">
        <v>188</v>
      </c>
      <c r="T155" s="28"/>
      <c r="U155" s="28"/>
      <c r="V155" s="21"/>
      <c r="W155" s="363">
        <f>W154-Y154</f>
        <v>5000</v>
      </c>
      <c r="X155" s="363"/>
      <c r="Y155" s="21"/>
      <c r="Z155" s="29"/>
      <c r="AB155" s="27" t="s">
        <v>188</v>
      </c>
      <c r="AC155" s="28"/>
      <c r="AD155" s="28"/>
      <c r="AE155" s="21"/>
      <c r="AF155" s="363">
        <f>AF154-AH154</f>
        <v>5000</v>
      </c>
      <c r="AG155" s="363"/>
      <c r="AH155" s="21"/>
      <c r="AI155" s="29"/>
    </row>
    <row r="156" spans="1:35">
      <c r="A156" s="27" t="s">
        <v>189</v>
      </c>
      <c r="B156" s="28"/>
      <c r="C156" s="28"/>
      <c r="D156" s="21"/>
      <c r="E156" s="28"/>
      <c r="F156" s="21"/>
      <c r="G156" s="21"/>
      <c r="H156" s="36">
        <v>1420</v>
      </c>
      <c r="J156" s="27"/>
      <c r="K156" s="28"/>
      <c r="L156" s="28"/>
      <c r="M156" s="21"/>
      <c r="N156" s="28"/>
      <c r="O156" s="21"/>
      <c r="P156" s="21"/>
      <c r="Q156" s="29"/>
      <c r="S156" s="27"/>
      <c r="T156" s="28"/>
      <c r="U156" s="28"/>
      <c r="V156" s="21"/>
      <c r="W156" s="28"/>
      <c r="X156" s="21"/>
      <c r="Y156" s="21"/>
      <c r="Z156" s="29"/>
      <c r="AB156" s="27"/>
      <c r="AC156" s="28"/>
      <c r="AD156" s="28"/>
      <c r="AE156" s="21"/>
      <c r="AF156" s="28"/>
      <c r="AG156" s="21"/>
      <c r="AH156" s="21"/>
      <c r="AI156" s="29"/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2000</v>
      </c>
      <c r="H157" s="365"/>
      <c r="J157" s="22" t="s">
        <v>190</v>
      </c>
      <c r="K157" s="23"/>
      <c r="L157" s="23"/>
      <c r="M157" s="63"/>
      <c r="N157" s="23"/>
      <c r="O157" s="63"/>
      <c r="P157" s="365">
        <f>J114</f>
        <v>1000</v>
      </c>
      <c r="Q157" s="365"/>
      <c r="S157" s="22" t="s">
        <v>190</v>
      </c>
      <c r="T157" s="23"/>
      <c r="U157" s="23"/>
      <c r="V157" s="63"/>
      <c r="W157" s="23"/>
      <c r="X157" s="63"/>
      <c r="Y157" s="365">
        <f>S114</f>
        <v>1000</v>
      </c>
      <c r="Z157" s="365"/>
      <c r="AB157" s="22" t="s">
        <v>190</v>
      </c>
      <c r="AC157" s="23"/>
      <c r="AD157" s="23"/>
      <c r="AE157" s="63"/>
      <c r="AF157" s="23"/>
      <c r="AG157" s="63"/>
      <c r="AH157" s="365">
        <f>AB114</f>
        <v>1000</v>
      </c>
      <c r="AI157" s="365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19115</v>
      </c>
      <c r="H158" s="366"/>
      <c r="J158" s="129" t="s">
        <v>191</v>
      </c>
      <c r="K158" s="28"/>
      <c r="L158" s="28"/>
      <c r="M158" s="21"/>
      <c r="N158" s="28"/>
      <c r="O158" s="21"/>
      <c r="P158" s="366" t="e">
        <f>Q147-P154-P157</f>
        <v>#VALUE!</v>
      </c>
      <c r="Q158" s="366"/>
      <c r="S158" s="129" t="s">
        <v>191</v>
      </c>
      <c r="T158" s="28"/>
      <c r="U158" s="28"/>
      <c r="V158" s="21"/>
      <c r="W158" s="28"/>
      <c r="X158" s="21"/>
      <c r="Y158" s="366" t="e">
        <f>Z147-Y154-Y157</f>
        <v>#VALUE!</v>
      </c>
      <c r="Z158" s="366"/>
      <c r="AB158" s="129" t="s">
        <v>191</v>
      </c>
      <c r="AC158" s="28"/>
      <c r="AD158" s="28"/>
      <c r="AE158" s="21"/>
      <c r="AF158" s="28"/>
      <c r="AG158" s="21"/>
      <c r="AH158" s="366" t="e">
        <f>AI147-AH154-AH157</f>
        <v>#VALUE!</v>
      </c>
      <c r="AI158" s="366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833.33333333333337</v>
      </c>
      <c r="H159" s="367"/>
      <c r="J159" s="49" t="s">
        <v>66</v>
      </c>
      <c r="K159" s="50"/>
      <c r="L159" s="50"/>
      <c r="M159" s="85"/>
      <c r="N159" s="50"/>
      <c r="O159" s="85"/>
      <c r="P159" s="367">
        <f>K114</f>
        <v>239.99</v>
      </c>
      <c r="Q159" s="367"/>
      <c r="S159" s="49" t="s">
        <v>66</v>
      </c>
      <c r="T159" s="50"/>
      <c r="U159" s="50"/>
      <c r="V159" s="85"/>
      <c r="W159" s="50"/>
      <c r="X159" s="85"/>
      <c r="Y159" s="367">
        <f>T114</f>
        <v>199.99</v>
      </c>
      <c r="Z159" s="367"/>
      <c r="AB159" s="49" t="s">
        <v>66</v>
      </c>
      <c r="AC159" s="50"/>
      <c r="AD159" s="50"/>
      <c r="AE159" s="85"/>
      <c r="AF159" s="50"/>
      <c r="AG159" s="85"/>
      <c r="AH159" s="367">
        <f>AC114</f>
        <v>239.99</v>
      </c>
      <c r="AI159" s="367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/>
      <c r="B161" s="28"/>
      <c r="C161" s="28"/>
      <c r="D161" s="28"/>
      <c r="E161" s="21"/>
      <c r="F161" s="21"/>
      <c r="G161" s="21"/>
      <c r="H161" s="29"/>
      <c r="J161" s="27"/>
      <c r="K161" s="28"/>
      <c r="L161" s="28"/>
      <c r="M161" s="28"/>
      <c r="N161" s="21"/>
      <c r="O161" s="21"/>
      <c r="P161" s="21"/>
      <c r="Q161" s="29"/>
      <c r="S161" s="27"/>
      <c r="T161" s="28"/>
      <c r="U161" s="28"/>
      <c r="V161" s="28"/>
      <c r="W161" s="21"/>
      <c r="X161" s="21"/>
      <c r="Y161" s="21"/>
      <c r="Z161" s="29"/>
      <c r="AB161" s="27"/>
      <c r="AC161" s="28"/>
      <c r="AD161" s="28"/>
      <c r="AE161" s="28"/>
      <c r="AF161" s="21"/>
      <c r="AG161" s="21"/>
      <c r="AH161" s="21"/>
      <c r="AI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35" t="s">
        <v>192</v>
      </c>
      <c r="K162" s="335"/>
      <c r="L162" s="335"/>
      <c r="M162" s="335"/>
      <c r="N162" s="335"/>
      <c r="O162" s="335"/>
      <c r="P162" s="335"/>
      <c r="Q162" s="335"/>
      <c r="S162" s="335" t="s">
        <v>192</v>
      </c>
      <c r="T162" s="335"/>
      <c r="U162" s="335"/>
      <c r="V162" s="335"/>
      <c r="W162" s="335"/>
      <c r="X162" s="335"/>
      <c r="Y162" s="335"/>
      <c r="Z162" s="335"/>
      <c r="AB162" s="335" t="s">
        <v>192</v>
      </c>
      <c r="AC162" s="335"/>
      <c r="AD162" s="335"/>
      <c r="AE162" s="335"/>
      <c r="AF162" s="335"/>
      <c r="AG162" s="335"/>
      <c r="AH162" s="335"/>
      <c r="AI162" s="335"/>
    </row>
    <row r="163" spans="1:35">
      <c r="A163" s="27"/>
      <c r="B163" s="28"/>
      <c r="C163" s="28"/>
      <c r="D163" s="28"/>
      <c r="E163" s="21"/>
      <c r="F163" s="21"/>
      <c r="G163" s="21"/>
      <c r="H163" s="29"/>
      <c r="J163" s="27"/>
      <c r="K163" s="28"/>
      <c r="L163" s="28"/>
      <c r="M163" s="28"/>
      <c r="N163" s="21"/>
      <c r="O163" s="21"/>
      <c r="P163" s="21"/>
      <c r="Q163" s="29"/>
      <c r="S163" s="27"/>
      <c r="T163" s="28"/>
      <c r="U163" s="28"/>
      <c r="V163" s="28"/>
      <c r="W163" s="21"/>
      <c r="X163" s="21"/>
      <c r="Y163" s="21"/>
      <c r="Z163" s="29"/>
      <c r="AB163" s="27"/>
      <c r="AC163" s="28"/>
      <c r="AD163" s="28"/>
      <c r="AE163" s="28"/>
      <c r="AF163" s="21"/>
      <c r="AG163" s="21"/>
      <c r="AH163" s="21"/>
      <c r="AI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J164" s="27" t="s">
        <v>193</v>
      </c>
      <c r="K164" s="368">
        <v>0</v>
      </c>
      <c r="L164" s="368"/>
      <c r="M164" s="28"/>
      <c r="N164" s="21"/>
      <c r="O164" s="21"/>
      <c r="P164" s="21"/>
      <c r="Q164" s="29"/>
      <c r="S164" s="27" t="s">
        <v>193</v>
      </c>
      <c r="T164" s="368">
        <v>0</v>
      </c>
      <c r="U164" s="368"/>
      <c r="V164" s="28"/>
      <c r="W164" s="21"/>
      <c r="X164" s="21"/>
      <c r="Y164" s="21"/>
      <c r="Z164" s="29"/>
      <c r="AB164" s="27" t="s">
        <v>193</v>
      </c>
      <c r="AC164" s="368">
        <v>0</v>
      </c>
      <c r="AD164" s="368"/>
      <c r="AE164" s="28"/>
      <c r="AF164" s="21"/>
      <c r="AG164" s="21"/>
      <c r="AH164" s="21"/>
      <c r="AI164" s="29"/>
    </row>
    <row r="165" spans="1:35">
      <c r="A165" s="27"/>
      <c r="B165" s="28"/>
      <c r="C165" s="28"/>
      <c r="D165" s="28"/>
      <c r="E165" s="21"/>
      <c r="F165" s="21"/>
      <c r="G165" s="21"/>
      <c r="H165" s="29"/>
      <c r="J165" s="27"/>
      <c r="K165" s="28"/>
      <c r="L165" s="28"/>
      <c r="M165" s="28"/>
      <c r="N165" s="21"/>
      <c r="O165" s="21"/>
      <c r="P165" s="21"/>
      <c r="Q165" s="29"/>
      <c r="S165" s="27"/>
      <c r="T165" s="28"/>
      <c r="U165" s="28"/>
      <c r="V165" s="28"/>
      <c r="W165" s="21"/>
      <c r="X165" s="21"/>
      <c r="Y165" s="21"/>
      <c r="Z165" s="29"/>
      <c r="AB165" s="27"/>
      <c r="AC165" s="28"/>
      <c r="AD165" s="28"/>
      <c r="AE165" s="28"/>
      <c r="AF165" s="21"/>
      <c r="AG165" s="21"/>
      <c r="AH165" s="21"/>
      <c r="AI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  <c r="J166" s="130" t="s">
        <v>194</v>
      </c>
      <c r="K166" s="131" t="s">
        <v>195</v>
      </c>
      <c r="L166" s="131"/>
      <c r="M166" s="131"/>
      <c r="N166" s="131" t="s">
        <v>196</v>
      </c>
      <c r="O166" s="21"/>
      <c r="P166" s="21"/>
      <c r="Q166" s="29"/>
      <c r="S166" s="130" t="s">
        <v>194</v>
      </c>
      <c r="T166" s="131" t="s">
        <v>195</v>
      </c>
      <c r="U166" s="131"/>
      <c r="V166" s="131"/>
      <c r="W166" s="131" t="s">
        <v>196</v>
      </c>
      <c r="X166" s="21"/>
      <c r="Y166" s="21"/>
      <c r="Z166" s="29"/>
      <c r="AB166" s="130" t="s">
        <v>194</v>
      </c>
      <c r="AC166" s="131" t="s">
        <v>195</v>
      </c>
      <c r="AD166" s="131"/>
      <c r="AE166" s="131"/>
      <c r="AF166" s="131" t="s">
        <v>196</v>
      </c>
      <c r="AG166" s="21"/>
      <c r="AH166" s="21"/>
      <c r="AI166" s="29"/>
    </row>
    <row r="167" spans="1:35">
      <c r="A167" s="132">
        <f>B95</f>
        <v>1853.1575307828346</v>
      </c>
      <c r="B167" s="133">
        <f>B94</f>
        <v>47.127272727272725</v>
      </c>
      <c r="C167" s="131"/>
      <c r="D167" s="131"/>
      <c r="E167" s="133">
        <f>B96</f>
        <v>1900.2848035101074</v>
      </c>
      <c r="F167" s="21"/>
      <c r="G167" s="21">
        <f>ROUND(G95,2)</f>
        <v>1653.96</v>
      </c>
      <c r="H167" s="29"/>
      <c r="J167" s="132" t="e">
        <f>K95</f>
        <v>#VALUE!</v>
      </c>
      <c r="K167" s="133">
        <f>K94</f>
        <v>56.160000000000004</v>
      </c>
      <c r="L167" s="131"/>
      <c r="M167" s="131"/>
      <c r="N167" s="133" t="e">
        <f>K96</f>
        <v>#VALUE!</v>
      </c>
      <c r="O167" s="21"/>
      <c r="P167" s="21"/>
      <c r="Q167" s="29"/>
      <c r="S167" s="132" t="e">
        <f>T95</f>
        <v>#VALUE!</v>
      </c>
      <c r="T167" s="133">
        <f>T94</f>
        <v>47.127272727272725</v>
      </c>
      <c r="U167" s="131"/>
      <c r="V167" s="131"/>
      <c r="W167" s="133" t="e">
        <f>T96</f>
        <v>#VALUE!</v>
      </c>
      <c r="X167" s="21"/>
      <c r="Y167" s="21"/>
      <c r="Z167" s="29"/>
      <c r="AB167" s="132" t="e">
        <f>AC95</f>
        <v>#VALUE!</v>
      </c>
      <c r="AC167" s="133">
        <f>AC94</f>
        <v>56.552727272727267</v>
      </c>
      <c r="AD167" s="131"/>
      <c r="AE167" s="131"/>
      <c r="AF167" s="133" t="e">
        <f>AC96</f>
        <v>#VALUE!</v>
      </c>
      <c r="AG167" s="21"/>
      <c r="AH167" s="21"/>
      <c r="AI167" s="29"/>
    </row>
    <row r="168" spans="1:35">
      <c r="A168" s="27"/>
      <c r="B168" s="28"/>
      <c r="C168" s="28"/>
      <c r="D168" s="28"/>
      <c r="E168" s="21"/>
      <c r="F168" s="21"/>
      <c r="G168" s="21"/>
      <c r="H168" s="29"/>
      <c r="J168" s="27"/>
      <c r="K168" s="28"/>
      <c r="L168" s="28"/>
      <c r="M168" s="28"/>
      <c r="N168" s="21"/>
      <c r="O168" s="21"/>
      <c r="P168" s="21"/>
      <c r="Q168" s="29"/>
      <c r="S168" s="27"/>
      <c r="T168" s="28"/>
      <c r="U168" s="28"/>
      <c r="V168" s="28"/>
      <c r="W168" s="21"/>
      <c r="X168" s="21"/>
      <c r="Y168" s="21"/>
      <c r="Z168" s="29"/>
      <c r="AB168" s="27"/>
      <c r="AC168" s="28"/>
      <c r="AD168" s="28"/>
      <c r="AE168" s="28"/>
      <c r="AF168" s="21"/>
      <c r="AG168" s="21"/>
      <c r="AH168" s="21"/>
      <c r="AI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  <c r="J169" s="27" t="s">
        <v>94</v>
      </c>
      <c r="K169" s="28" t="s">
        <v>95</v>
      </c>
      <c r="L169" s="28"/>
      <c r="M169" s="21"/>
      <c r="N169" s="28" t="s">
        <v>198</v>
      </c>
      <c r="O169" s="21"/>
      <c r="P169" s="21"/>
      <c r="Q169" s="29"/>
      <c r="S169" s="27" t="s">
        <v>94</v>
      </c>
      <c r="T169" s="28" t="s">
        <v>95</v>
      </c>
      <c r="U169" s="28"/>
      <c r="V169" s="21"/>
      <c r="W169" s="28" t="s">
        <v>198</v>
      </c>
      <c r="X169" s="21"/>
      <c r="Y169" s="21"/>
      <c r="Z169" s="29"/>
      <c r="AB169" s="27" t="s">
        <v>94</v>
      </c>
      <c r="AC169" s="28" t="s">
        <v>95</v>
      </c>
      <c r="AD169" s="28"/>
      <c r="AE169" s="21"/>
      <c r="AF169" s="28" t="s">
        <v>198</v>
      </c>
      <c r="AG169" s="21"/>
      <c r="AH169" s="21"/>
      <c r="AI169" s="29"/>
    </row>
    <row r="170" spans="1:35">
      <c r="A170" s="134">
        <f>K29</f>
        <v>12</v>
      </c>
      <c r="B170" s="135">
        <f>K30</f>
        <v>10000</v>
      </c>
      <c r="C170" s="136"/>
      <c r="D170" s="21"/>
      <c r="E170" s="137">
        <f>IF(A111="YES",A40,0)</f>
        <v>0</v>
      </c>
      <c r="F170" s="21"/>
      <c r="G170" s="21"/>
      <c r="H170" s="29"/>
      <c r="J170" s="134">
        <f>K29</f>
        <v>12</v>
      </c>
      <c r="K170" s="135">
        <f>K30</f>
        <v>10000</v>
      </c>
      <c r="L170" s="136"/>
      <c r="M170" s="21"/>
      <c r="N170" s="137">
        <f>IF(A111="YES",A40,0)</f>
        <v>0</v>
      </c>
      <c r="O170" s="21"/>
      <c r="P170" s="21"/>
      <c r="Q170" s="29"/>
      <c r="S170" s="134">
        <f>K29</f>
        <v>12</v>
      </c>
      <c r="T170" s="135">
        <f>K30</f>
        <v>10000</v>
      </c>
      <c r="U170" s="136"/>
      <c r="V170" s="21"/>
      <c r="W170" s="137">
        <f>IF(A111="YES",A40,0)</f>
        <v>0</v>
      </c>
      <c r="X170" s="21"/>
      <c r="Y170" s="21"/>
      <c r="Z170" s="29"/>
      <c r="AB170" s="134">
        <f>K29</f>
        <v>12</v>
      </c>
      <c r="AC170" s="135">
        <f>K30</f>
        <v>10000</v>
      </c>
      <c r="AD170" s="136"/>
      <c r="AE170" s="21"/>
      <c r="AF170" s="137">
        <f>IF(A111="YES",A40,0)</f>
        <v>0</v>
      </c>
      <c r="AG170" s="21"/>
      <c r="AH170" s="21"/>
      <c r="AI170" s="29"/>
    </row>
    <row r="171" spans="1:35">
      <c r="A171" s="27"/>
      <c r="B171" s="28"/>
      <c r="C171" s="28"/>
      <c r="D171" s="21"/>
      <c r="E171" s="28"/>
      <c r="F171" s="21"/>
      <c r="G171" s="21"/>
      <c r="H171" s="29"/>
      <c r="J171" s="27"/>
      <c r="K171" s="28"/>
      <c r="L171" s="28"/>
      <c r="M171" s="21"/>
      <c r="N171" s="28"/>
      <c r="O171" s="21"/>
      <c r="P171" s="21"/>
      <c r="Q171" s="29"/>
      <c r="S171" s="27"/>
      <c r="T171" s="28"/>
      <c r="U171" s="28"/>
      <c r="V171" s="21"/>
      <c r="W171" s="28"/>
      <c r="X171" s="21"/>
      <c r="Y171" s="21"/>
      <c r="Z171" s="29"/>
      <c r="AB171" s="27"/>
      <c r="AC171" s="28"/>
      <c r="AD171" s="28"/>
      <c r="AE171" s="21"/>
      <c r="AF171" s="28"/>
      <c r="AG171" s="21"/>
      <c r="AH171" s="21"/>
      <c r="AI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  <c r="J172" s="27" t="s">
        <v>199</v>
      </c>
      <c r="K172" s="28" t="s">
        <v>200</v>
      </c>
      <c r="L172" s="28"/>
      <c r="M172" s="21"/>
      <c r="N172" s="28" t="s">
        <v>201</v>
      </c>
      <c r="O172" s="21"/>
      <c r="P172" s="21"/>
      <c r="Q172" s="29"/>
      <c r="S172" s="27" t="s">
        <v>199</v>
      </c>
      <c r="T172" s="28" t="s">
        <v>200</v>
      </c>
      <c r="U172" s="28"/>
      <c r="V172" s="21"/>
      <c r="W172" s="28" t="s">
        <v>201</v>
      </c>
      <c r="X172" s="21"/>
      <c r="Y172" s="21"/>
      <c r="Z172" s="29"/>
      <c r="AB172" s="27" t="s">
        <v>199</v>
      </c>
      <c r="AC172" s="28" t="s">
        <v>200</v>
      </c>
      <c r="AD172" s="28"/>
      <c r="AE172" s="21"/>
      <c r="AF172" s="28" t="s">
        <v>201</v>
      </c>
      <c r="AG172" s="21"/>
      <c r="AH172" s="21"/>
      <c r="AI172" s="29"/>
    </row>
    <row r="173" spans="1:35">
      <c r="A173" s="138">
        <f>H141-H137-H139-H140</f>
        <v>16412.5</v>
      </c>
      <c r="B173" s="34">
        <f>H137</f>
        <v>3282.5</v>
      </c>
      <c r="C173" s="38"/>
      <c r="D173" s="21"/>
      <c r="E173" s="137">
        <f>H139+H140</f>
        <v>0</v>
      </c>
      <c r="F173" s="21"/>
      <c r="G173" s="21"/>
      <c r="H173" s="29"/>
      <c r="J173" s="138" t="e">
        <f>Q141-Q137-Q139-Q140</f>
        <v>#VALUE!</v>
      </c>
      <c r="K173" s="34" t="e">
        <f>Q137</f>
        <v>#VALUE!</v>
      </c>
      <c r="L173" s="38"/>
      <c r="M173" s="21"/>
      <c r="N173" s="137">
        <f>Q139+Q140</f>
        <v>55</v>
      </c>
      <c r="O173" s="21"/>
      <c r="P173" s="21"/>
      <c r="Q173" s="29"/>
      <c r="S173" s="138" t="e">
        <f>Z141-Z137-Z139-Z140</f>
        <v>#VALUE!</v>
      </c>
      <c r="T173" s="34" t="e">
        <f>Z137</f>
        <v>#VALUE!</v>
      </c>
      <c r="U173" s="38"/>
      <c r="V173" s="21"/>
      <c r="W173" s="137">
        <f>Z139+Z140</f>
        <v>55</v>
      </c>
      <c r="X173" s="21"/>
      <c r="Y173" s="21"/>
      <c r="Z173" s="29"/>
      <c r="AB173" s="138" t="e">
        <f>AI141-AI137-AI139-AI140</f>
        <v>#VALUE!</v>
      </c>
      <c r="AC173" s="34" t="e">
        <f>AI137</f>
        <v>#VALUE!</v>
      </c>
      <c r="AD173" s="38"/>
      <c r="AE173" s="21"/>
      <c r="AF173" s="137">
        <f>AI139+AI140</f>
        <v>55</v>
      </c>
      <c r="AG173" s="21"/>
      <c r="AH173" s="21"/>
      <c r="AI173" s="29"/>
    </row>
    <row r="174" spans="1:35">
      <c r="A174" s="27"/>
      <c r="B174" s="28"/>
      <c r="C174" s="28"/>
      <c r="D174" s="21"/>
      <c r="E174" s="28"/>
      <c r="F174" s="21"/>
      <c r="G174" s="21"/>
      <c r="H174" s="29"/>
      <c r="J174" s="27"/>
      <c r="K174" s="28"/>
      <c r="L174" s="28"/>
      <c r="M174" s="21"/>
      <c r="N174" s="28"/>
      <c r="O174" s="21"/>
      <c r="P174" s="21"/>
      <c r="Q174" s="29"/>
      <c r="S174" s="27"/>
      <c r="T174" s="28"/>
      <c r="U174" s="28"/>
      <c r="V174" s="21"/>
      <c r="W174" s="28"/>
      <c r="X174" s="21"/>
      <c r="Y174" s="21"/>
      <c r="Z174" s="29"/>
      <c r="AB174" s="27"/>
      <c r="AC174" s="28"/>
      <c r="AD174" s="28"/>
      <c r="AE174" s="21"/>
      <c r="AF174" s="28"/>
      <c r="AG174" s="21"/>
      <c r="AH174" s="21"/>
      <c r="AI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  <c r="J175" s="27" t="s">
        <v>202</v>
      </c>
      <c r="K175" s="28" t="s">
        <v>148</v>
      </c>
      <c r="L175" s="28"/>
      <c r="M175" s="21"/>
      <c r="N175" s="28" t="s">
        <v>149</v>
      </c>
      <c r="O175" s="21"/>
      <c r="P175" s="21"/>
      <c r="Q175" s="29"/>
      <c r="S175" s="27" t="s">
        <v>202</v>
      </c>
      <c r="T175" s="28" t="s">
        <v>148</v>
      </c>
      <c r="U175" s="28"/>
      <c r="V175" s="21"/>
      <c r="W175" s="28" t="s">
        <v>149</v>
      </c>
      <c r="X175" s="21"/>
      <c r="Y175" s="21"/>
      <c r="Z175" s="29"/>
      <c r="AB175" s="27" t="s">
        <v>202</v>
      </c>
      <c r="AC175" s="28" t="s">
        <v>148</v>
      </c>
      <c r="AD175" s="28"/>
      <c r="AE175" s="21"/>
      <c r="AF175" s="28" t="s">
        <v>149</v>
      </c>
      <c r="AG175" s="21"/>
      <c r="AH175" s="21"/>
      <c r="AI175" s="29"/>
    </row>
    <row r="176" spans="1:35">
      <c r="A176" s="138">
        <f>H141</f>
        <v>19695</v>
      </c>
      <c r="B176" s="34">
        <f>B111</f>
        <v>1000</v>
      </c>
      <c r="C176" s="34"/>
      <c r="D176" s="21"/>
      <c r="E176" s="34">
        <f>E111</f>
        <v>1000</v>
      </c>
      <c r="F176" s="21"/>
      <c r="G176" s="21"/>
      <c r="H176" s="90"/>
      <c r="J176" s="138" t="e">
        <f>Q141</f>
        <v>#VALUE!</v>
      </c>
      <c r="K176" s="34">
        <f>K111</f>
        <v>1000</v>
      </c>
      <c r="L176" s="34"/>
      <c r="M176" s="21"/>
      <c r="N176" s="34">
        <f>N111</f>
        <v>0</v>
      </c>
      <c r="O176" s="21"/>
      <c r="P176" s="21"/>
      <c r="Q176" s="90"/>
      <c r="S176" s="138" t="e">
        <f>Z141</f>
        <v>#VALUE!</v>
      </c>
      <c r="T176" s="34">
        <f>T111</f>
        <v>1000</v>
      </c>
      <c r="U176" s="34"/>
      <c r="V176" s="21"/>
      <c r="W176" s="34">
        <f>W111</f>
        <v>0</v>
      </c>
      <c r="X176" s="21"/>
      <c r="Y176" s="21"/>
      <c r="Z176" s="90"/>
      <c r="AB176" s="138" t="e">
        <f>AI141</f>
        <v>#VALUE!</v>
      </c>
      <c r="AC176" s="34">
        <f>AC111</f>
        <v>1000</v>
      </c>
      <c r="AD176" s="34"/>
      <c r="AE176" s="21"/>
      <c r="AF176" s="34">
        <f>AF111</f>
        <v>0</v>
      </c>
      <c r="AG176" s="21"/>
      <c r="AH176" s="21"/>
      <c r="AI176" s="90"/>
    </row>
    <row r="177" spans="1:35">
      <c r="A177" s="27"/>
      <c r="B177" s="28"/>
      <c r="C177" s="28"/>
      <c r="D177" s="21"/>
      <c r="E177" s="28"/>
      <c r="F177" s="21"/>
      <c r="G177" s="21"/>
      <c r="H177" s="29"/>
      <c r="J177" s="27"/>
      <c r="K177" s="28"/>
      <c r="L177" s="28"/>
      <c r="M177" s="21"/>
      <c r="N177" s="28"/>
      <c r="O177" s="21"/>
      <c r="P177" s="21"/>
      <c r="Q177" s="29"/>
      <c r="S177" s="27"/>
      <c r="T177" s="28"/>
      <c r="U177" s="28"/>
      <c r="V177" s="21"/>
      <c r="W177" s="28"/>
      <c r="X177" s="21"/>
      <c r="Y177" s="21"/>
      <c r="Z177" s="29"/>
      <c r="AB177" s="27"/>
      <c r="AC177" s="28"/>
      <c r="AD177" s="28"/>
      <c r="AE177" s="21"/>
      <c r="AF177" s="28"/>
      <c r="AG177" s="21"/>
      <c r="AH177" s="21"/>
      <c r="AI177" s="29"/>
    </row>
    <row r="178" spans="1:35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  <c r="J178" s="27" t="s">
        <v>150</v>
      </c>
      <c r="K178" s="28" t="s">
        <v>185</v>
      </c>
      <c r="L178" s="28"/>
      <c r="M178" s="21"/>
      <c r="N178" s="28" t="s">
        <v>191</v>
      </c>
      <c r="O178" s="21"/>
      <c r="P178" s="21"/>
      <c r="Q178" s="29"/>
      <c r="S178" s="27" t="s">
        <v>150</v>
      </c>
      <c r="T178" s="28" t="s">
        <v>185</v>
      </c>
      <c r="U178" s="28"/>
      <c r="V178" s="21"/>
      <c r="W178" s="28" t="s">
        <v>191</v>
      </c>
      <c r="X178" s="21"/>
      <c r="Y178" s="21"/>
      <c r="Z178" s="29"/>
      <c r="AB178" s="27" t="s">
        <v>150</v>
      </c>
      <c r="AC178" s="28" t="s">
        <v>185</v>
      </c>
      <c r="AD178" s="28"/>
      <c r="AE178" s="21"/>
      <c r="AF178" s="28" t="s">
        <v>191</v>
      </c>
      <c r="AG178" s="21"/>
      <c r="AH178" s="21"/>
      <c r="AI178" s="29"/>
    </row>
    <row r="179" spans="1:35">
      <c r="A179" s="94">
        <f>B176+E176</f>
        <v>2000</v>
      </c>
      <c r="B179" s="34">
        <f>G154</f>
        <v>0</v>
      </c>
      <c r="C179" s="34"/>
      <c r="D179" s="21"/>
      <c r="E179" s="34">
        <f>G158</f>
        <v>19115</v>
      </c>
      <c r="F179" s="21"/>
      <c r="G179" s="21"/>
      <c r="H179" s="90"/>
      <c r="J179" s="94">
        <f>K176+N176</f>
        <v>1000</v>
      </c>
      <c r="K179" s="34">
        <f>P154</f>
        <v>-2000</v>
      </c>
      <c r="L179" s="34"/>
      <c r="M179" s="21"/>
      <c r="N179" s="34" t="e">
        <f>J176-J179-K179</f>
        <v>#VALUE!</v>
      </c>
      <c r="O179" s="21"/>
      <c r="P179" s="21"/>
      <c r="Q179" s="90"/>
      <c r="S179" s="94">
        <f>T176+W176</f>
        <v>1000</v>
      </c>
      <c r="T179" s="34">
        <f>Y154</f>
        <v>-2000</v>
      </c>
      <c r="U179" s="34"/>
      <c r="V179" s="21"/>
      <c r="W179" s="34" t="e">
        <f>S176-S179-T179</f>
        <v>#VALUE!</v>
      </c>
      <c r="X179" s="21"/>
      <c r="Y179" s="21"/>
      <c r="Z179" s="90"/>
      <c r="AB179" s="94">
        <f>AC176+AF176</f>
        <v>1000</v>
      </c>
      <c r="AC179" s="34">
        <f>AH154</f>
        <v>-2000</v>
      </c>
      <c r="AD179" s="34"/>
      <c r="AE179" s="21"/>
      <c r="AF179" s="34" t="e">
        <f>AB176-AB179-AC179</f>
        <v>#VALUE!</v>
      </c>
      <c r="AG179" s="21"/>
      <c r="AH179" s="21"/>
      <c r="AI179" s="90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  <c r="J181" s="27" t="s">
        <v>203</v>
      </c>
      <c r="K181" s="28" t="s">
        <v>66</v>
      </c>
      <c r="L181" s="28"/>
      <c r="M181" s="21"/>
      <c r="N181" s="28" t="s">
        <v>204</v>
      </c>
      <c r="O181" s="21"/>
      <c r="P181" s="21"/>
      <c r="Q181" s="29"/>
      <c r="S181" s="27" t="s">
        <v>203</v>
      </c>
      <c r="T181" s="28" t="s">
        <v>66</v>
      </c>
      <c r="U181" s="28"/>
      <c r="V181" s="21"/>
      <c r="W181" s="28" t="s">
        <v>204</v>
      </c>
      <c r="X181" s="21"/>
      <c r="Y181" s="21"/>
      <c r="Z181" s="29"/>
      <c r="AB181" s="27" t="s">
        <v>203</v>
      </c>
      <c r="AC181" s="28" t="s">
        <v>66</v>
      </c>
      <c r="AD181" s="28"/>
      <c r="AE181" s="21"/>
      <c r="AF181" s="28" t="s">
        <v>204</v>
      </c>
      <c r="AG181" s="21"/>
      <c r="AH181" s="21"/>
      <c r="AI181" s="29"/>
    </row>
    <row r="182" spans="1:35">
      <c r="A182" s="94">
        <f>(A167*B59)+E185-E179-A185</f>
        <v>3170.0176421212891</v>
      </c>
      <c r="B182" s="34">
        <f>B114</f>
        <v>833.33333333333337</v>
      </c>
      <c r="C182" s="34"/>
      <c r="D182" s="21"/>
      <c r="E182" s="34">
        <f>E179+A182+(B182*1.2)+A185</f>
        <v>23295.017642121289</v>
      </c>
      <c r="F182" s="21"/>
      <c r="G182" s="21"/>
      <c r="H182" s="90"/>
      <c r="J182" s="94" t="e">
        <f>(J167*K59)+N185-N179-J185</f>
        <v>#VALUE!</v>
      </c>
      <c r="K182" s="34">
        <f>K114</f>
        <v>239.99</v>
      </c>
      <c r="L182" s="34"/>
      <c r="M182" s="21"/>
      <c r="N182" s="34" t="e">
        <f>N179+J182+K182+J185</f>
        <v>#VALUE!</v>
      </c>
      <c r="O182" s="21"/>
      <c r="P182" s="21"/>
      <c r="Q182" s="90"/>
      <c r="S182" s="94" t="e">
        <f>(S167*T59)+W185-W179-S185</f>
        <v>#VALUE!</v>
      </c>
      <c r="T182" s="34">
        <f>T114</f>
        <v>199.99</v>
      </c>
      <c r="U182" s="34"/>
      <c r="V182" s="21"/>
      <c r="W182" s="34" t="e">
        <f>W179+S182+T182+S185</f>
        <v>#VALUE!</v>
      </c>
      <c r="X182" s="21"/>
      <c r="Y182" s="21"/>
      <c r="Z182" s="90"/>
      <c r="AB182" s="94" t="e">
        <f>(AB167*AC59)+AF185-AF179-AB185</f>
        <v>#VALUE!</v>
      </c>
      <c r="AC182" s="34">
        <f>AC114</f>
        <v>239.99</v>
      </c>
      <c r="AD182" s="34"/>
      <c r="AE182" s="21"/>
      <c r="AF182" s="34" t="e">
        <f>AF179+AB182+AC182+AB185</f>
        <v>#VALUE!</v>
      </c>
      <c r="AG182" s="21"/>
      <c r="AH182" s="21"/>
      <c r="AI182" s="90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  <c r="J184" s="27" t="s">
        <v>205</v>
      </c>
      <c r="K184" s="28" t="s">
        <v>206</v>
      </c>
      <c r="L184" s="28"/>
      <c r="M184" s="21"/>
      <c r="N184" s="28" t="s">
        <v>207</v>
      </c>
      <c r="O184" s="21"/>
      <c r="P184" s="21"/>
      <c r="Q184" s="29"/>
      <c r="S184" s="27" t="s">
        <v>205</v>
      </c>
      <c r="T184" s="28" t="s">
        <v>206</v>
      </c>
      <c r="U184" s="28"/>
      <c r="V184" s="21"/>
      <c r="W184" s="28" t="s">
        <v>207</v>
      </c>
      <c r="X184" s="21"/>
      <c r="Y184" s="21"/>
      <c r="Z184" s="29"/>
      <c r="AB184" s="27" t="s">
        <v>205</v>
      </c>
      <c r="AC184" s="28" t="s">
        <v>206</v>
      </c>
      <c r="AD184" s="28"/>
      <c r="AE184" s="21"/>
      <c r="AF184" s="28" t="s">
        <v>207</v>
      </c>
      <c r="AG184" s="21"/>
      <c r="AH184" s="21"/>
      <c r="AI184" s="29"/>
    </row>
    <row r="185" spans="1:35">
      <c r="A185" s="94">
        <f>B60</f>
        <v>10</v>
      </c>
      <c r="B185" s="34">
        <f>A179+B182*1.2</f>
        <v>3000</v>
      </c>
      <c r="C185" s="34"/>
      <c r="D185" s="21"/>
      <c r="E185" s="34">
        <f>IF( E170=0, A185+E167, E170+A185)</f>
        <v>1910.2848035101074</v>
      </c>
      <c r="F185" s="21"/>
      <c r="G185" s="21"/>
      <c r="H185" s="90"/>
      <c r="J185" s="94">
        <f>K60</f>
        <v>20</v>
      </c>
      <c r="K185" s="34">
        <f>J179+K182</f>
        <v>1239.99</v>
      </c>
      <c r="L185" s="34"/>
      <c r="M185" s="21"/>
      <c r="N185" s="34">
        <f>N170+J185</f>
        <v>20</v>
      </c>
      <c r="O185" s="21"/>
      <c r="P185" s="21"/>
      <c r="Q185" s="90"/>
      <c r="S185" s="94">
        <f>T60</f>
        <v>10</v>
      </c>
      <c r="T185" s="34">
        <f>S179+T182</f>
        <v>1199.99</v>
      </c>
      <c r="U185" s="34"/>
      <c r="V185" s="21"/>
      <c r="W185" s="34">
        <f>W170+S185</f>
        <v>10</v>
      </c>
      <c r="X185" s="21"/>
      <c r="Y185" s="21"/>
      <c r="Z185" s="90"/>
      <c r="AB185" s="94">
        <f>AC60</f>
        <v>10</v>
      </c>
      <c r="AC185" s="34">
        <f>AB179+AC182</f>
        <v>1239.99</v>
      </c>
      <c r="AD185" s="34"/>
      <c r="AE185" s="21"/>
      <c r="AF185" s="34">
        <f>AF170+AB185</f>
        <v>10</v>
      </c>
      <c r="AG185" s="21"/>
      <c r="AH185" s="21"/>
      <c r="AI185" s="90"/>
    </row>
    <row r="186" spans="1:35">
      <c r="A186" s="27"/>
      <c r="B186" s="28"/>
      <c r="C186" s="28"/>
      <c r="D186" s="28"/>
      <c r="E186" s="21"/>
      <c r="F186" s="21"/>
      <c r="G186" s="21"/>
      <c r="H186" s="29"/>
      <c r="J186" s="27"/>
      <c r="K186" s="28"/>
      <c r="L186" s="28"/>
      <c r="M186" s="28"/>
      <c r="N186" s="21"/>
      <c r="O186" s="21"/>
      <c r="P186" s="21"/>
      <c r="Q186" s="29"/>
      <c r="S186" s="27"/>
      <c r="T186" s="28"/>
      <c r="U186" s="28"/>
      <c r="V186" s="28"/>
      <c r="W186" s="21"/>
      <c r="X186" s="28"/>
      <c r="Y186" s="28"/>
      <c r="Z186" s="29"/>
      <c r="AB186" s="27"/>
      <c r="AC186" s="28"/>
      <c r="AD186" s="28"/>
      <c r="AE186" s="28"/>
      <c r="AF186" s="21"/>
      <c r="AG186" s="21"/>
      <c r="AH186" s="21"/>
      <c r="AI186" s="29"/>
    </row>
    <row r="187" spans="1:35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  <c r="J187" s="27" t="s">
        <v>208</v>
      </c>
      <c r="K187" s="28" t="s">
        <v>209</v>
      </c>
      <c r="L187" s="28"/>
      <c r="M187" s="28"/>
      <c r="N187" s="35" t="s">
        <v>210</v>
      </c>
      <c r="O187" s="21"/>
      <c r="P187" s="21"/>
      <c r="Q187" s="29"/>
      <c r="S187" s="27" t="s">
        <v>208</v>
      </c>
      <c r="T187" s="28" t="s">
        <v>209</v>
      </c>
      <c r="U187" s="28"/>
      <c r="V187" s="28"/>
      <c r="W187" s="35" t="s">
        <v>210</v>
      </c>
      <c r="X187" s="28"/>
      <c r="Y187" s="28"/>
      <c r="Z187" s="29"/>
      <c r="AB187" s="27" t="s">
        <v>208</v>
      </c>
      <c r="AC187" s="28" t="s">
        <v>209</v>
      </c>
      <c r="AD187" s="28"/>
      <c r="AE187" s="28"/>
      <c r="AF187" s="35" t="s">
        <v>210</v>
      </c>
      <c r="AG187" s="28"/>
      <c r="AH187" s="28"/>
      <c r="AI187" s="29"/>
    </row>
    <row r="188" spans="1:35">
      <c r="A188" s="94">
        <f>IF(E105="YES",J18*0.000002,0)*100</f>
        <v>8.1052</v>
      </c>
      <c r="B188" s="34">
        <f>(G158*B67)</f>
        <v>955.75</v>
      </c>
      <c r="C188" s="28"/>
      <c r="D188" s="28"/>
      <c r="E188" s="34">
        <f>(E40*A108)*0.1*(C45/100)</f>
        <v>8.64</v>
      </c>
      <c r="F188" s="21"/>
      <c r="G188" s="21"/>
      <c r="H188" s="29"/>
      <c r="J188" s="94">
        <f>IF(N105="YES",H15*0.000002,0)</f>
        <v>0</v>
      </c>
      <c r="K188" s="34" t="e">
        <f>(P158*K67)/1.2</f>
        <v>#VALUE!</v>
      </c>
      <c r="L188" s="28"/>
      <c r="M188" s="28"/>
      <c r="N188" s="34">
        <f>(E40*J108)*0.1</f>
        <v>12.96</v>
      </c>
      <c r="O188" s="21"/>
      <c r="P188" s="21"/>
      <c r="Q188" s="29"/>
      <c r="S188" s="94">
        <f>IF(W105="YES",Z15*0.000002,0)</f>
        <v>0</v>
      </c>
      <c r="T188" s="34" t="e">
        <f>(Y158*T67)/1.2</f>
        <v>#VALUE!</v>
      </c>
      <c r="U188" s="28"/>
      <c r="V188" s="28"/>
      <c r="W188" s="34">
        <f>(E40*S108)*0.1</f>
        <v>8.64</v>
      </c>
      <c r="X188" s="28"/>
      <c r="Y188" s="28"/>
      <c r="Z188" s="29"/>
      <c r="AB188" s="94">
        <f>IF(AF105="YES",AI15*0.000002,0)</f>
        <v>0</v>
      </c>
      <c r="AC188" s="34" t="e">
        <f>(AH158*AC67)/1.2</f>
        <v>#VALUE!</v>
      </c>
      <c r="AD188" s="28"/>
      <c r="AE188" s="28"/>
      <c r="AF188" s="34">
        <f>(E40*AB108)*0.1</f>
        <v>8.64</v>
      </c>
      <c r="AG188" s="28"/>
      <c r="AH188" s="28"/>
      <c r="AI188" s="29"/>
    </row>
    <row r="189" spans="1:35">
      <c r="A189" s="94"/>
      <c r="B189" s="34"/>
      <c r="C189" s="28"/>
      <c r="D189" s="28"/>
      <c r="E189" s="21"/>
      <c r="F189" s="21"/>
      <c r="G189" s="21"/>
      <c r="H189" s="29"/>
      <c r="J189" s="94"/>
      <c r="K189" s="34"/>
      <c r="L189" s="28"/>
      <c r="M189" s="28"/>
      <c r="N189" s="21"/>
      <c r="O189" s="21"/>
      <c r="P189" s="21"/>
      <c r="Q189" s="29"/>
      <c r="S189" s="94"/>
      <c r="T189" s="34"/>
      <c r="U189" s="28"/>
      <c r="V189" s="28"/>
      <c r="W189" s="21"/>
      <c r="X189" s="28"/>
      <c r="Y189" s="28"/>
      <c r="Z189" s="29"/>
      <c r="AB189" s="94"/>
      <c r="AC189" s="34"/>
      <c r="AD189" s="28"/>
      <c r="AE189" s="28"/>
      <c r="AF189" s="21"/>
      <c r="AG189" s="28"/>
      <c r="AH189" s="28"/>
      <c r="AI189" s="29"/>
    </row>
    <row r="190" spans="1:35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  <c r="J190" s="53" t="s">
        <v>211</v>
      </c>
      <c r="K190" s="35" t="s">
        <v>212</v>
      </c>
      <c r="L190" s="28"/>
      <c r="M190" s="28"/>
      <c r="N190" s="35" t="s">
        <v>213</v>
      </c>
      <c r="O190" s="21"/>
      <c r="P190" s="21"/>
      <c r="Q190" s="29"/>
      <c r="S190" s="53" t="s">
        <v>211</v>
      </c>
      <c r="T190" s="35" t="s">
        <v>212</v>
      </c>
      <c r="U190" s="28"/>
      <c r="V190" s="28"/>
      <c r="W190" s="35" t="s">
        <v>213</v>
      </c>
      <c r="X190" s="28"/>
      <c r="Y190" s="28"/>
      <c r="Z190" s="29"/>
      <c r="AB190" s="53" t="s">
        <v>211</v>
      </c>
      <c r="AC190" s="35" t="s">
        <v>212</v>
      </c>
      <c r="AD190" s="28"/>
      <c r="AE190" s="28"/>
      <c r="AF190" s="35" t="s">
        <v>213</v>
      </c>
      <c r="AG190" s="28"/>
      <c r="AH190" s="28"/>
      <c r="AI190" s="29"/>
    </row>
    <row r="191" spans="1:35">
      <c r="A191" s="94">
        <v>10</v>
      </c>
      <c r="B191" s="34">
        <f>B188+E188+A191</f>
        <v>974.39</v>
      </c>
      <c r="C191" s="28"/>
      <c r="D191" s="28"/>
      <c r="E191" s="34">
        <f>H148</f>
        <v>2079.170000000001</v>
      </c>
      <c r="F191" s="21"/>
      <c r="G191" s="21"/>
      <c r="H191" s="29"/>
      <c r="J191" s="94">
        <f>K185-100</f>
        <v>1139.99</v>
      </c>
      <c r="K191" s="34" t="e">
        <f>K188+N188+J191</f>
        <v>#VALUE!</v>
      </c>
      <c r="L191" s="28"/>
      <c r="M191" s="28"/>
      <c r="N191" s="34" t="e">
        <f>Q148</f>
        <v>#VALUE!</v>
      </c>
      <c r="O191" s="21"/>
      <c r="P191" s="21"/>
      <c r="Q191" s="29"/>
      <c r="S191" s="94">
        <f>T185-100</f>
        <v>1099.99</v>
      </c>
      <c r="T191" s="34" t="e">
        <f>T188+W188+S191</f>
        <v>#VALUE!</v>
      </c>
      <c r="U191" s="28"/>
      <c r="V191" s="28"/>
      <c r="W191" s="34" t="e">
        <f>Z148</f>
        <v>#VALUE!</v>
      </c>
      <c r="X191" s="28"/>
      <c r="Y191" s="28"/>
      <c r="Z191" s="29"/>
      <c r="AB191" s="94">
        <f>AC185-100</f>
        <v>1139.99</v>
      </c>
      <c r="AC191" s="34" t="e">
        <f>AC188+AF188+AB191</f>
        <v>#VALUE!</v>
      </c>
      <c r="AD191" s="28"/>
      <c r="AE191" s="28"/>
      <c r="AF191" s="34" t="e">
        <f>AI148</f>
        <v>#VALUE!</v>
      </c>
      <c r="AG191" s="28"/>
      <c r="AH191" s="28"/>
      <c r="AI191" s="29"/>
    </row>
    <row r="192" spans="1:35">
      <c r="A192" s="27"/>
      <c r="B192" s="28"/>
      <c r="C192" s="28"/>
      <c r="D192" s="28"/>
      <c r="E192" s="21"/>
      <c r="F192" s="21"/>
      <c r="G192" s="21"/>
      <c r="H192" s="29"/>
      <c r="J192" s="27"/>
      <c r="K192" s="28"/>
      <c r="L192" s="28"/>
      <c r="M192" s="28"/>
      <c r="N192" s="21"/>
      <c r="O192" s="21"/>
      <c r="P192" s="21"/>
      <c r="Q192" s="29"/>
      <c r="S192" s="27"/>
      <c r="T192" s="28"/>
      <c r="U192" s="28"/>
      <c r="V192" s="28"/>
      <c r="W192" s="21"/>
      <c r="X192" s="21"/>
      <c r="Y192" s="21"/>
      <c r="Z192" s="29"/>
      <c r="AB192" s="27"/>
      <c r="AC192" s="28"/>
      <c r="AD192" s="28"/>
      <c r="AE192" s="28"/>
      <c r="AF192" s="21"/>
      <c r="AG192" s="21"/>
      <c r="AH192" s="21"/>
      <c r="AI192" s="29"/>
    </row>
    <row r="193" spans="1:35">
      <c r="A193" s="58" t="s">
        <v>214</v>
      </c>
      <c r="B193" s="28"/>
      <c r="C193" s="28"/>
      <c r="D193" s="59"/>
      <c r="E193" s="59"/>
      <c r="F193" s="59"/>
      <c r="G193" s="59"/>
      <c r="H193" s="60"/>
      <c r="J193" s="58" t="s">
        <v>214</v>
      </c>
      <c r="K193" s="28"/>
      <c r="L193" s="28"/>
      <c r="M193" s="59"/>
      <c r="N193" s="59"/>
      <c r="O193" s="59"/>
      <c r="P193" s="59"/>
      <c r="Q193" s="60"/>
      <c r="S193" s="58" t="s">
        <v>214</v>
      </c>
      <c r="T193" s="28"/>
      <c r="U193" s="28"/>
      <c r="V193" s="59"/>
      <c r="W193" s="59"/>
      <c r="X193" s="59"/>
      <c r="Y193" s="59"/>
      <c r="Z193" s="60"/>
      <c r="AB193" s="58" t="s">
        <v>214</v>
      </c>
      <c r="AC193" s="28"/>
      <c r="AD193" s="28"/>
      <c r="AE193" s="59"/>
      <c r="AF193" s="59"/>
      <c r="AG193" s="59"/>
      <c r="AH193" s="59"/>
      <c r="AI193" s="60"/>
    </row>
    <row r="194" spans="1:35">
      <c r="A194" s="27"/>
      <c r="B194" s="61"/>
      <c r="C194" s="61"/>
      <c r="D194" s="28"/>
      <c r="E194" s="21"/>
      <c r="F194" s="21"/>
      <c r="G194" s="21"/>
      <c r="H194" s="29"/>
      <c r="J194" s="27"/>
      <c r="K194" s="61"/>
      <c r="L194" s="61"/>
      <c r="M194" s="28"/>
      <c r="N194" s="21"/>
      <c r="O194" s="21"/>
      <c r="P194" s="21"/>
      <c r="Q194" s="29"/>
      <c r="S194" s="27"/>
      <c r="T194" s="61"/>
      <c r="U194" s="61"/>
      <c r="V194" s="28"/>
      <c r="W194" s="21"/>
      <c r="X194" s="21"/>
      <c r="Y194" s="21"/>
      <c r="Z194" s="29"/>
      <c r="AB194" s="27"/>
      <c r="AC194" s="61"/>
      <c r="AD194" s="61"/>
      <c r="AE194" s="28"/>
      <c r="AF194" s="21"/>
      <c r="AG194" s="21"/>
      <c r="AH194" s="21"/>
      <c r="AI194" s="29"/>
    </row>
    <row r="195" spans="1:35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69" t="s">
        <v>94</v>
      </c>
      <c r="K195" s="341" t="s">
        <v>95</v>
      </c>
      <c r="L195" s="341"/>
      <c r="M195" s="341"/>
      <c r="N195" s="21"/>
      <c r="O195" s="21"/>
      <c r="P195" s="21"/>
      <c r="Q195" s="29"/>
      <c r="S195" s="369" t="s">
        <v>94</v>
      </c>
      <c r="T195" s="341" t="s">
        <v>95</v>
      </c>
      <c r="U195" s="341"/>
      <c r="V195" s="341"/>
      <c r="W195" s="21"/>
      <c r="X195" s="21"/>
      <c r="Y195" s="21"/>
      <c r="Z195" s="29"/>
      <c r="AB195" s="369" t="s">
        <v>94</v>
      </c>
      <c r="AC195" s="341" t="s">
        <v>95</v>
      </c>
      <c r="AD195" s="341"/>
      <c r="AE195" s="341"/>
      <c r="AF195" s="21"/>
      <c r="AG195" s="21"/>
      <c r="AH195" s="21"/>
      <c r="AI195" s="29"/>
    </row>
    <row r="196" spans="1:35" ht="19.5" customHeight="1">
      <c r="A196" s="369"/>
      <c r="B196" s="342">
        <f>K30</f>
        <v>10000</v>
      </c>
      <c r="C196" s="342"/>
      <c r="D196" s="342"/>
      <c r="E196" s="21"/>
      <c r="F196" s="21"/>
      <c r="G196" s="21"/>
      <c r="H196" s="29"/>
      <c r="J196" s="369"/>
      <c r="K196" s="342">
        <f>K30</f>
        <v>10000</v>
      </c>
      <c r="L196" s="342"/>
      <c r="M196" s="342"/>
      <c r="N196" s="21"/>
      <c r="O196" s="21"/>
      <c r="P196" s="21"/>
      <c r="Q196" s="29"/>
      <c r="S196" s="369"/>
      <c r="T196" s="342">
        <f>K30</f>
        <v>10000</v>
      </c>
      <c r="U196" s="342"/>
      <c r="V196" s="342"/>
      <c r="W196" s="21"/>
      <c r="X196" s="21"/>
      <c r="Y196" s="21"/>
      <c r="Z196" s="29"/>
      <c r="AB196" s="369"/>
      <c r="AC196" s="342">
        <f>K30</f>
        <v>10000</v>
      </c>
      <c r="AD196" s="342"/>
      <c r="AE196" s="342"/>
      <c r="AF196" s="21"/>
      <c r="AG196" s="21"/>
      <c r="AH196" s="21"/>
      <c r="AI196" s="29"/>
    </row>
    <row r="197" spans="1:35">
      <c r="A197" s="62">
        <f>K29</f>
        <v>12</v>
      </c>
      <c r="B197" s="343">
        <f>B96</f>
        <v>1900.2848035101074</v>
      </c>
      <c r="C197" s="343"/>
      <c r="D197" s="343"/>
      <c r="E197" s="21"/>
      <c r="F197" s="21"/>
      <c r="G197" s="21"/>
      <c r="H197" s="29"/>
      <c r="J197" s="62">
        <f>K29</f>
        <v>12</v>
      </c>
      <c r="K197" s="343" t="e">
        <f>K96</f>
        <v>#VALUE!</v>
      </c>
      <c r="L197" s="343"/>
      <c r="M197" s="343"/>
      <c r="N197" s="21"/>
      <c r="O197" s="21"/>
      <c r="P197" s="21"/>
      <c r="Q197" s="29"/>
      <c r="S197" s="62">
        <f>K29</f>
        <v>12</v>
      </c>
      <c r="T197" s="343" t="e">
        <f>T96</f>
        <v>#VALUE!</v>
      </c>
      <c r="U197" s="343"/>
      <c r="V197" s="343"/>
      <c r="W197" s="21"/>
      <c r="X197" s="21"/>
      <c r="Y197" s="21"/>
      <c r="Z197" s="29"/>
      <c r="AB197" s="62">
        <f>K29</f>
        <v>12</v>
      </c>
      <c r="AC197" s="343" t="e">
        <f>AC96</f>
        <v>#VALUE!</v>
      </c>
      <c r="AD197" s="343"/>
      <c r="AE197" s="343"/>
      <c r="AF197" s="21"/>
      <c r="AG197" s="21"/>
      <c r="AH197" s="21"/>
      <c r="AI197" s="29"/>
    </row>
    <row r="198" spans="1:35">
      <c r="A198" s="27"/>
      <c r="B198" s="28"/>
      <c r="C198" s="28"/>
      <c r="D198" s="28"/>
      <c r="E198" s="21"/>
      <c r="F198" s="21"/>
      <c r="G198" s="21"/>
      <c r="H198" s="29"/>
      <c r="J198" s="27"/>
      <c r="K198" s="28"/>
      <c r="L198" s="28"/>
      <c r="M198" s="28"/>
      <c r="N198" s="21"/>
      <c r="O198" s="21"/>
      <c r="P198" s="21"/>
      <c r="Q198" s="29"/>
      <c r="S198" s="27"/>
      <c r="T198" s="28"/>
      <c r="U198" s="28"/>
      <c r="V198" s="28"/>
      <c r="W198" s="21"/>
      <c r="X198" s="21"/>
      <c r="Y198" s="21"/>
      <c r="Z198" s="29"/>
      <c r="AB198" s="27"/>
      <c r="AC198" s="28"/>
      <c r="AD198" s="28"/>
      <c r="AE198" s="28"/>
      <c r="AF198" s="21"/>
      <c r="AG198" s="21"/>
      <c r="AH198" s="21"/>
      <c r="AI198" s="29"/>
    </row>
    <row r="199" spans="1:35">
      <c r="A199" s="27"/>
      <c r="B199" s="28"/>
      <c r="C199" s="28"/>
      <c r="D199" s="28"/>
      <c r="E199" s="21"/>
      <c r="F199" s="21"/>
      <c r="G199" s="21"/>
      <c r="H199" s="29"/>
      <c r="J199" s="27"/>
      <c r="K199" s="28"/>
      <c r="L199" s="28"/>
      <c r="M199" s="28"/>
      <c r="N199" s="21"/>
      <c r="O199" s="21"/>
      <c r="P199" s="21"/>
      <c r="Q199" s="29"/>
      <c r="S199" s="27"/>
      <c r="T199" s="28"/>
      <c r="U199" s="28"/>
      <c r="V199" s="28"/>
      <c r="W199" s="21"/>
      <c r="X199" s="21"/>
      <c r="Y199" s="21"/>
      <c r="Z199" s="29"/>
      <c r="AB199" s="27"/>
      <c r="AC199" s="28"/>
      <c r="AD199" s="28"/>
      <c r="AE199" s="28"/>
      <c r="AF199" s="21"/>
      <c r="AG199" s="21"/>
      <c r="AH199" s="21"/>
      <c r="AI199" s="29"/>
    </row>
    <row r="200" spans="1:35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  <c r="J200" s="27"/>
      <c r="K200" s="28"/>
      <c r="L200" s="28"/>
      <c r="M200" s="28"/>
      <c r="N200" s="21"/>
      <c r="O200" s="21"/>
      <c r="P200" s="21"/>
      <c r="Q200" s="29"/>
      <c r="S200" s="27"/>
      <c r="T200" s="28"/>
      <c r="U200" s="28"/>
      <c r="V200" s="28"/>
      <c r="W200" s="21"/>
      <c r="X200" s="21"/>
      <c r="Y200" s="21"/>
      <c r="Z200" s="29"/>
      <c r="AB200" s="27"/>
      <c r="AC200" s="28"/>
      <c r="AD200" s="28"/>
      <c r="AE200" s="28"/>
      <c r="AF200" s="21"/>
      <c r="AG200" s="21"/>
      <c r="AH200" s="21"/>
      <c r="AI200" s="29"/>
    </row>
    <row r="201" spans="1:35">
      <c r="A201" s="32">
        <f>IF(A40=0,((G167*(B59+1))-E179),((G167*B59)+E185-E179-A185))</f>
        <v>732.52000000000044</v>
      </c>
      <c r="B201" s="38">
        <f>E179+A201+(B182*1.2)+A185</f>
        <v>20857.52</v>
      </c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49"/>
      <c r="B202" s="50"/>
      <c r="C202" s="50"/>
      <c r="D202" s="50"/>
      <c r="E202" s="50"/>
      <c r="F202" s="50"/>
      <c r="G202" s="50"/>
      <c r="H202" s="57"/>
      <c r="J202" s="49"/>
      <c r="K202" s="50"/>
      <c r="L202" s="50"/>
      <c r="M202" s="50"/>
      <c r="N202" s="50"/>
      <c r="O202" s="50"/>
      <c r="P202" s="50"/>
      <c r="Q202" s="57"/>
      <c r="S202" s="49"/>
      <c r="T202" s="50"/>
      <c r="U202" s="50"/>
      <c r="V202" s="50"/>
      <c r="W202" s="50"/>
      <c r="X202" s="50"/>
      <c r="Y202" s="50"/>
      <c r="Z202" s="57"/>
      <c r="AB202" s="49"/>
      <c r="AC202" s="50"/>
      <c r="AD202" s="50"/>
      <c r="AE202" s="50"/>
      <c r="AF202" s="50"/>
      <c r="AG202" s="50"/>
      <c r="AH202" s="50"/>
      <c r="AI202" s="57"/>
    </row>
    <row r="206" spans="1:35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5">
      <c r="A207" s="27"/>
      <c r="B207" s="28"/>
      <c r="C207" s="28"/>
      <c r="D207" s="28"/>
      <c r="E207" s="21"/>
      <c r="F207" s="21"/>
      <c r="G207" s="21"/>
      <c r="H207" s="29"/>
    </row>
    <row r="208" spans="1:35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42" t="s">
        <v>217</v>
      </c>
      <c r="B209" s="131">
        <f>A197</f>
        <v>12</v>
      </c>
      <c r="C209" s="131"/>
      <c r="D209" s="131"/>
      <c r="E209" s="131">
        <f>B196</f>
        <v>10000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1853.1575307828346</v>
      </c>
      <c r="B212" s="133">
        <f>B167</f>
        <v>47.127272727272725</v>
      </c>
      <c r="C212" s="131"/>
      <c r="D212" s="131"/>
      <c r="E212" s="133">
        <f>E167</f>
        <v>1900.2848035101074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16412.5</v>
      </c>
      <c r="B215" s="34">
        <f>B173</f>
        <v>3282.5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19695</v>
      </c>
      <c r="B218" s="34">
        <f>B176</f>
        <v>1000</v>
      </c>
      <c r="C218" s="34"/>
      <c r="D218" s="21"/>
      <c r="E218" s="34">
        <f>E176</f>
        <v>1000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2000</v>
      </c>
      <c r="B221" s="34">
        <f>B179</f>
        <v>0</v>
      </c>
      <c r="C221" s="34"/>
      <c r="D221" s="21"/>
      <c r="E221" s="34">
        <f>E179</f>
        <v>19115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3170.0176421212891</v>
      </c>
      <c r="B224" s="34">
        <f>B182</f>
        <v>833.33333333333337</v>
      </c>
      <c r="C224" s="34"/>
      <c r="D224" s="21"/>
      <c r="E224" s="34">
        <f>E182</f>
        <v>23295.017642121289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3000</v>
      </c>
      <c r="C227" s="34"/>
      <c r="D227" s="21"/>
      <c r="E227" s="34">
        <f>B59</f>
        <v>11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1853.1575307828346</v>
      </c>
      <c r="B230" s="34">
        <f>B167</f>
        <v>47.127272727272725</v>
      </c>
      <c r="C230" s="38"/>
      <c r="D230" s="38"/>
      <c r="E230" s="34">
        <f>E167</f>
        <v>1900.2848035101074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219</v>
      </c>
      <c r="B232" s="28" t="s">
        <v>220</v>
      </c>
      <c r="C232" s="28"/>
      <c r="D232" s="28"/>
      <c r="E232" s="28" t="s">
        <v>80</v>
      </c>
      <c r="F232" s="21"/>
      <c r="G232" s="21"/>
      <c r="H232" s="29"/>
    </row>
    <row r="233" spans="1:8">
      <c r="A233" s="94">
        <f>E170</f>
        <v>0</v>
      </c>
      <c r="B233" s="34">
        <f>E185</f>
        <v>1910.2848035101074</v>
      </c>
      <c r="C233" s="28"/>
      <c r="D233" s="28"/>
      <c r="E233" s="34">
        <f>J18*0.000006*100</f>
        <v>24.3156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221</v>
      </c>
      <c r="B235" s="35" t="s">
        <v>85</v>
      </c>
      <c r="C235" s="28"/>
      <c r="D235" s="28"/>
      <c r="E235" s="35" t="s">
        <v>142</v>
      </c>
      <c r="F235" s="21"/>
      <c r="G235" s="21"/>
      <c r="H235" s="29"/>
    </row>
    <row r="236" spans="1:8">
      <c r="A236" s="94">
        <f>IF(E105="YES",J18*0.000002,0)*100</f>
        <v>8.1052</v>
      </c>
      <c r="B236" s="34">
        <f>E233+A236</f>
        <v>32.4208</v>
      </c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2079.170000000001</v>
      </c>
      <c r="B240" s="34">
        <f>B68</f>
        <v>955.75</v>
      </c>
      <c r="C240" s="28"/>
      <c r="D240" s="28"/>
      <c r="E240" s="34">
        <f>E188</f>
        <v>8.64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1633.5600000000009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K35</f>
        <v>7.0000000000000007E-2</v>
      </c>
      <c r="C253" s="144"/>
      <c r="D253" s="374" t="s">
        <v>226</v>
      </c>
      <c r="E253" s="374"/>
      <c r="F253" s="143">
        <f>B83</f>
        <v>0.1305</v>
      </c>
      <c r="G253" s="21"/>
      <c r="H253" s="29"/>
    </row>
    <row r="254" spans="1:8">
      <c r="A254" s="139" t="s">
        <v>227</v>
      </c>
      <c r="B254" s="146">
        <f>(E182-B182)-(B201-B182-A185)</f>
        <v>2447.4976421212887</v>
      </c>
      <c r="C254" s="144"/>
      <c r="D254" s="374" t="s">
        <v>228</v>
      </c>
      <c r="E254" s="374"/>
      <c r="F254" s="146">
        <f>F261+F267+F269+B270+B271</f>
        <v>955.75</v>
      </c>
      <c r="G254" s="21"/>
      <c r="H254" s="29"/>
    </row>
    <row r="255" spans="1:8">
      <c r="A255" s="139" t="s">
        <v>229</v>
      </c>
      <c r="B255" s="146">
        <f>F262+B263</f>
        <v>96.4</v>
      </c>
      <c r="C255" s="144"/>
      <c r="D255" s="374" t="s">
        <v>230</v>
      </c>
      <c r="E255" s="374"/>
      <c r="F255" s="146">
        <f>(B254-F254)+B255</f>
        <v>1588.1476421212888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10">
      <c r="A257" s="27" t="s">
        <v>225</v>
      </c>
      <c r="B257" s="151">
        <f>B253</f>
        <v>7.0000000000000007E-2</v>
      </c>
      <c r="C257" s="144"/>
      <c r="D257" s="144"/>
      <c r="E257" s="144"/>
      <c r="F257" s="144"/>
      <c r="G257" s="21"/>
      <c r="H257" s="29"/>
    </row>
    <row r="258" spans="1:10">
      <c r="A258" s="152"/>
      <c r="B258" s="153"/>
      <c r="C258" s="154"/>
      <c r="D258" s="154"/>
      <c r="E258" s="149"/>
      <c r="F258" s="149"/>
      <c r="G258" s="149"/>
      <c r="H258" s="150"/>
    </row>
    <row r="259" spans="1:10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10">
      <c r="A260" s="93" t="s">
        <v>226</v>
      </c>
      <c r="B260" s="155">
        <f>B83</f>
        <v>0.1305</v>
      </c>
      <c r="C260" s="38"/>
      <c r="D260" s="363" t="s">
        <v>227</v>
      </c>
      <c r="E260" s="363"/>
      <c r="F260" s="115">
        <f>B254</f>
        <v>2447.4976421212887</v>
      </c>
      <c r="G260" s="21"/>
      <c r="H260" s="29"/>
    </row>
    <row r="261" spans="1:10">
      <c r="A261" s="27" t="s">
        <v>233</v>
      </c>
      <c r="B261" s="155">
        <f>B67</f>
        <v>0.05</v>
      </c>
      <c r="C261" s="28"/>
      <c r="D261" s="363" t="s">
        <v>233</v>
      </c>
      <c r="E261" s="363"/>
      <c r="F261" s="119">
        <f>B68</f>
        <v>955.75</v>
      </c>
      <c r="G261" s="21"/>
      <c r="H261" s="29"/>
    </row>
    <row r="262" spans="1:10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86.4</v>
      </c>
      <c r="G262" s="21"/>
      <c r="H262" s="29"/>
    </row>
    <row r="263" spans="1:10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1588.1476421212888</v>
      </c>
      <c r="G263" s="21"/>
      <c r="H263" s="29"/>
    </row>
    <row r="264" spans="1:10">
      <c r="A264" s="94"/>
      <c r="B264" s="34"/>
      <c r="C264" s="28"/>
      <c r="D264" s="28"/>
      <c r="E264" s="34"/>
      <c r="F264" s="21"/>
      <c r="G264" s="21"/>
      <c r="H264" s="29"/>
    </row>
    <row r="265" spans="1:10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10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10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10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10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10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10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  <c r="J271" s="4">
        <v>4</v>
      </c>
    </row>
    <row r="272" spans="1:10">
      <c r="A272" s="49"/>
      <c r="B272" s="50"/>
      <c r="C272" s="50"/>
      <c r="D272" s="50"/>
      <c r="E272" s="50"/>
      <c r="F272" s="50"/>
      <c r="G272" s="50"/>
      <c r="H272" s="57"/>
    </row>
  </sheetData>
  <mergeCells count="260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E36:G36"/>
    <mergeCell ref="J38:K38"/>
    <mergeCell ref="B40:D40"/>
    <mergeCell ref="C45:E45"/>
    <mergeCell ref="A50:A51"/>
    <mergeCell ref="B50:D50"/>
    <mergeCell ref="B51:D51"/>
    <mergeCell ref="B52:D52"/>
    <mergeCell ref="A100:H100"/>
    <mergeCell ref="J100:Q100"/>
    <mergeCell ref="A1:F1"/>
    <mergeCell ref="D7:E18"/>
    <mergeCell ref="A16:C18"/>
    <mergeCell ref="A19:D19"/>
    <mergeCell ref="A21:D21"/>
    <mergeCell ref="A24:H24"/>
    <mergeCell ref="A28:H28"/>
    <mergeCell ref="B30:D30"/>
    <mergeCell ref="E33:G33"/>
  </mergeCells>
  <dataValidations count="1">
    <dataValidation type="list" allowBlank="1" showInputMessage="1" showErrorMessage="1" sqref="B105 K105 N105 T105 W105 AC105 AF105 B108:D108 K108:M108 T108:V108 AC108:AE108 J111 S111 AB111 A144:A146 J144:J146 S144:S146 AB144:AB146" xr:uid="{00000000-0002-0000-1300-000002000000}">
      <formula1>#REF!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300-000000000000}">
          <x14:formula1>
            <xm:f>HirePurchaseNonRegulated!$K$9:$K$10</xm:f>
          </x14:formula1>
          <x14:formula2>
            <xm:f>0</xm:f>
          </x14:formula2>
          <xm:sqref>B26 E105 A111</xm:sqref>
        </x14:dataValidation>
        <x14:dataValidation type="list" allowBlank="1" showErrorMessage="1" xr:uid="{00000000-0002-0000-1300-000001000000}">
          <x14:formula1>
            <xm:f>HirePurchaseNonRegulated!$K$9:$K$10</xm:f>
          </x14:formula1>
          <x14:formula2>
            <xm:f>0</xm:f>
          </x14:formula2>
          <xm:sqref>B70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P272"/>
  <sheetViews>
    <sheetView topLeftCell="A243" zoomScale="110" zoomScaleNormal="110" workbookViewId="0">
      <selection activeCell="F262" sqref="F262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91" t="s">
        <v>14</v>
      </c>
      <c r="B1" s="391"/>
      <c r="C1" s="391"/>
      <c r="D1" s="391"/>
      <c r="E1" s="391"/>
      <c r="F1" s="391"/>
      <c r="G1" s="86"/>
      <c r="H1" s="86"/>
      <c r="I1" s="5"/>
      <c r="J1" s="5"/>
    </row>
    <row r="2" spans="1:25" ht="2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286"/>
      <c r="H2" s="287"/>
      <c r="I2" s="5"/>
      <c r="J2" s="5"/>
    </row>
    <row r="3" spans="1:25">
      <c r="A3" s="191"/>
      <c r="B3" s="192"/>
      <c r="C3" s="192"/>
      <c r="D3" s="192"/>
      <c r="E3" s="192"/>
      <c r="F3" s="193" t="s">
        <v>10</v>
      </c>
      <c r="G3" s="288"/>
      <c r="H3" s="289"/>
      <c r="I3" s="5"/>
      <c r="J3" s="5"/>
    </row>
    <row r="4" spans="1:25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103"/>
      <c r="H4" s="105"/>
      <c r="I4" s="5"/>
      <c r="J4" s="5"/>
    </row>
    <row r="5" spans="1:25">
      <c r="A5" s="55"/>
      <c r="B5" s="55"/>
      <c r="C5" s="55"/>
      <c r="D5" s="55"/>
      <c r="E5" s="55"/>
      <c r="F5" s="55" t="s">
        <v>10</v>
      </c>
      <c r="G5" s="288"/>
      <c r="H5" s="29"/>
      <c r="I5" s="5"/>
      <c r="J5" s="5"/>
    </row>
    <row r="6" spans="1:25">
      <c r="A6" s="55"/>
      <c r="B6" s="55"/>
      <c r="C6" s="55"/>
      <c r="D6" s="55"/>
      <c r="E6" s="55"/>
      <c r="F6" s="55"/>
      <c r="G6" s="121"/>
      <c r="H6" s="29"/>
      <c r="I6" s="5"/>
      <c r="J6" s="5"/>
    </row>
    <row r="7" spans="1:25">
      <c r="A7" s="12" t="s">
        <v>19</v>
      </c>
      <c r="B7" s="12" t="s">
        <v>20</v>
      </c>
      <c r="C7" s="12" t="s">
        <v>16</v>
      </c>
      <c r="D7" s="392"/>
      <c r="E7" s="392"/>
      <c r="F7" s="55"/>
      <c r="G7" s="121"/>
      <c r="H7" s="29"/>
      <c r="I7" s="5"/>
      <c r="J7" s="5"/>
    </row>
    <row r="8" spans="1:25">
      <c r="A8" s="196"/>
      <c r="B8" s="55"/>
      <c r="C8" s="55"/>
      <c r="D8" s="392"/>
      <c r="E8" s="392"/>
      <c r="F8" s="55"/>
      <c r="G8" s="28"/>
      <c r="H8" s="29"/>
      <c r="I8" s="5"/>
      <c r="J8" s="5"/>
      <c r="L8" s="14" t="s">
        <v>17</v>
      </c>
      <c r="M8" s="11">
        <f>H13+H14</f>
        <v>0</v>
      </c>
    </row>
    <row r="9" spans="1:25" ht="2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109"/>
      <c r="H9" s="290"/>
      <c r="I9" s="5"/>
      <c r="J9" s="5"/>
      <c r="K9" s="4" t="s">
        <v>31</v>
      </c>
      <c r="L9" s="11"/>
      <c r="M9" s="11"/>
    </row>
    <row r="10" spans="1:25">
      <c r="A10" s="197"/>
      <c r="B10" s="55"/>
      <c r="C10" s="55"/>
      <c r="D10" s="392"/>
      <c r="E10" s="392"/>
      <c r="F10" s="55"/>
      <c r="G10" s="121"/>
      <c r="H10" s="289"/>
      <c r="I10" s="5"/>
      <c r="J10" s="5"/>
      <c r="K10" s="4" t="s">
        <v>32</v>
      </c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121"/>
      <c r="H11" s="29"/>
      <c r="I11" s="5"/>
      <c r="J11" s="5"/>
      <c r="L11" s="11"/>
      <c r="M11" s="11"/>
    </row>
    <row r="12" spans="1:25">
      <c r="A12" s="197"/>
      <c r="B12" s="55"/>
      <c r="C12" s="55"/>
      <c r="D12" s="392"/>
      <c r="E12" s="392"/>
      <c r="F12" s="55"/>
      <c r="G12" s="121"/>
      <c r="H12" s="289"/>
      <c r="I12" s="5"/>
      <c r="J12" s="5"/>
    </row>
    <row r="13" spans="1:25">
      <c r="A13" s="12" t="s">
        <v>23</v>
      </c>
      <c r="B13" s="15">
        <v>0</v>
      </c>
      <c r="C13" s="11"/>
      <c r="D13" s="392"/>
      <c r="E13" s="392"/>
      <c r="F13" s="55"/>
      <c r="G13" s="121"/>
      <c r="H13" s="289"/>
      <c r="I13" s="5"/>
      <c r="J13" s="5"/>
    </row>
    <row r="14" spans="1:25">
      <c r="A14" s="197"/>
      <c r="B14" s="55"/>
      <c r="C14" s="55"/>
      <c r="D14" s="392"/>
      <c r="E14" s="392"/>
      <c r="F14" s="55"/>
      <c r="G14" s="121"/>
      <c r="H14" s="289"/>
      <c r="I14" s="5"/>
      <c r="J14" s="5" t="s">
        <v>24</v>
      </c>
    </row>
    <row r="15" spans="1:25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21"/>
      <c r="H15" s="291"/>
      <c r="I15" s="5"/>
      <c r="J15" s="17">
        <f>H15</f>
        <v>0</v>
      </c>
    </row>
    <row r="16" spans="1:25">
      <c r="A16" s="393"/>
      <c r="B16" s="393"/>
      <c r="C16" s="393"/>
      <c r="D16" s="392"/>
      <c r="E16" s="392"/>
      <c r="F16" s="55"/>
      <c r="G16" s="121"/>
      <c r="H16" s="289"/>
      <c r="I16" s="5"/>
      <c r="J16" s="5"/>
      <c r="Y16" s="18" t="s">
        <v>26</v>
      </c>
    </row>
    <row r="17" spans="1:26">
      <c r="A17" s="393"/>
      <c r="B17" s="393"/>
      <c r="C17" s="393"/>
      <c r="D17" s="392"/>
      <c r="E17" s="392"/>
      <c r="F17" s="55"/>
      <c r="G17" s="34"/>
      <c r="H17" s="29"/>
      <c r="I17" s="5"/>
      <c r="J17" s="5" t="s">
        <v>27</v>
      </c>
      <c r="Y17" s="18" t="s">
        <v>28</v>
      </c>
    </row>
    <row r="18" spans="1:26">
      <c r="A18" s="393"/>
      <c r="B18" s="393"/>
      <c r="C18" s="393"/>
      <c r="D18" s="392"/>
      <c r="E18" s="392"/>
      <c r="F18" s="55"/>
      <c r="G18" s="35"/>
      <c r="H18" s="292"/>
      <c r="I18" s="5"/>
      <c r="J18" s="17">
        <v>40526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35"/>
      <c r="H19" s="292"/>
      <c r="I19" s="5"/>
      <c r="J19" s="5"/>
      <c r="Z19" s="5" t="s">
        <v>31</v>
      </c>
    </row>
    <row r="20" spans="1:26">
      <c r="A20" s="199"/>
      <c r="B20" s="55"/>
      <c r="C20" s="55"/>
      <c r="D20" s="55"/>
      <c r="E20" s="200"/>
      <c r="F20" s="55"/>
      <c r="G20" s="35"/>
      <c r="H20" s="292"/>
      <c r="I20" s="5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293"/>
      <c r="H21" s="294"/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354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>
      <c r="A26" s="32" t="s">
        <v>138</v>
      </c>
      <c r="B26" s="36" t="s">
        <v>386</v>
      </c>
      <c r="C26" s="28"/>
      <c r="D26" s="28"/>
      <c r="E26" s="28"/>
      <c r="F26" s="28"/>
      <c r="G26" s="28"/>
      <c r="H26" s="29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 ht="23.25">
      <c r="A28" s="335" t="s">
        <v>136</v>
      </c>
      <c r="B28" s="335"/>
      <c r="C28" s="335"/>
      <c r="D28" s="335"/>
      <c r="E28" s="335"/>
      <c r="F28" s="335"/>
      <c r="G28" s="335"/>
      <c r="H28" s="335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>
        <v>36</v>
      </c>
      <c r="I29" s="28"/>
      <c r="J29" s="25" t="s">
        <v>94</v>
      </c>
      <c r="K29" s="295">
        <v>36</v>
      </c>
    </row>
    <row r="30" spans="1:26">
      <c r="A30" s="27" t="s">
        <v>193</v>
      </c>
      <c r="B30" s="346" t="s">
        <v>387</v>
      </c>
      <c r="C30" s="346"/>
      <c r="D30" s="346"/>
      <c r="E30" s="28"/>
      <c r="F30" s="28"/>
      <c r="G30" s="28"/>
      <c r="H30" s="29">
        <v>10000</v>
      </c>
      <c r="I30" s="28"/>
      <c r="J30" s="25" t="s">
        <v>45</v>
      </c>
      <c r="K30" s="33">
        <v>10000</v>
      </c>
    </row>
    <row r="31" spans="1:26">
      <c r="A31" s="27"/>
      <c r="B31" s="28"/>
      <c r="C31" s="28"/>
      <c r="D31" s="28"/>
      <c r="E31" s="28"/>
      <c r="F31" s="28"/>
      <c r="G31" s="28"/>
      <c r="H31" s="29">
        <v>27500</v>
      </c>
      <c r="I31" s="28"/>
      <c r="J31" s="25" t="s">
        <v>48</v>
      </c>
      <c r="K31" s="37">
        <v>0</v>
      </c>
    </row>
    <row r="32" spans="1:26" ht="36">
      <c r="A32" s="27" t="s">
        <v>94</v>
      </c>
      <c r="B32" s="28" t="s">
        <v>95</v>
      </c>
      <c r="C32" s="28"/>
      <c r="D32" s="28"/>
      <c r="E32" s="28" t="s">
        <v>355</v>
      </c>
      <c r="F32" s="28"/>
      <c r="G32" s="28"/>
      <c r="H32" s="29"/>
      <c r="I32" s="5"/>
      <c r="J32" s="25" t="s">
        <v>49</v>
      </c>
      <c r="K32" s="37">
        <v>0</v>
      </c>
    </row>
    <row r="33" spans="1:16" ht="36">
      <c r="A33" s="134">
        <f>A52</f>
        <v>36</v>
      </c>
      <c r="B33" s="173">
        <f>B51</f>
        <v>10000</v>
      </c>
      <c r="C33" s="28"/>
      <c r="D33" s="28"/>
      <c r="E33" s="402">
        <f>K48</f>
        <v>442.57161881334042</v>
      </c>
      <c r="F33" s="402"/>
      <c r="G33" s="402"/>
      <c r="H33" s="42"/>
      <c r="I33" s="5"/>
      <c r="J33" s="30" t="s">
        <v>356</v>
      </c>
      <c r="K33" s="43">
        <f>E21</f>
        <v>14333.33</v>
      </c>
      <c r="L33" s="4">
        <f>H21-H11+(H16*20%)</f>
        <v>0</v>
      </c>
    </row>
    <row r="34" spans="1:16">
      <c r="A34" s="27"/>
      <c r="B34" s="28"/>
      <c r="C34" s="28"/>
      <c r="D34" s="28"/>
      <c r="E34" s="38"/>
      <c r="F34" s="38"/>
      <c r="G34" s="38"/>
      <c r="H34" s="42"/>
      <c r="I34" s="5"/>
      <c r="J34" s="5"/>
      <c r="K34" s="5"/>
    </row>
    <row r="35" spans="1:16">
      <c r="A35" s="27" t="s">
        <v>357</v>
      </c>
      <c r="B35" s="28" t="s">
        <v>358</v>
      </c>
      <c r="C35" s="28"/>
      <c r="E35" s="28" t="s">
        <v>359</v>
      </c>
      <c r="F35" s="38"/>
      <c r="G35" s="38"/>
      <c r="H35" s="42"/>
      <c r="I35" s="5"/>
      <c r="J35" s="45" t="s">
        <v>59</v>
      </c>
      <c r="K35" s="4">
        <v>7.0000000000000007E-2</v>
      </c>
    </row>
    <row r="36" spans="1:16">
      <c r="A36" s="138">
        <f>K47</f>
        <v>442.57161881334042</v>
      </c>
      <c r="B36" s="173" t="str">
        <f>IF(B26="YES",K42,"0.00")</f>
        <v>0.00</v>
      </c>
      <c r="C36" s="173"/>
      <c r="D36" s="173"/>
      <c r="E36" s="402">
        <f>K31</f>
        <v>0</v>
      </c>
      <c r="F36" s="402"/>
      <c r="G36" s="402"/>
      <c r="H36" s="42"/>
      <c r="I36" s="5"/>
      <c r="J36" s="5" t="s">
        <v>63</v>
      </c>
      <c r="K36" s="5">
        <f>K29</f>
        <v>36</v>
      </c>
    </row>
    <row r="37" spans="1:16">
      <c r="A37" s="94"/>
      <c r="B37" s="34"/>
      <c r="C37" s="38"/>
      <c r="D37" s="38"/>
      <c r="E37" s="38"/>
      <c r="F37" s="38"/>
      <c r="G37" s="38"/>
      <c r="H37" s="42"/>
      <c r="I37" s="5"/>
      <c r="J37" s="5"/>
      <c r="K37" s="5"/>
    </row>
    <row r="38" spans="1:16">
      <c r="A38" s="27"/>
      <c r="B38" s="28"/>
      <c r="C38" s="38"/>
      <c r="D38" s="38"/>
      <c r="E38" s="38"/>
      <c r="F38" s="38"/>
      <c r="G38" s="38"/>
      <c r="H38" s="42"/>
      <c r="J38" s="337" t="s">
        <v>65</v>
      </c>
      <c r="K38" s="337"/>
      <c r="L38" s="5">
        <v>42030.76</v>
      </c>
      <c r="N38" s="4">
        <f>80.88*36</f>
        <v>2911.68</v>
      </c>
    </row>
    <row r="39" spans="1:16">
      <c r="A39" s="27" t="s">
        <v>360</v>
      </c>
      <c r="B39" s="28" t="s">
        <v>361</v>
      </c>
      <c r="C39" s="28"/>
      <c r="E39" s="28" t="s">
        <v>362</v>
      </c>
      <c r="F39" s="38"/>
      <c r="G39" s="38"/>
      <c r="H39" s="42"/>
      <c r="J39" s="5" t="s">
        <v>96</v>
      </c>
      <c r="K39" s="5">
        <f>K33</f>
        <v>14333.33</v>
      </c>
      <c r="L39" s="5">
        <f>(L47*K46)+K44</f>
        <v>25909.171561306546</v>
      </c>
      <c r="N39" s="4">
        <f>K39-L39</f>
        <v>-11575.841561306546</v>
      </c>
    </row>
    <row r="40" spans="1:16">
      <c r="A40" s="92">
        <f>E36*A45/100</f>
        <v>0</v>
      </c>
      <c r="B40" s="348" t="str">
        <f>IF(B26="YES",K42,"0.00")</f>
        <v>0.00</v>
      </c>
      <c r="C40" s="348"/>
      <c r="D40" s="348"/>
      <c r="E40" s="137">
        <f>K32</f>
        <v>0</v>
      </c>
      <c r="F40" s="38"/>
      <c r="G40" s="38"/>
      <c r="H40" s="42"/>
      <c r="J40" s="5" t="s">
        <v>118</v>
      </c>
      <c r="K40" s="5">
        <f>(A40)/1.2</f>
        <v>0</v>
      </c>
      <c r="L40" s="5">
        <f>K39-L39</f>
        <v>-11575.841561306546</v>
      </c>
      <c r="N40" s="4">
        <f>N38-N39</f>
        <v>14487.521561306547</v>
      </c>
    </row>
    <row r="41" spans="1:16">
      <c r="A41" s="27"/>
      <c r="B41" s="28"/>
      <c r="C41" s="28"/>
      <c r="D41" s="28"/>
      <c r="E41" s="28"/>
      <c r="F41" s="38"/>
      <c r="G41" s="38"/>
      <c r="H41" s="42"/>
      <c r="J41" s="5" t="s">
        <v>363</v>
      </c>
      <c r="K41" s="5">
        <f>K35/12</f>
        <v>5.8333333333333336E-3</v>
      </c>
      <c r="L41" s="5"/>
    </row>
    <row r="42" spans="1:16">
      <c r="A42" s="49"/>
      <c r="B42" s="50"/>
      <c r="C42" s="50"/>
      <c r="D42" s="50"/>
      <c r="E42" s="50"/>
      <c r="F42" s="50"/>
      <c r="G42" s="51"/>
      <c r="H42" s="52"/>
      <c r="J42" s="5" t="s">
        <v>364</v>
      </c>
      <c r="K42" s="5">
        <f>(K32/K36)*C45/100</f>
        <v>0</v>
      </c>
      <c r="L42" s="5"/>
    </row>
    <row r="43" spans="1:16">
      <c r="A43" s="22"/>
      <c r="B43" s="23"/>
      <c r="C43" s="23"/>
      <c r="D43" s="23"/>
      <c r="E43" s="23"/>
      <c r="F43" s="23"/>
      <c r="G43" s="23"/>
      <c r="H43" s="24"/>
      <c r="J43" s="5" t="s">
        <v>365</v>
      </c>
      <c r="K43" s="5"/>
      <c r="L43" s="5"/>
    </row>
    <row r="44" spans="1:16">
      <c r="A44" s="53" t="s">
        <v>89</v>
      </c>
      <c r="B44" s="28"/>
      <c r="C44" s="28" t="s">
        <v>90</v>
      </c>
      <c r="D44" s="28"/>
      <c r="E44" s="28"/>
      <c r="F44" s="28"/>
      <c r="G44" s="28"/>
      <c r="H44" s="29"/>
      <c r="J44" s="5" t="s">
        <v>366</v>
      </c>
      <c r="K44" s="5">
        <f>(K40/(1+K41)^(K36+1))</f>
        <v>0</v>
      </c>
      <c r="L44" s="5"/>
    </row>
    <row r="45" spans="1:16">
      <c r="A45" s="54">
        <v>100</v>
      </c>
      <c r="B45" s="28"/>
      <c r="C45" s="339">
        <v>100</v>
      </c>
      <c r="D45" s="339"/>
      <c r="E45" s="339"/>
      <c r="F45" s="28"/>
      <c r="G45" s="28"/>
      <c r="H45" s="29"/>
      <c r="J45" s="5" t="s">
        <v>367</v>
      </c>
      <c r="K45" s="5">
        <f>(K39-K44)</f>
        <v>14333.33</v>
      </c>
      <c r="L45" s="5"/>
    </row>
    <row r="46" spans="1:16">
      <c r="A46" s="49"/>
      <c r="B46" s="50"/>
      <c r="C46" s="50"/>
      <c r="D46" s="50"/>
      <c r="E46" s="50"/>
      <c r="F46" s="50"/>
      <c r="G46" s="50"/>
      <c r="H46" s="57"/>
      <c r="J46" s="5" t="s">
        <v>368</v>
      </c>
      <c r="K46" s="5">
        <f>((1-(1/((1+K41)^K36)))/K41)</f>
        <v>32.386464451633181</v>
      </c>
      <c r="L46" s="5"/>
    </row>
    <row r="47" spans="1:16">
      <c r="A47" s="22"/>
      <c r="B47" s="23"/>
      <c r="C47" s="23"/>
      <c r="D47" s="23"/>
      <c r="E47" s="23"/>
      <c r="F47" s="23"/>
      <c r="G47" s="23"/>
      <c r="H47" s="24"/>
      <c r="J47" s="5" t="s">
        <v>369</v>
      </c>
      <c r="K47" s="5">
        <f>K45/K46</f>
        <v>442.57161881334042</v>
      </c>
      <c r="L47" s="5">
        <f>L49-K42</f>
        <v>800</v>
      </c>
      <c r="M47" s="4">
        <f>K47-L47</f>
        <v>-357.42838118665958</v>
      </c>
    </row>
    <row r="48" spans="1:16" ht="37.5">
      <c r="A48" s="58" t="s">
        <v>93</v>
      </c>
      <c r="B48" s="28"/>
      <c r="C48" s="28"/>
      <c r="D48" s="59"/>
      <c r="E48" s="59"/>
      <c r="F48" s="59"/>
      <c r="G48" s="59"/>
      <c r="H48" s="60"/>
      <c r="J48" s="48" t="s">
        <v>370</v>
      </c>
      <c r="K48" s="5">
        <f>IF(B26="YES",K47+K42,K47)</f>
        <v>442.57161881334042</v>
      </c>
      <c r="L48" s="5"/>
    </row>
    <row r="49" spans="1:35">
      <c r="A49" s="27"/>
      <c r="B49" s="61"/>
      <c r="C49" s="61"/>
      <c r="D49" s="28"/>
      <c r="E49" s="28"/>
      <c r="F49" s="28"/>
      <c r="G49" s="28"/>
      <c r="H49" s="29"/>
      <c r="J49" s="5" t="s">
        <v>371</v>
      </c>
      <c r="K49" s="5"/>
      <c r="L49" s="5">
        <v>800</v>
      </c>
    </row>
    <row r="50" spans="1:35" ht="21">
      <c r="A50" s="369" t="s">
        <v>94</v>
      </c>
      <c r="B50" s="341" t="s">
        <v>95</v>
      </c>
      <c r="C50" s="341"/>
      <c r="D50" s="341"/>
      <c r="E50" s="28"/>
      <c r="F50" s="28"/>
      <c r="G50" s="28"/>
      <c r="H50" s="29"/>
      <c r="I50" s="5"/>
      <c r="J50" s="5"/>
      <c r="K50" s="5"/>
    </row>
    <row r="51" spans="1:35" ht="19.5" customHeight="1">
      <c r="A51" s="369"/>
      <c r="B51" s="342">
        <f>K30</f>
        <v>10000</v>
      </c>
      <c r="C51" s="342"/>
      <c r="D51" s="342"/>
      <c r="E51" s="28"/>
      <c r="F51" s="28"/>
      <c r="G51" s="28"/>
      <c r="H51" s="29"/>
      <c r="I51" s="5"/>
      <c r="J51" s="5"/>
      <c r="K51" s="5"/>
    </row>
    <row r="52" spans="1:35">
      <c r="A52" s="62">
        <f>K29</f>
        <v>36</v>
      </c>
      <c r="B52" s="343">
        <f>K48</f>
        <v>442.57161881334042</v>
      </c>
      <c r="C52" s="343"/>
      <c r="D52" s="343"/>
      <c r="E52" s="28"/>
      <c r="F52" s="28"/>
      <c r="G52" s="28"/>
      <c r="H52" s="29"/>
      <c r="I52" s="5"/>
      <c r="J52" s="5"/>
      <c r="K52" s="5"/>
    </row>
    <row r="53" spans="1:35">
      <c r="A53" s="27"/>
      <c r="B53" s="28"/>
      <c r="C53" s="28"/>
      <c r="D53" s="28"/>
      <c r="E53" s="28"/>
      <c r="F53" s="28"/>
      <c r="G53" s="28"/>
      <c r="H53" s="29"/>
      <c r="I53" s="5"/>
      <c r="J53" s="5"/>
      <c r="K53" s="5"/>
    </row>
    <row r="54" spans="1:35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35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35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35">
      <c r="A57" s="22"/>
      <c r="B57" s="23"/>
      <c r="C57" s="23"/>
      <c r="D57" s="23"/>
      <c r="E57" s="63"/>
      <c r="F57" s="63"/>
      <c r="G57" s="63"/>
      <c r="H57" s="24"/>
      <c r="J57" s="22"/>
      <c r="K57" s="23"/>
      <c r="L57" s="23"/>
      <c r="M57" s="23"/>
      <c r="N57" s="63"/>
      <c r="O57" s="63"/>
      <c r="P57" s="63"/>
      <c r="Q57" s="24"/>
      <c r="S57" s="22"/>
      <c r="T57" s="23"/>
      <c r="U57" s="23"/>
      <c r="V57" s="23"/>
      <c r="W57" s="63"/>
      <c r="X57" s="63"/>
      <c r="Y57" s="63"/>
      <c r="Z57" s="24"/>
      <c r="AB57" s="22"/>
      <c r="AC57" s="23"/>
      <c r="AD57" s="23"/>
      <c r="AE57" s="23"/>
      <c r="AF57" s="63"/>
      <c r="AG57" s="63"/>
      <c r="AH57" s="63"/>
      <c r="AI57" s="24"/>
    </row>
    <row r="58" spans="1:35">
      <c r="A58" s="27" t="s">
        <v>96</v>
      </c>
      <c r="B58" s="28">
        <v>1</v>
      </c>
      <c r="C58" s="28"/>
      <c r="D58" s="28"/>
      <c r="E58" s="21"/>
      <c r="F58" s="21"/>
      <c r="G58" s="21"/>
      <c r="H58" s="29"/>
      <c r="J58" s="27" t="s">
        <v>96</v>
      </c>
      <c r="K58" s="28">
        <v>1</v>
      </c>
      <c r="L58" s="28"/>
      <c r="M58" s="28"/>
      <c r="N58" s="21"/>
      <c r="O58" s="21"/>
      <c r="P58" s="21"/>
      <c r="Q58" s="29"/>
      <c r="S58" s="27" t="s">
        <v>96</v>
      </c>
      <c r="T58" s="28">
        <v>1</v>
      </c>
      <c r="U58" s="28"/>
      <c r="V58" s="28"/>
      <c r="W58" s="21"/>
      <c r="X58" s="21"/>
      <c r="Y58" s="21"/>
      <c r="Z58" s="29"/>
      <c r="AB58" s="27" t="s">
        <v>96</v>
      </c>
      <c r="AC58" s="28">
        <v>1</v>
      </c>
      <c r="AD58" s="28"/>
      <c r="AE58" s="28"/>
      <c r="AF58" s="21"/>
      <c r="AG58" s="21"/>
      <c r="AH58" s="21"/>
      <c r="AI58" s="29"/>
    </row>
    <row r="59" spans="1:35">
      <c r="A59" s="27" t="s">
        <v>97</v>
      </c>
      <c r="B59" s="28">
        <f>K29-B58</f>
        <v>35</v>
      </c>
      <c r="C59" s="28"/>
      <c r="D59" s="28"/>
      <c r="E59" s="21"/>
      <c r="F59" s="21"/>
      <c r="G59" s="21"/>
      <c r="H59" s="29"/>
      <c r="J59" s="27" t="s">
        <v>97</v>
      </c>
      <c r="K59" s="28">
        <f>K29-K58</f>
        <v>35</v>
      </c>
      <c r="L59" s="28"/>
      <c r="M59" s="28"/>
      <c r="N59" s="21"/>
      <c r="O59" s="21"/>
      <c r="P59" s="21"/>
      <c r="Q59" s="29"/>
      <c r="S59" s="27" t="s">
        <v>97</v>
      </c>
      <c r="T59" s="28">
        <f>K29-T58</f>
        <v>35</v>
      </c>
      <c r="U59" s="28"/>
      <c r="V59" s="28"/>
      <c r="W59" s="21"/>
      <c r="X59" s="21"/>
      <c r="Y59" s="21"/>
      <c r="Z59" s="29"/>
      <c r="AB59" s="27" t="s">
        <v>97</v>
      </c>
      <c r="AC59" s="28">
        <f>K29-AC58</f>
        <v>35</v>
      </c>
      <c r="AD59" s="28"/>
      <c r="AE59" s="28"/>
      <c r="AF59" s="21"/>
      <c r="AG59" s="21"/>
      <c r="AH59" s="21"/>
      <c r="AI59" s="29"/>
    </row>
    <row r="60" spans="1:35">
      <c r="A60" s="64" t="s">
        <v>98</v>
      </c>
      <c r="B60" s="65">
        <v>10</v>
      </c>
      <c r="C60" s="28"/>
      <c r="D60" s="28"/>
      <c r="E60" s="21"/>
      <c r="F60" s="21"/>
      <c r="G60" s="21"/>
      <c r="H60" s="29"/>
      <c r="J60" s="64" t="s">
        <v>98</v>
      </c>
      <c r="K60" s="65">
        <v>20</v>
      </c>
      <c r="L60" s="28"/>
      <c r="M60" s="28"/>
      <c r="N60" s="21"/>
      <c r="O60" s="21"/>
      <c r="P60" s="21"/>
      <c r="Q60" s="29"/>
      <c r="S60" s="64" t="s">
        <v>98</v>
      </c>
      <c r="T60" s="65">
        <v>10</v>
      </c>
      <c r="U60" s="28"/>
      <c r="V60" s="28"/>
      <c r="W60" s="21"/>
      <c r="X60" s="21"/>
      <c r="Y60" s="21"/>
      <c r="Z60" s="29"/>
      <c r="AB60" s="64" t="s">
        <v>98</v>
      </c>
      <c r="AC60" s="65">
        <v>10</v>
      </c>
      <c r="AD60" s="28"/>
      <c r="AE60" s="28"/>
      <c r="AF60" s="21"/>
      <c r="AG60" s="21"/>
      <c r="AH60" s="21"/>
      <c r="AI60" s="29"/>
    </row>
    <row r="61" spans="1:35">
      <c r="A61" s="27" t="s">
        <v>27</v>
      </c>
      <c r="B61" s="28">
        <f>J18</f>
        <v>40526</v>
      </c>
      <c r="C61" s="28"/>
      <c r="D61" s="28"/>
      <c r="E61" s="21"/>
      <c r="F61" s="21"/>
      <c r="G61" s="21"/>
      <c r="H61" s="29"/>
      <c r="J61" s="27" t="s">
        <v>27</v>
      </c>
      <c r="K61" s="28">
        <f>J18</f>
        <v>40526</v>
      </c>
      <c r="L61" s="28"/>
      <c r="M61" s="28"/>
      <c r="N61" s="21"/>
      <c r="O61" s="21"/>
      <c r="P61" s="21"/>
      <c r="Q61" s="29"/>
      <c r="S61" s="27" t="s">
        <v>27</v>
      </c>
      <c r="T61" s="28">
        <f>J18</f>
        <v>40526</v>
      </c>
      <c r="U61" s="28"/>
      <c r="V61" s="28"/>
      <c r="W61" s="21"/>
      <c r="X61" s="21"/>
      <c r="Y61" s="21"/>
      <c r="Z61" s="29"/>
      <c r="AB61" s="27" t="s">
        <v>27</v>
      </c>
      <c r="AC61" s="28">
        <f>J18</f>
        <v>40526</v>
      </c>
      <c r="AD61" s="28"/>
      <c r="AE61" s="28"/>
      <c r="AF61" s="21"/>
      <c r="AG61" s="21"/>
      <c r="AH61" s="21"/>
      <c r="AI61" s="29"/>
    </row>
    <row r="62" spans="1:35">
      <c r="A62" s="66" t="s">
        <v>99</v>
      </c>
      <c r="B62" s="67">
        <v>0</v>
      </c>
      <c r="C62" s="28"/>
      <c r="D62" s="28"/>
      <c r="E62" s="21"/>
      <c r="F62" s="21"/>
      <c r="G62" s="21"/>
      <c r="H62" s="29"/>
      <c r="J62" s="66" t="s">
        <v>99</v>
      </c>
      <c r="K62" s="67">
        <v>0.06</v>
      </c>
      <c r="L62" s="28"/>
      <c r="M62" s="28"/>
      <c r="N62" s="21"/>
      <c r="O62" s="21"/>
      <c r="P62" s="21"/>
      <c r="Q62" s="29"/>
      <c r="S62" s="66" t="s">
        <v>99</v>
      </c>
      <c r="T62" s="67">
        <f>IF(AND(K29&gt;=12,K29&lt;=24),0.0105,IF(AND(K29&gt;=48),-0.0075,0))</f>
        <v>0</v>
      </c>
      <c r="U62" s="28"/>
      <c r="V62" s="28"/>
      <c r="W62" s="21"/>
      <c r="X62" s="21"/>
      <c r="Y62" s="21"/>
      <c r="Z62" s="29"/>
      <c r="AB62" s="66" t="s">
        <v>99</v>
      </c>
      <c r="AC62" s="67">
        <f>IF(AND(K29&gt;=12,K29&lt;=24),0.0105,IF(AND(K29&gt;=48),-0.0075,0))</f>
        <v>0</v>
      </c>
      <c r="AD62" s="28"/>
      <c r="AE62" s="28"/>
      <c r="AF62" s="21"/>
      <c r="AG62" s="21"/>
      <c r="AH62" s="21"/>
      <c r="AI62" s="29"/>
    </row>
    <row r="63" spans="1:35">
      <c r="A63" s="68" t="s">
        <v>100</v>
      </c>
      <c r="B63" s="69">
        <v>7.0000000000000007E-2</v>
      </c>
      <c r="C63" s="28"/>
      <c r="D63" s="28"/>
      <c r="E63" s="21"/>
      <c r="F63" s="21"/>
      <c r="G63" s="21"/>
      <c r="H63" s="29"/>
      <c r="J63" s="68" t="s">
        <v>100</v>
      </c>
      <c r="K63" s="69">
        <v>0.08</v>
      </c>
      <c r="L63" s="28"/>
      <c r="M63" s="28"/>
      <c r="N63" s="21"/>
      <c r="O63" s="21"/>
      <c r="P63" s="21"/>
      <c r="Q63" s="29"/>
      <c r="S63" s="68" t="s">
        <v>100</v>
      </c>
      <c r="T63" s="69">
        <v>5.8999999999999997E-2</v>
      </c>
      <c r="U63" s="28"/>
      <c r="V63" s="28"/>
      <c r="W63" s="21"/>
      <c r="X63" s="21"/>
      <c r="Y63" s="21"/>
      <c r="Z63" s="29"/>
      <c r="AB63" s="68" t="s">
        <v>100</v>
      </c>
      <c r="AC63" s="69">
        <v>5.8999999999999997E-2</v>
      </c>
      <c r="AD63" s="28"/>
      <c r="AE63" s="28"/>
      <c r="AF63" s="21"/>
      <c r="AG63" s="21"/>
      <c r="AH63" s="21"/>
      <c r="AI63" s="29"/>
    </row>
    <row r="64" spans="1:35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J64" s="70" t="s">
        <v>101</v>
      </c>
      <c r="K64" s="71">
        <v>0.1</v>
      </c>
      <c r="L64" s="28"/>
      <c r="M64" s="28"/>
      <c r="N64" s="21"/>
      <c r="O64" s="21"/>
      <c r="P64" s="21"/>
      <c r="Q64" s="29"/>
      <c r="S64" s="70" t="s">
        <v>101</v>
      </c>
      <c r="T64" s="71">
        <f>IF(T108=AP108,2.4%,7.2%)</f>
        <v>7.2000000000000008E-2</v>
      </c>
      <c r="U64" s="28"/>
      <c r="V64" s="28"/>
      <c r="W64" s="21"/>
      <c r="X64" s="21"/>
      <c r="Y64" s="21"/>
      <c r="Z64" s="29"/>
      <c r="AB64" s="70" t="s">
        <v>101</v>
      </c>
      <c r="AC64" s="71">
        <f>IF(AC108=AP108,2.4%,7.2%)</f>
        <v>7.2000000000000008E-2</v>
      </c>
      <c r="AD64" s="28"/>
      <c r="AE64" s="28"/>
      <c r="AF64" s="21"/>
      <c r="AG64" s="21"/>
      <c r="AH64" s="21"/>
      <c r="AI64" s="29"/>
    </row>
    <row r="65" spans="1:35">
      <c r="A65" s="49" t="s">
        <v>102</v>
      </c>
      <c r="B65" s="57">
        <f>(B89*B59)-(K47*K29)</f>
        <v>6288.6253452624915</v>
      </c>
      <c r="C65" s="28"/>
      <c r="D65" s="28"/>
      <c r="E65" s="21"/>
      <c r="F65" s="21"/>
      <c r="G65" s="21"/>
      <c r="H65" s="29"/>
      <c r="J65" s="49" t="s">
        <v>102</v>
      </c>
      <c r="K65" s="57" t="e">
        <f>(K89*K59)-(K47*K29)</f>
        <v>#VALUE!</v>
      </c>
      <c r="L65" s="28"/>
      <c r="M65" s="28"/>
      <c r="N65" s="21"/>
      <c r="O65" s="21"/>
      <c r="P65" s="21"/>
      <c r="Q65" s="29"/>
      <c r="S65" s="49" t="s">
        <v>102</v>
      </c>
      <c r="T65" s="57" t="e">
        <f>(T89*T59)-(K47*K29)</f>
        <v>#VALUE!</v>
      </c>
      <c r="U65" s="28"/>
      <c r="V65" s="28"/>
      <c r="W65" s="21"/>
      <c r="X65" s="21"/>
      <c r="Y65" s="21"/>
      <c r="Z65" s="29"/>
      <c r="AB65" s="49" t="s">
        <v>102</v>
      </c>
      <c r="AC65" s="57" t="e">
        <f>(AC89*AC59)-(K47*K29)</f>
        <v>#VALUE!</v>
      </c>
      <c r="AD65" s="28"/>
      <c r="AE65" s="28"/>
      <c r="AF65" s="21"/>
      <c r="AG65" s="21"/>
      <c r="AH65" s="21"/>
      <c r="AI65" s="29"/>
    </row>
    <row r="66" spans="1:35">
      <c r="A66" s="66" t="s">
        <v>103</v>
      </c>
      <c r="B66" s="67">
        <v>0.03</v>
      </c>
      <c r="C66" s="28"/>
      <c r="D66" s="28"/>
      <c r="E66" s="21"/>
      <c r="F66" s="21"/>
      <c r="G66" s="21"/>
      <c r="H66" s="29"/>
      <c r="J66" s="66" t="s">
        <v>103</v>
      </c>
      <c r="K66" s="67">
        <v>0.05</v>
      </c>
      <c r="L66" s="28"/>
      <c r="M66" s="28"/>
      <c r="N66" s="21"/>
      <c r="O66" s="21"/>
      <c r="P66" s="21"/>
      <c r="Q66" s="29"/>
      <c r="S66" s="66" t="s">
        <v>103</v>
      </c>
      <c r="T66" s="67">
        <v>5.0000000000000001E-3</v>
      </c>
      <c r="U66" s="28"/>
      <c r="V66" s="28"/>
      <c r="W66" s="21"/>
      <c r="X66" s="21"/>
      <c r="Y66" s="21"/>
      <c r="Z66" s="29"/>
      <c r="AB66" s="66" t="s">
        <v>103</v>
      </c>
      <c r="AC66" s="67">
        <v>5.0000000000000001E-3</v>
      </c>
      <c r="AD66" s="28"/>
      <c r="AE66" s="28"/>
      <c r="AF66" s="21"/>
      <c r="AG66" s="21"/>
      <c r="AH66" s="21"/>
      <c r="AI66" s="29"/>
    </row>
    <row r="67" spans="1:35">
      <c r="A67" s="27"/>
      <c r="B67" s="72">
        <f>B66</f>
        <v>0.03</v>
      </c>
      <c r="C67" s="28"/>
      <c r="D67" s="28"/>
      <c r="E67" s="21"/>
      <c r="F67" s="21"/>
      <c r="G67" s="21"/>
      <c r="H67" s="29"/>
      <c r="J67" s="27" t="s">
        <v>104</v>
      </c>
      <c r="K67" s="72">
        <f>K66+(K66*0.25*(K29/12-1))</f>
        <v>7.5000000000000011E-2</v>
      </c>
      <c r="L67" s="28"/>
      <c r="M67" s="28"/>
      <c r="N67" s="21"/>
      <c r="O67" s="21"/>
      <c r="P67" s="21"/>
      <c r="Q67" s="29"/>
      <c r="S67" s="27" t="s">
        <v>104</v>
      </c>
      <c r="T67" s="72">
        <f>T66+(T66*0.5*(K29/12-1))</f>
        <v>0.01</v>
      </c>
      <c r="U67" s="28"/>
      <c r="V67" s="28"/>
      <c r="W67" s="21"/>
      <c r="X67" s="21"/>
      <c r="Y67" s="21"/>
      <c r="Z67" s="29"/>
      <c r="AB67" s="27" t="s">
        <v>104</v>
      </c>
      <c r="AC67" s="72">
        <f>AC66+(AC66*0.5*(K29/12-1))</f>
        <v>0.01</v>
      </c>
      <c r="AD67" s="28"/>
      <c r="AE67" s="28"/>
      <c r="AF67" s="21"/>
      <c r="AG67" s="21"/>
      <c r="AH67" s="21"/>
      <c r="AI67" s="29"/>
    </row>
    <row r="68" spans="1:35">
      <c r="A68" s="49" t="s">
        <v>105</v>
      </c>
      <c r="B68" s="57">
        <f>(G158*B67)</f>
        <v>573.44999999999993</v>
      </c>
      <c r="C68" s="28"/>
      <c r="D68" s="28"/>
      <c r="E68" s="21"/>
      <c r="F68" s="21"/>
      <c r="G68" s="21"/>
      <c r="H68" s="29"/>
      <c r="J68" s="49" t="s">
        <v>105</v>
      </c>
      <c r="K68" s="57">
        <f>K61*K67</f>
        <v>3039.4500000000003</v>
      </c>
      <c r="L68" s="28"/>
      <c r="M68" s="28"/>
      <c r="N68" s="21"/>
      <c r="O68" s="21"/>
      <c r="P68" s="21"/>
      <c r="Q68" s="29"/>
      <c r="S68" s="49" t="s">
        <v>105</v>
      </c>
      <c r="T68" s="57">
        <f>T61*T67</f>
        <v>405.26</v>
      </c>
      <c r="U68" s="28"/>
      <c r="V68" s="28"/>
      <c r="W68" s="21"/>
      <c r="X68" s="21"/>
      <c r="Y68" s="21"/>
      <c r="Z68" s="29"/>
      <c r="AB68" s="49" t="s">
        <v>105</v>
      </c>
      <c r="AC68" s="57" t="e">
        <f>AH158*AC67</f>
        <v>#VALUE!</v>
      </c>
      <c r="AD68" s="28"/>
      <c r="AE68" s="28"/>
      <c r="AF68" s="21"/>
      <c r="AG68" s="21"/>
      <c r="AH68" s="21"/>
      <c r="AI68" s="29"/>
    </row>
    <row r="69" spans="1:35">
      <c r="A69" s="66" t="s">
        <v>106</v>
      </c>
      <c r="B69" s="67">
        <v>0</v>
      </c>
      <c r="C69" s="28"/>
      <c r="D69" s="28"/>
      <c r="E69" s="21"/>
      <c r="F69" s="21"/>
      <c r="G69" s="21"/>
      <c r="H69" s="29"/>
      <c r="J69" s="66" t="s">
        <v>106</v>
      </c>
      <c r="K69" s="67">
        <v>0</v>
      </c>
      <c r="L69" s="28"/>
      <c r="M69" s="28"/>
      <c r="N69" s="21"/>
      <c r="O69" s="21"/>
      <c r="P69" s="21"/>
      <c r="Q69" s="29"/>
      <c r="S69" s="66" t="s">
        <v>106</v>
      </c>
      <c r="T69" s="67">
        <v>0</v>
      </c>
      <c r="U69" s="28"/>
      <c r="V69" s="28"/>
      <c r="W69" s="21"/>
      <c r="X69" s="21"/>
      <c r="Y69" s="21"/>
      <c r="Z69" s="29"/>
      <c r="AB69" s="66" t="s">
        <v>106</v>
      </c>
      <c r="AC69" s="67">
        <v>0</v>
      </c>
      <c r="AD69" s="28"/>
      <c r="AE69" s="28"/>
      <c r="AF69" s="21"/>
      <c r="AG69" s="21"/>
      <c r="AH69" s="21"/>
      <c r="AI69" s="29"/>
    </row>
    <row r="70" spans="1:35">
      <c r="A70" s="68" t="s">
        <v>107</v>
      </c>
      <c r="B70" s="69">
        <v>0</v>
      </c>
      <c r="C70" s="28"/>
      <c r="D70" s="28"/>
      <c r="E70" s="21"/>
      <c r="F70" s="21"/>
      <c r="G70" s="21"/>
      <c r="H70" s="29"/>
      <c r="J70" s="68" t="s">
        <v>107</v>
      </c>
      <c r="K70" s="69">
        <v>0</v>
      </c>
      <c r="L70" s="28"/>
      <c r="M70" s="28"/>
      <c r="N70" s="21"/>
      <c r="O70" s="21"/>
      <c r="P70" s="21"/>
      <c r="Q70" s="29"/>
      <c r="S70" s="68" t="s">
        <v>107</v>
      </c>
      <c r="T70" s="69">
        <v>0</v>
      </c>
      <c r="U70" s="28"/>
      <c r="V70" s="28"/>
      <c r="W70" s="21"/>
      <c r="X70" s="21"/>
      <c r="Y70" s="21"/>
      <c r="Z70" s="29"/>
      <c r="AB70" s="68" t="s">
        <v>107</v>
      </c>
      <c r="AC70" s="69">
        <v>0</v>
      </c>
      <c r="AD70" s="28"/>
      <c r="AE70" s="28"/>
      <c r="AF70" s="21"/>
      <c r="AG70" s="21"/>
      <c r="AH70" s="21"/>
      <c r="AI70" s="29"/>
    </row>
    <row r="71" spans="1:35">
      <c r="A71" s="49" t="s">
        <v>108</v>
      </c>
      <c r="B71" s="73">
        <f>B69*(1+B70)</f>
        <v>0</v>
      </c>
      <c r="C71" s="28"/>
      <c r="D71" s="28"/>
      <c r="E71" s="21"/>
      <c r="F71" s="21"/>
      <c r="G71" s="21"/>
      <c r="H71" s="29"/>
      <c r="J71" s="49" t="s">
        <v>108</v>
      </c>
      <c r="K71" s="73">
        <f>K69*(1+K70)</f>
        <v>0</v>
      </c>
      <c r="L71" s="28"/>
      <c r="M71" s="28"/>
      <c r="N71" s="21"/>
      <c r="O71" s="21"/>
      <c r="P71" s="21"/>
      <c r="Q71" s="29"/>
      <c r="S71" s="49" t="s">
        <v>108</v>
      </c>
      <c r="T71" s="73">
        <f>T69*(1+T70)</f>
        <v>0</v>
      </c>
      <c r="U71" s="28"/>
      <c r="V71" s="28"/>
      <c r="W71" s="21"/>
      <c r="X71" s="21"/>
      <c r="Y71" s="21"/>
      <c r="Z71" s="29"/>
      <c r="AB71" s="49" t="s">
        <v>108</v>
      </c>
      <c r="AC71" s="73">
        <f>AC69*(1+AC70)</f>
        <v>0</v>
      </c>
      <c r="AD71" s="28"/>
      <c r="AE71" s="28"/>
      <c r="AF71" s="21"/>
      <c r="AG71" s="21"/>
      <c r="AH71" s="21"/>
      <c r="AI71" s="29"/>
    </row>
    <row r="72" spans="1:35">
      <c r="A72" s="66" t="s">
        <v>109</v>
      </c>
      <c r="B72" s="74">
        <v>0</v>
      </c>
      <c r="C72" s="28"/>
      <c r="D72" s="28"/>
      <c r="E72" s="21"/>
      <c r="F72" s="21"/>
      <c r="G72" s="21"/>
      <c r="H72" s="29"/>
      <c r="J72" s="66" t="s">
        <v>109</v>
      </c>
      <c r="K72" s="74">
        <v>0</v>
      </c>
      <c r="L72" s="28"/>
      <c r="M72" s="28"/>
      <c r="N72" s="21"/>
      <c r="O72" s="21"/>
      <c r="P72" s="21"/>
      <c r="Q72" s="29"/>
      <c r="S72" s="66" t="s">
        <v>109</v>
      </c>
      <c r="T72" s="74">
        <v>0</v>
      </c>
      <c r="U72" s="28"/>
      <c r="V72" s="28"/>
      <c r="W72" s="21"/>
      <c r="X72" s="21"/>
      <c r="Y72" s="21"/>
      <c r="Z72" s="29"/>
      <c r="AB72" s="66" t="s">
        <v>109</v>
      </c>
      <c r="AC72" s="74">
        <v>0</v>
      </c>
      <c r="AD72" s="28"/>
      <c r="AE72" s="28"/>
      <c r="AF72" s="21"/>
      <c r="AG72" s="21"/>
      <c r="AH72" s="21"/>
      <c r="AI72" s="29"/>
    </row>
    <row r="73" spans="1:35">
      <c r="A73" s="68" t="s">
        <v>110</v>
      </c>
      <c r="B73" s="65">
        <v>0</v>
      </c>
      <c r="C73" s="28"/>
      <c r="D73" s="28"/>
      <c r="E73" s="21"/>
      <c r="F73" s="21"/>
      <c r="G73" s="21"/>
      <c r="H73" s="29"/>
      <c r="J73" s="68" t="s">
        <v>110</v>
      </c>
      <c r="K73" s="65">
        <v>0</v>
      </c>
      <c r="L73" s="28"/>
      <c r="M73" s="28"/>
      <c r="N73" s="21"/>
      <c r="O73" s="21"/>
      <c r="P73" s="21"/>
      <c r="Q73" s="29"/>
      <c r="S73" s="68" t="s">
        <v>110</v>
      </c>
      <c r="T73" s="65">
        <v>0</v>
      </c>
      <c r="U73" s="28"/>
      <c r="V73" s="28"/>
      <c r="W73" s="21"/>
      <c r="X73" s="21"/>
      <c r="Y73" s="21"/>
      <c r="Z73" s="29"/>
      <c r="AB73" s="68" t="s">
        <v>110</v>
      </c>
      <c r="AC73" s="65">
        <v>0</v>
      </c>
      <c r="AD73" s="28"/>
      <c r="AE73" s="28"/>
      <c r="AF73" s="21"/>
      <c r="AG73" s="21"/>
      <c r="AH73" s="21"/>
      <c r="AI73" s="29"/>
    </row>
    <row r="74" spans="1:35">
      <c r="A74" s="49" t="s">
        <v>111</v>
      </c>
      <c r="B74" s="57">
        <f>B73*K29</f>
        <v>0</v>
      </c>
      <c r="C74" s="28"/>
      <c r="D74" s="28">
        <f>B74+B72</f>
        <v>0</v>
      </c>
      <c r="E74" s="21"/>
      <c r="F74" s="21"/>
      <c r="G74" s="21"/>
      <c r="H74" s="29"/>
      <c r="J74" s="49" t="s">
        <v>111</v>
      </c>
      <c r="K74" s="57">
        <f>K73*K29</f>
        <v>0</v>
      </c>
      <c r="L74" s="28"/>
      <c r="M74" s="28">
        <f>K74+K72</f>
        <v>0</v>
      </c>
      <c r="N74" s="21"/>
      <c r="O74" s="21"/>
      <c r="P74" s="21"/>
      <c r="Q74" s="29"/>
      <c r="S74" s="49" t="s">
        <v>111</v>
      </c>
      <c r="T74" s="57">
        <f>T73*K29</f>
        <v>0</v>
      </c>
      <c r="U74" s="28"/>
      <c r="V74" s="28">
        <f>T74+T72</f>
        <v>0</v>
      </c>
      <c r="W74" s="21"/>
      <c r="X74" s="21"/>
      <c r="Y74" s="21"/>
      <c r="Z74" s="29"/>
      <c r="AB74" s="49" t="s">
        <v>111</v>
      </c>
      <c r="AC74" s="57">
        <f>AC73*K29</f>
        <v>0</v>
      </c>
      <c r="AD74" s="28"/>
      <c r="AE74" s="28">
        <f>AC74+AC72</f>
        <v>0</v>
      </c>
      <c r="AF74" s="21"/>
      <c r="AG74" s="21"/>
      <c r="AH74" s="21"/>
      <c r="AI74" s="29"/>
    </row>
    <row r="75" spans="1:35">
      <c r="A75" s="68" t="s">
        <v>112</v>
      </c>
      <c r="B75" s="65">
        <v>0</v>
      </c>
      <c r="C75" s="28"/>
      <c r="D75" s="28">
        <f>B75</f>
        <v>0</v>
      </c>
      <c r="E75" s="21"/>
      <c r="F75" s="21"/>
      <c r="G75" s="21"/>
      <c r="H75" s="29"/>
      <c r="J75" s="68" t="s">
        <v>112</v>
      </c>
      <c r="K75" s="65">
        <v>0</v>
      </c>
      <c r="L75" s="28"/>
      <c r="M75" s="28">
        <f>K75</f>
        <v>0</v>
      </c>
      <c r="N75" s="21"/>
      <c r="O75" s="21"/>
      <c r="P75" s="21"/>
      <c r="Q75" s="29"/>
      <c r="S75" s="68" t="s">
        <v>112</v>
      </c>
      <c r="T75" s="65">
        <v>0</v>
      </c>
      <c r="U75" s="28"/>
      <c r="V75" s="28">
        <f>T75</f>
        <v>0</v>
      </c>
      <c r="W75" s="21"/>
      <c r="X75" s="21"/>
      <c r="Y75" s="21"/>
      <c r="Z75" s="29"/>
      <c r="AB75" s="68" t="s">
        <v>112</v>
      </c>
      <c r="AC75" s="65">
        <v>0</v>
      </c>
      <c r="AD75" s="28"/>
      <c r="AE75" s="28">
        <f>AC75</f>
        <v>0</v>
      </c>
      <c r="AF75" s="21"/>
      <c r="AG75" s="21"/>
      <c r="AH75" s="21"/>
      <c r="AI75" s="29"/>
    </row>
    <row r="76" spans="1:35">
      <c r="A76" s="70" t="s">
        <v>113</v>
      </c>
      <c r="B76" s="75">
        <v>0</v>
      </c>
      <c r="C76" s="28"/>
      <c r="D76" s="28">
        <f>B76</f>
        <v>0</v>
      </c>
      <c r="E76" s="21"/>
      <c r="F76" s="28"/>
      <c r="G76" s="21"/>
      <c r="H76" s="29"/>
      <c r="J76" s="70" t="s">
        <v>113</v>
      </c>
      <c r="K76" s="75">
        <v>0</v>
      </c>
      <c r="L76" s="28"/>
      <c r="M76" s="28">
        <f>K76</f>
        <v>0</v>
      </c>
      <c r="N76" s="21"/>
      <c r="O76" s="21"/>
      <c r="P76" s="21"/>
      <c r="Q76" s="29"/>
      <c r="S76" s="70" t="s">
        <v>113</v>
      </c>
      <c r="T76" s="75">
        <v>0</v>
      </c>
      <c r="U76" s="28"/>
      <c r="V76" s="28">
        <f>T76</f>
        <v>0</v>
      </c>
      <c r="W76" s="21"/>
      <c r="X76" s="21"/>
      <c r="Y76" s="21"/>
      <c r="Z76" s="29"/>
      <c r="AB76" s="70" t="s">
        <v>113</v>
      </c>
      <c r="AC76" s="75">
        <v>0</v>
      </c>
      <c r="AD76" s="28"/>
      <c r="AE76" s="28">
        <f>AC76</f>
        <v>0</v>
      </c>
      <c r="AF76" s="21"/>
      <c r="AG76" s="21"/>
      <c r="AH76" s="21"/>
      <c r="AI76" s="29"/>
    </row>
    <row r="77" spans="1:35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  <c r="J77" s="76" t="s">
        <v>114</v>
      </c>
      <c r="K77" s="77">
        <f>SUM(M65:M76)</f>
        <v>0</v>
      </c>
      <c r="L77" s="28"/>
      <c r="M77" s="28"/>
      <c r="N77" s="21"/>
      <c r="O77" s="21"/>
      <c r="P77" s="21"/>
      <c r="Q77" s="29"/>
      <c r="S77" s="76" t="s">
        <v>114</v>
      </c>
      <c r="T77" s="77">
        <f>SUM(V65:V76)</f>
        <v>0</v>
      </c>
      <c r="U77" s="28"/>
      <c r="V77" s="28"/>
      <c r="W77" s="21"/>
      <c r="X77" s="21"/>
      <c r="Y77" s="21"/>
      <c r="Z77" s="29"/>
      <c r="AB77" s="76" t="s">
        <v>114</v>
      </c>
      <c r="AC77" s="77">
        <f>SUM(AE65:AE76)</f>
        <v>0</v>
      </c>
      <c r="AD77" s="28"/>
      <c r="AE77" s="28"/>
      <c r="AF77" s="21"/>
      <c r="AG77" s="21"/>
      <c r="AH77" s="21"/>
      <c r="AI77" s="29"/>
    </row>
    <row r="78" spans="1:35">
      <c r="A78" s="27" t="s">
        <v>115</v>
      </c>
      <c r="B78" s="29">
        <f>B77/K29</f>
        <v>0</v>
      </c>
      <c r="C78" s="28"/>
      <c r="D78" s="28"/>
      <c r="E78" s="21"/>
      <c r="F78" s="21"/>
      <c r="G78" s="21"/>
      <c r="H78" s="29"/>
      <c r="J78" s="27" t="s">
        <v>115</v>
      </c>
      <c r="K78" s="29">
        <f>K77/K29</f>
        <v>0</v>
      </c>
      <c r="L78" s="28"/>
      <c r="M78" s="28"/>
      <c r="N78" s="21"/>
      <c r="O78" s="21"/>
      <c r="P78" s="21"/>
      <c r="Q78" s="29"/>
      <c r="S78" s="27" t="s">
        <v>115</v>
      </c>
      <c r="T78" s="29">
        <f>T77/K29</f>
        <v>0</v>
      </c>
      <c r="U78" s="28"/>
      <c r="V78" s="28"/>
      <c r="W78" s="21"/>
      <c r="X78" s="21"/>
      <c r="Y78" s="21"/>
      <c r="Z78" s="29"/>
      <c r="AB78" s="27" t="s">
        <v>115</v>
      </c>
      <c r="AC78" s="29">
        <f>AC77/K29</f>
        <v>0</v>
      </c>
      <c r="AD78" s="28"/>
      <c r="AE78" s="28"/>
      <c r="AF78" s="21"/>
      <c r="AG78" s="21"/>
      <c r="AH78" s="21"/>
      <c r="AI78" s="29"/>
    </row>
    <row r="79" spans="1:35">
      <c r="A79" s="78" t="s">
        <v>116</v>
      </c>
      <c r="B79" s="52">
        <f>K47</f>
        <v>442.57161881334042</v>
      </c>
      <c r="C79" s="28"/>
      <c r="D79" s="28"/>
      <c r="E79" s="21"/>
      <c r="F79" s="21"/>
      <c r="G79" s="21"/>
      <c r="H79" s="29"/>
      <c r="J79" s="78" t="s">
        <v>116</v>
      </c>
      <c r="K79" s="52">
        <f>K47</f>
        <v>442.57161881334042</v>
      </c>
      <c r="L79" s="28"/>
      <c r="M79" s="28"/>
      <c r="N79" s="21"/>
      <c r="O79" s="21"/>
      <c r="P79" s="21"/>
      <c r="Q79" s="29"/>
      <c r="S79" s="78" t="s">
        <v>116</v>
      </c>
      <c r="T79" s="52">
        <f>B52</f>
        <v>442.57161881334042</v>
      </c>
      <c r="U79" s="28"/>
      <c r="V79" s="28"/>
      <c r="W79" s="21"/>
      <c r="X79" s="21"/>
      <c r="Y79" s="21"/>
      <c r="Z79" s="29"/>
      <c r="AB79" s="78" t="s">
        <v>116</v>
      </c>
      <c r="AC79" s="52">
        <f>B52</f>
        <v>442.57161881334042</v>
      </c>
      <c r="AD79" s="28"/>
      <c r="AE79" s="28"/>
      <c r="AF79" s="21"/>
      <c r="AG79" s="21"/>
      <c r="AH79" s="21"/>
      <c r="AI79" s="29"/>
    </row>
    <row r="80" spans="1:35">
      <c r="A80" s="27"/>
      <c r="B80" s="28"/>
      <c r="C80" s="28"/>
      <c r="D80" s="28"/>
      <c r="E80" s="21"/>
      <c r="F80" s="21"/>
      <c r="G80" s="21"/>
      <c r="H80" s="29"/>
      <c r="J80" s="27"/>
      <c r="K80" s="28"/>
      <c r="L80" s="28"/>
      <c r="M80" s="28"/>
      <c r="N80" s="21"/>
      <c r="O80" s="21"/>
      <c r="P80" s="21"/>
      <c r="Q80" s="29"/>
      <c r="S80" s="27"/>
      <c r="T80" s="28"/>
      <c r="U80" s="28"/>
      <c r="V80" s="28"/>
      <c r="W80" s="21"/>
      <c r="X80" s="21"/>
      <c r="Y80" s="21"/>
      <c r="Z80" s="29"/>
      <c r="AB80" s="27"/>
      <c r="AC80" s="28"/>
      <c r="AD80" s="28"/>
      <c r="AE80" s="28"/>
      <c r="AF80" s="21"/>
      <c r="AG80" s="21"/>
      <c r="AH80" s="21"/>
      <c r="AI80" s="29"/>
    </row>
    <row r="81" spans="1:35">
      <c r="A81" s="22" t="s">
        <v>117</v>
      </c>
      <c r="B81" s="24">
        <f>G158</f>
        <v>19115</v>
      </c>
      <c r="C81" s="28"/>
      <c r="D81" s="28"/>
      <c r="E81" s="21"/>
      <c r="F81" s="22" t="s">
        <v>117</v>
      </c>
      <c r="G81" s="24">
        <f>G158</f>
        <v>19115</v>
      </c>
      <c r="H81" s="29"/>
      <c r="J81" s="22" t="s">
        <v>117</v>
      </c>
      <c r="K81" s="24" t="e">
        <f>P158</f>
        <v>#VALUE!</v>
      </c>
      <c r="L81" s="28"/>
      <c r="M81" s="28"/>
      <c r="N81" s="21"/>
      <c r="O81" s="21"/>
      <c r="P81" s="21"/>
      <c r="Q81" s="29"/>
      <c r="S81" s="22" t="s">
        <v>117</v>
      </c>
      <c r="T81" s="24" t="e">
        <f>Y158</f>
        <v>#VALUE!</v>
      </c>
      <c r="U81" s="28"/>
      <c r="V81" s="28"/>
      <c r="W81" s="21"/>
      <c r="X81" s="21"/>
      <c r="Y81" s="21"/>
      <c r="Z81" s="29"/>
      <c r="AB81" s="22" t="s">
        <v>117</v>
      </c>
      <c r="AC81" s="24" t="e">
        <f>AH158</f>
        <v>#VALUE!</v>
      </c>
      <c r="AD81" s="28"/>
      <c r="AE81" s="28"/>
      <c r="AF81" s="21"/>
      <c r="AG81" s="21"/>
      <c r="AH81" s="21"/>
      <c r="AI81" s="29"/>
    </row>
    <row r="82" spans="1:35">
      <c r="A82" s="27" t="s">
        <v>118</v>
      </c>
      <c r="B82" s="29">
        <f>IF(A111="YES",A40,0)</f>
        <v>0</v>
      </c>
      <c r="C82" s="28"/>
      <c r="D82" s="28"/>
      <c r="E82" s="21"/>
      <c r="F82" s="27" t="s">
        <v>118</v>
      </c>
      <c r="G82" s="29">
        <f>IF(A111="YES",A40,0)</f>
        <v>0</v>
      </c>
      <c r="H82" s="29"/>
      <c r="J82" s="27" t="s">
        <v>118</v>
      </c>
      <c r="K82" s="29">
        <f>IF(J111="YES",A40,0)</f>
        <v>0</v>
      </c>
      <c r="L82" s="28"/>
      <c r="M82" s="28"/>
      <c r="N82" s="21"/>
      <c r="O82" s="21"/>
      <c r="P82" s="21"/>
      <c r="Q82" s="29"/>
      <c r="S82" s="27" t="s">
        <v>118</v>
      </c>
      <c r="T82" s="29">
        <f>A40</f>
        <v>0</v>
      </c>
      <c r="U82" s="28"/>
      <c r="V82" s="28"/>
      <c r="W82" s="21"/>
      <c r="X82" s="21"/>
      <c r="Y82" s="21"/>
      <c r="Z82" s="29"/>
      <c r="AB82" s="27" t="s">
        <v>118</v>
      </c>
      <c r="AC82" s="29">
        <f>A40</f>
        <v>0</v>
      </c>
      <c r="AD82" s="28"/>
      <c r="AE82" s="28"/>
      <c r="AF82" s="21"/>
      <c r="AG82" s="21"/>
      <c r="AH82" s="21"/>
      <c r="AI82" s="29"/>
    </row>
    <row r="83" spans="1:35">
      <c r="A83" s="27" t="s">
        <v>119</v>
      </c>
      <c r="B83" s="79">
        <f>B62+B63+B64</f>
        <v>0.12000000000000001</v>
      </c>
      <c r="C83" s="28"/>
      <c r="D83" s="28"/>
      <c r="E83" s="21"/>
      <c r="F83" s="27" t="s">
        <v>119</v>
      </c>
      <c r="G83" s="79">
        <f>B63</f>
        <v>7.0000000000000007E-2</v>
      </c>
      <c r="H83" s="29"/>
      <c r="J83" s="27" t="s">
        <v>119</v>
      </c>
      <c r="K83" s="72">
        <f>K62+K63+K64</f>
        <v>0.24000000000000002</v>
      </c>
      <c r="L83" s="28"/>
      <c r="M83" s="28"/>
      <c r="N83" s="21"/>
      <c r="O83" s="21"/>
      <c r="P83" s="21"/>
      <c r="Q83" s="29"/>
      <c r="S83" s="27" t="s">
        <v>119</v>
      </c>
      <c r="T83" s="72">
        <f>T62+T63+T64</f>
        <v>0.13100000000000001</v>
      </c>
      <c r="U83" s="28"/>
      <c r="V83" s="28"/>
      <c r="W83" s="21"/>
      <c r="X83" s="21"/>
      <c r="Y83" s="21"/>
      <c r="Z83" s="29"/>
      <c r="AB83" s="27" t="s">
        <v>119</v>
      </c>
      <c r="AC83" s="72">
        <f>AC62+AC63+AC64</f>
        <v>0.13100000000000001</v>
      </c>
      <c r="AD83" s="28"/>
      <c r="AE83" s="28"/>
      <c r="AF83" s="21"/>
      <c r="AG83" s="21"/>
      <c r="AH83" s="21"/>
      <c r="AI83" s="29"/>
    </row>
    <row r="84" spans="1:35">
      <c r="A84" s="27" t="s">
        <v>120</v>
      </c>
      <c r="B84" s="72">
        <f>B83/12</f>
        <v>0.01</v>
      </c>
      <c r="C84" s="28"/>
      <c r="D84" s="28"/>
      <c r="E84" s="21"/>
      <c r="F84" s="27" t="s">
        <v>120</v>
      </c>
      <c r="G84" s="72">
        <f>G83/12</f>
        <v>5.8333333333333336E-3</v>
      </c>
      <c r="H84" s="29"/>
      <c r="J84" s="27" t="s">
        <v>120</v>
      </c>
      <c r="K84" s="72">
        <f>K83/12</f>
        <v>0.02</v>
      </c>
      <c r="L84" s="28"/>
      <c r="M84" s="28"/>
      <c r="N84" s="21"/>
      <c r="O84" s="21"/>
      <c r="P84" s="21"/>
      <c r="Q84" s="29"/>
      <c r="S84" s="27" t="s">
        <v>120</v>
      </c>
      <c r="T84" s="72">
        <f>T83/12</f>
        <v>1.0916666666666667E-2</v>
      </c>
      <c r="U84" s="28"/>
      <c r="V84" s="28"/>
      <c r="W84" s="21"/>
      <c r="X84" s="21"/>
      <c r="Y84" s="21"/>
      <c r="Z84" s="29"/>
      <c r="AB84" s="27" t="s">
        <v>120</v>
      </c>
      <c r="AC84" s="72">
        <f>AC83/12</f>
        <v>1.0916666666666667E-2</v>
      </c>
      <c r="AD84" s="28"/>
      <c r="AE84" s="28"/>
      <c r="AF84" s="21"/>
      <c r="AG84" s="21"/>
      <c r="AH84" s="21"/>
      <c r="AI84" s="29"/>
    </row>
    <row r="85" spans="1:35">
      <c r="A85" s="27" t="s">
        <v>121</v>
      </c>
      <c r="B85" s="29">
        <f>IF(B82=0,(B59+B58),(B59))</f>
        <v>36</v>
      </c>
      <c r="C85" s="28"/>
      <c r="D85" s="28"/>
      <c r="E85" s="21"/>
      <c r="F85" s="27" t="s">
        <v>121</v>
      </c>
      <c r="G85" s="29">
        <f>IF(G82=0,(B59+B58),(B59))</f>
        <v>36</v>
      </c>
      <c r="H85" s="29"/>
      <c r="J85" s="27" t="s">
        <v>121</v>
      </c>
      <c r="K85" s="29">
        <f>IF(K82=0,(K59+K58),(K59))</f>
        <v>36</v>
      </c>
      <c r="L85" s="28"/>
      <c r="M85" s="28"/>
      <c r="N85" s="21"/>
      <c r="O85" s="21"/>
      <c r="P85" s="21"/>
      <c r="Q85" s="29"/>
      <c r="S85" s="27" t="s">
        <v>121</v>
      </c>
      <c r="T85" s="29">
        <f>T59</f>
        <v>35</v>
      </c>
      <c r="U85" s="28"/>
      <c r="V85" s="28"/>
      <c r="W85" s="21"/>
      <c r="X85" s="21"/>
      <c r="Y85" s="21"/>
      <c r="Z85" s="29"/>
      <c r="AB85" s="27" t="s">
        <v>121</v>
      </c>
      <c r="AC85" s="29">
        <f>AC59</f>
        <v>35</v>
      </c>
      <c r="AD85" s="28"/>
      <c r="AE85" s="28"/>
      <c r="AF85" s="21"/>
      <c r="AG85" s="21"/>
      <c r="AH85" s="21"/>
      <c r="AI85" s="29"/>
    </row>
    <row r="86" spans="1:35">
      <c r="A86" s="27" t="s">
        <v>122</v>
      </c>
      <c r="B86" s="29">
        <f>(B82/((1+B84)^(B85+1)))</f>
        <v>0</v>
      </c>
      <c r="C86" s="28"/>
      <c r="D86" s="28"/>
      <c r="E86" s="21"/>
      <c r="F86" s="27" t="s">
        <v>122</v>
      </c>
      <c r="G86" s="29">
        <f>(G82/((1+G84)^(G85+1)))</f>
        <v>0</v>
      </c>
      <c r="H86" s="29"/>
      <c r="J86" s="27" t="s">
        <v>122</v>
      </c>
      <c r="K86" s="29">
        <f>(K82/((1+K84)^(K85+1)))</f>
        <v>0</v>
      </c>
      <c r="L86" s="28"/>
      <c r="M86" s="28"/>
      <c r="N86" s="21"/>
      <c r="O86" s="21"/>
      <c r="P86" s="21"/>
      <c r="Q86" s="29"/>
      <c r="S86" s="27" t="s">
        <v>122</v>
      </c>
      <c r="T86" s="29">
        <f>(T82/((1+T84)^(T85+1)))</f>
        <v>0</v>
      </c>
      <c r="U86" s="28"/>
      <c r="V86" s="28"/>
      <c r="W86" s="21"/>
      <c r="X86" s="21"/>
      <c r="Y86" s="21"/>
      <c r="Z86" s="29"/>
      <c r="AB86" s="27" t="s">
        <v>122</v>
      </c>
      <c r="AC86" s="29">
        <f>(AC82/((1+AC84)^(AC85+1)))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123</v>
      </c>
      <c r="B87" s="29">
        <f>((1-(1/((1+B84)^B85)))/B84)</f>
        <v>30.10750503727413</v>
      </c>
      <c r="C87" s="28"/>
      <c r="D87" s="28"/>
      <c r="E87" s="21"/>
      <c r="F87" s="27" t="s">
        <v>123</v>
      </c>
      <c r="G87" s="29">
        <f>((1-(1/((1+G84)^G85)))/G84)</f>
        <v>32.386464451633181</v>
      </c>
      <c r="H87" s="29"/>
      <c r="J87" s="27" t="s">
        <v>123</v>
      </c>
      <c r="K87" s="29">
        <f>((1-(1/((1+K84)^K85)))/K84)</f>
        <v>25.488842482387387</v>
      </c>
      <c r="L87" s="28"/>
      <c r="M87" s="28"/>
      <c r="N87" s="21"/>
      <c r="O87" s="21"/>
      <c r="P87" s="21"/>
      <c r="Q87" s="29"/>
      <c r="S87" s="27" t="s">
        <v>123</v>
      </c>
      <c r="T87" s="29">
        <f>((1-(1/((1+T84)^T85)))/T84)</f>
        <v>28.960065194107752</v>
      </c>
      <c r="U87" s="28"/>
      <c r="V87" s="28"/>
      <c r="W87" s="21"/>
      <c r="X87" s="21"/>
      <c r="Y87" s="21"/>
      <c r="Z87" s="29"/>
      <c r="AB87" s="27" t="s">
        <v>123</v>
      </c>
      <c r="AC87" s="29">
        <f>((1-(1/((1+AC84)^AC85)))/AC84)</f>
        <v>28.960065194107752</v>
      </c>
      <c r="AD87" s="28"/>
      <c r="AE87" s="28"/>
      <c r="AF87" s="21"/>
      <c r="AG87" s="21"/>
      <c r="AH87" s="21"/>
      <c r="AI87" s="29"/>
    </row>
    <row r="88" spans="1:35">
      <c r="A88" s="27" t="s">
        <v>124</v>
      </c>
      <c r="B88" s="29">
        <f>B81-B86</f>
        <v>19115</v>
      </c>
      <c r="C88" s="28"/>
      <c r="D88" s="28"/>
      <c r="E88" s="21"/>
      <c r="F88" s="27" t="s">
        <v>124</v>
      </c>
      <c r="G88" s="29">
        <f>G81-G86</f>
        <v>19115</v>
      </c>
      <c r="H88" s="29"/>
      <c r="J88" s="27" t="s">
        <v>124</v>
      </c>
      <c r="K88" s="29" t="e">
        <f>K81-K86</f>
        <v>#VALUE!</v>
      </c>
      <c r="L88" s="28"/>
      <c r="M88" s="28"/>
      <c r="N88" s="21"/>
      <c r="O88" s="21"/>
      <c r="P88" s="21"/>
      <c r="Q88" s="29"/>
      <c r="S88" s="27" t="s">
        <v>124</v>
      </c>
      <c r="T88" s="29" t="e">
        <f>T81-T86</f>
        <v>#VALUE!</v>
      </c>
      <c r="U88" s="28"/>
      <c r="V88" s="28"/>
      <c r="W88" s="21"/>
      <c r="X88" s="21"/>
      <c r="Y88" s="21"/>
      <c r="Z88" s="29"/>
      <c r="AB88" s="27" t="s">
        <v>124</v>
      </c>
      <c r="AC88" s="29" t="e">
        <f>AC81-AC86</f>
        <v>#VALUE!</v>
      </c>
      <c r="AD88" s="28"/>
      <c r="AE88" s="28"/>
      <c r="AF88" s="21"/>
      <c r="AG88" s="21"/>
      <c r="AH88" s="21"/>
      <c r="AI88" s="29"/>
    </row>
    <row r="89" spans="1:35">
      <c r="A89" s="27" t="s">
        <v>125</v>
      </c>
      <c r="B89" s="29">
        <f>(B88/B87)</f>
        <v>634.89153207264997</v>
      </c>
      <c r="C89" s="28"/>
      <c r="D89" s="28"/>
      <c r="E89" s="21"/>
      <c r="F89" s="27" t="s">
        <v>125</v>
      </c>
      <c r="G89" s="29">
        <f>(G88/G87)</f>
        <v>590.21570658158305</v>
      </c>
      <c r="H89" s="29"/>
      <c r="J89" s="27" t="s">
        <v>125</v>
      </c>
      <c r="K89" s="29" t="e">
        <f>(K88/K87)</f>
        <v>#VALUE!</v>
      </c>
      <c r="L89" s="28"/>
      <c r="M89" s="28"/>
      <c r="N89" s="21"/>
      <c r="O89" s="21"/>
      <c r="P89" s="21"/>
      <c r="Q89" s="29"/>
      <c r="S89" s="27" t="s">
        <v>125</v>
      </c>
      <c r="T89" s="29" t="e">
        <f>(T88/T87)</f>
        <v>#VALUE!</v>
      </c>
      <c r="U89" s="28"/>
      <c r="V89" s="28"/>
      <c r="W89" s="21"/>
      <c r="X89" s="21"/>
      <c r="Y89" s="21"/>
      <c r="Z89" s="29"/>
      <c r="AB89" s="27" t="s">
        <v>125</v>
      </c>
      <c r="AC89" s="29" t="e">
        <f>(AC88/AC87)</f>
        <v>#VALUE!</v>
      </c>
      <c r="AD89" s="28"/>
      <c r="AE89" s="28"/>
      <c r="AF89" s="21"/>
      <c r="AG89" s="21"/>
      <c r="AH89" s="21"/>
      <c r="AI89" s="29"/>
    </row>
    <row r="90" spans="1:35">
      <c r="A90" s="27" t="s">
        <v>126</v>
      </c>
      <c r="B90" s="29">
        <f>((B89*(B85))+B77)</f>
        <v>22856.095154615399</v>
      </c>
      <c r="C90" s="28"/>
      <c r="D90" s="28"/>
      <c r="E90" s="21"/>
      <c r="F90" s="27" t="s">
        <v>126</v>
      </c>
      <c r="G90" s="29">
        <f>((G89*(G85))+G77)</f>
        <v>21247.765436936988</v>
      </c>
      <c r="H90" s="29"/>
      <c r="J90" s="27" t="s">
        <v>126</v>
      </c>
      <c r="K90" s="29" t="e">
        <f>((K89*(K85))+K77)</f>
        <v>#VALUE!</v>
      </c>
      <c r="L90" s="28"/>
      <c r="M90" s="28"/>
      <c r="N90" s="21"/>
      <c r="O90" s="21"/>
      <c r="P90" s="21"/>
      <c r="Q90" s="29"/>
      <c r="S90" s="27" t="s">
        <v>126</v>
      </c>
      <c r="T90" s="29" t="e">
        <f>(T89*(T85))+T77</f>
        <v>#VALUE!</v>
      </c>
      <c r="U90" s="28"/>
      <c r="V90" s="28"/>
      <c r="W90" s="21"/>
      <c r="X90" s="21"/>
      <c r="Y90" s="21"/>
      <c r="Z90" s="29"/>
      <c r="AB90" s="27" t="s">
        <v>126</v>
      </c>
      <c r="AC90" s="29" t="e">
        <f>(AC89*(AC59))+AC77</f>
        <v>#VALUE!</v>
      </c>
      <c r="AD90" s="28"/>
      <c r="AE90" s="28"/>
      <c r="AF90" s="21"/>
      <c r="AG90" s="21"/>
      <c r="AH90" s="21"/>
      <c r="AI90" s="29"/>
    </row>
    <row r="91" spans="1:35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  <c r="J91" s="27" t="s">
        <v>127</v>
      </c>
      <c r="K91" s="29" t="e">
        <f>(K90/(1-K71))*K71</f>
        <v>#VALUE!</v>
      </c>
      <c r="L91" s="28"/>
      <c r="M91" s="28"/>
      <c r="N91" s="21"/>
      <c r="O91" s="21"/>
      <c r="P91" s="21"/>
      <c r="Q91" s="29"/>
      <c r="S91" s="27" t="s">
        <v>127</v>
      </c>
      <c r="T91" s="29" t="e">
        <f>(T90/(1-T71))*T71</f>
        <v>#VALUE!</v>
      </c>
      <c r="U91" s="28"/>
      <c r="V91" s="28"/>
      <c r="W91" s="21"/>
      <c r="X91" s="21"/>
      <c r="Y91" s="21"/>
      <c r="Z91" s="29"/>
      <c r="AB91" s="27" t="s">
        <v>127</v>
      </c>
      <c r="AC91" s="29" t="e">
        <f>(AC90/(1-AC71))*AC71</f>
        <v>#VALUE!</v>
      </c>
      <c r="AD91" s="28"/>
      <c r="AE91" s="28"/>
      <c r="AF91" s="21"/>
      <c r="AG91" s="21"/>
      <c r="AH91" s="21"/>
      <c r="AI91" s="29"/>
    </row>
    <row r="92" spans="1:35">
      <c r="A92" s="49" t="s">
        <v>128</v>
      </c>
      <c r="B92" s="57">
        <f>(B90+B91)</f>
        <v>22856.095154615399</v>
      </c>
      <c r="C92" s="28"/>
      <c r="D92" s="28"/>
      <c r="E92" s="21"/>
      <c r="F92" s="49" t="s">
        <v>128</v>
      </c>
      <c r="G92" s="57">
        <f>(G90+G91)</f>
        <v>21247.765436936988</v>
      </c>
      <c r="H92" s="29"/>
      <c r="J92" s="49" t="s">
        <v>128</v>
      </c>
      <c r="K92" s="57" t="e">
        <f>(K90+K91)</f>
        <v>#VALUE!</v>
      </c>
      <c r="L92" s="28"/>
      <c r="M92" s="28"/>
      <c r="N92" s="21"/>
      <c r="O92" s="21"/>
      <c r="P92" s="21"/>
      <c r="Q92" s="29"/>
      <c r="S92" s="49" t="s">
        <v>128</v>
      </c>
      <c r="T92" s="57" t="e">
        <f>(T90+T91)</f>
        <v>#VALUE!</v>
      </c>
      <c r="U92" s="28"/>
      <c r="V92" s="28"/>
      <c r="W92" s="21"/>
      <c r="X92" s="21"/>
      <c r="Y92" s="21"/>
      <c r="Z92" s="29"/>
      <c r="AB92" s="49" t="s">
        <v>128</v>
      </c>
      <c r="AC92" s="57" t="e">
        <f>(AC90+AC91)</f>
        <v>#VALUE!</v>
      </c>
      <c r="AD92" s="28"/>
      <c r="AE92" s="28"/>
      <c r="AF92" s="21"/>
      <c r="AG92" s="21"/>
      <c r="AH92" s="21"/>
      <c r="AI92" s="29"/>
    </row>
    <row r="93" spans="1:35">
      <c r="A93" s="27"/>
      <c r="B93" s="28"/>
      <c r="C93" s="28"/>
      <c r="D93" s="28"/>
      <c r="E93" s="21"/>
      <c r="F93" s="27"/>
      <c r="G93" s="28"/>
      <c r="H93" s="29"/>
      <c r="J93" s="27"/>
      <c r="K93" s="28"/>
      <c r="L93" s="28"/>
      <c r="M93" s="28"/>
      <c r="N93" s="21"/>
      <c r="O93" s="21"/>
      <c r="P93" s="21"/>
      <c r="Q93" s="29"/>
      <c r="S93" s="27"/>
      <c r="T93" s="28"/>
      <c r="U93" s="28"/>
      <c r="V93" s="28"/>
      <c r="W93" s="21"/>
      <c r="X93" s="21"/>
      <c r="Y93" s="21"/>
      <c r="Z93" s="29"/>
      <c r="AB93" s="27"/>
      <c r="AC93" s="28"/>
      <c r="AD93" s="28"/>
      <c r="AE93" s="28"/>
      <c r="AF93" s="21"/>
      <c r="AG93" s="21"/>
      <c r="AH93" s="21"/>
      <c r="AI93" s="29"/>
    </row>
    <row r="94" spans="1:35">
      <c r="A94" s="76" t="s">
        <v>129</v>
      </c>
      <c r="B94" s="80" t="str">
        <f>IF(B26="YES",((E40/B85)*(1+A108)*1.2*(C45/100)),"0")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  <c r="J94" s="76" t="s">
        <v>129</v>
      </c>
      <c r="K94" s="77">
        <f>((E40/K85)*(1+J108))*1.2</f>
        <v>0</v>
      </c>
      <c r="L94" s="28"/>
      <c r="M94" s="28"/>
      <c r="N94" s="21"/>
      <c r="O94" s="21"/>
      <c r="P94" s="21"/>
      <c r="Q94" s="29"/>
      <c r="S94" s="76" t="s">
        <v>129</v>
      </c>
      <c r="T94" s="77">
        <f>((E40/T85)*(1+S108))</f>
        <v>0</v>
      </c>
      <c r="U94" s="28"/>
      <c r="V94" s="28"/>
      <c r="W94" s="21"/>
      <c r="X94" s="21"/>
      <c r="Y94" s="21"/>
      <c r="Z94" s="29"/>
      <c r="AB94" s="76" t="s">
        <v>129</v>
      </c>
      <c r="AC94" s="77">
        <f>((E40/AC85)*(1+AB108))*1.2</f>
        <v>0</v>
      </c>
      <c r="AD94" s="28"/>
      <c r="AE94" s="28"/>
      <c r="AF94" s="21"/>
      <c r="AG94" s="21"/>
      <c r="AH94" s="21"/>
      <c r="AI94" s="29"/>
    </row>
    <row r="95" spans="1:35">
      <c r="A95" s="81" t="s">
        <v>130</v>
      </c>
      <c r="B95" s="82">
        <f>B92/(B85)</f>
        <v>634.89153207264997</v>
      </c>
      <c r="C95" s="28"/>
      <c r="D95" s="28"/>
      <c r="E95" s="21"/>
      <c r="F95" s="81" t="s">
        <v>130</v>
      </c>
      <c r="G95" s="82">
        <f>G92/(G85)</f>
        <v>590.21570658158305</v>
      </c>
      <c r="H95" s="29"/>
      <c r="J95" s="81" t="s">
        <v>130</v>
      </c>
      <c r="K95" s="82" t="e">
        <f>K92/(K85)</f>
        <v>#VALUE!</v>
      </c>
      <c r="L95" s="28"/>
      <c r="M95" s="28"/>
      <c r="N95" s="21"/>
      <c r="O95" s="21"/>
      <c r="P95" s="21"/>
      <c r="Q95" s="29"/>
      <c r="S95" s="81" t="s">
        <v>130</v>
      </c>
      <c r="T95" s="82" t="e">
        <f>T92/(T85)</f>
        <v>#VALUE!</v>
      </c>
      <c r="U95" s="28"/>
      <c r="V95" s="28"/>
      <c r="W95" s="21"/>
      <c r="X95" s="21"/>
      <c r="Y95" s="21"/>
      <c r="Z95" s="29"/>
      <c r="AB95" s="81" t="s">
        <v>130</v>
      </c>
      <c r="AC95" s="82" t="e">
        <f>AC92/(AC59)</f>
        <v>#VALUE!</v>
      </c>
      <c r="AD95" s="28"/>
      <c r="AE95" s="28"/>
      <c r="AF95" s="21"/>
      <c r="AG95" s="21"/>
      <c r="AH95" s="21"/>
      <c r="AI95" s="29"/>
    </row>
    <row r="96" spans="1:35">
      <c r="A96" s="83" t="s">
        <v>131</v>
      </c>
      <c r="B96" s="84">
        <f>B94+B95</f>
        <v>634.89153207264997</v>
      </c>
      <c r="C96" s="28"/>
      <c r="D96" s="28"/>
      <c r="E96" s="21"/>
      <c r="F96" s="83" t="s">
        <v>131</v>
      </c>
      <c r="G96" s="84">
        <f>G94+G95</f>
        <v>590.21570658158305</v>
      </c>
      <c r="H96" s="29"/>
      <c r="J96" s="83" t="s">
        <v>131</v>
      </c>
      <c r="K96" s="84" t="e">
        <f>(K94+K95)</f>
        <v>#VALUE!</v>
      </c>
      <c r="L96" s="28"/>
      <c r="M96" s="28"/>
      <c r="N96" s="21"/>
      <c r="O96" s="21"/>
      <c r="P96" s="21"/>
      <c r="Q96" s="29"/>
      <c r="S96" s="83" t="s">
        <v>131</v>
      </c>
      <c r="T96" s="84" t="e">
        <f>T94+T95</f>
        <v>#VALUE!</v>
      </c>
      <c r="U96" s="28"/>
      <c r="V96" s="28"/>
      <c r="W96" s="21"/>
      <c r="X96" s="21"/>
      <c r="Y96" s="21"/>
      <c r="Z96" s="29"/>
      <c r="AB96" s="83" t="s">
        <v>131</v>
      </c>
      <c r="AC96" s="84" t="e">
        <f>AC94+AC95</f>
        <v>#VALUE!</v>
      </c>
      <c r="AD96" s="28"/>
      <c r="AE96" s="28"/>
      <c r="AF96" s="21"/>
      <c r="AG96" s="21"/>
      <c r="AH96" s="21"/>
      <c r="AI96" s="29"/>
    </row>
    <row r="97" spans="1:42">
      <c r="A97" s="49"/>
      <c r="B97" s="50"/>
      <c r="C97" s="50"/>
      <c r="D97" s="50"/>
      <c r="E97" s="85"/>
      <c r="F97" s="85"/>
      <c r="G97" s="85"/>
      <c r="H97" s="57"/>
      <c r="J97" s="49"/>
      <c r="K97" s="50"/>
      <c r="L97" s="50"/>
      <c r="M97" s="50"/>
      <c r="N97" s="85"/>
      <c r="O97" s="85"/>
      <c r="P97" s="85"/>
      <c r="Q97" s="57"/>
      <c r="S97" s="49"/>
      <c r="T97" s="50"/>
      <c r="U97" s="50"/>
      <c r="V97" s="50"/>
      <c r="W97" s="85"/>
      <c r="X97" s="85"/>
      <c r="Y97" s="85"/>
      <c r="Z97" s="57"/>
      <c r="AB97" s="49"/>
      <c r="AC97" s="50"/>
      <c r="AD97" s="50"/>
      <c r="AE97" s="50"/>
      <c r="AF97" s="85"/>
      <c r="AG97" s="85"/>
      <c r="AH97" s="85"/>
      <c r="AI97" s="57"/>
    </row>
    <row r="98" spans="1:42" ht="14.25">
      <c r="A98" s="21"/>
      <c r="B98" s="21"/>
      <c r="C98" s="21"/>
      <c r="D98" s="21"/>
      <c r="E98" s="21"/>
      <c r="F98" s="21"/>
      <c r="G98" s="21"/>
      <c r="H98" s="21"/>
      <c r="J98" s="21"/>
      <c r="K98" s="21"/>
      <c r="L98" s="21"/>
      <c r="M98" s="21"/>
      <c r="N98" s="21"/>
      <c r="O98" s="21"/>
      <c r="P98" s="21"/>
      <c r="Q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</row>
    <row r="99" spans="1:42" ht="14.25">
      <c r="A99" s="21"/>
      <c r="B99" s="21"/>
      <c r="C99" s="21"/>
      <c r="D99" s="21"/>
      <c r="E99" s="21"/>
      <c r="F99" s="21"/>
      <c r="G99" s="21"/>
      <c r="H99" s="21"/>
      <c r="J99" s="21"/>
      <c r="K99" s="21"/>
      <c r="L99" s="21"/>
      <c r="M99" s="21"/>
      <c r="N99" s="21"/>
      <c r="O99" s="21"/>
      <c r="P99" s="21"/>
      <c r="Q99" s="21"/>
      <c r="S99" s="21"/>
      <c r="T99" s="21"/>
      <c r="U99" s="21"/>
      <c r="V99" s="21"/>
      <c r="W99" s="21"/>
      <c r="X99" s="21"/>
      <c r="Y99" s="21"/>
      <c r="Z99" s="21"/>
      <c r="AB99" s="21"/>
      <c r="AC99" s="21"/>
      <c r="AD99" s="21"/>
      <c r="AE99" s="21"/>
      <c r="AF99" s="21"/>
      <c r="AG99" s="21"/>
      <c r="AH99" s="21"/>
      <c r="AI99" s="21"/>
    </row>
    <row r="100" spans="1:42" ht="47.25" customHeight="1">
      <c r="A100" s="344" t="s">
        <v>132</v>
      </c>
      <c r="B100" s="344"/>
      <c r="C100" s="344"/>
      <c r="D100" s="344"/>
      <c r="E100" s="344"/>
      <c r="F100" s="344"/>
      <c r="G100" s="344"/>
      <c r="H100" s="344"/>
      <c r="J100" s="344" t="s">
        <v>133</v>
      </c>
      <c r="K100" s="344"/>
      <c r="L100" s="344"/>
      <c r="M100" s="344"/>
      <c r="N100" s="344"/>
      <c r="O100" s="344"/>
      <c r="P100" s="344"/>
      <c r="Q100" s="344"/>
      <c r="S100" s="344" t="s">
        <v>134</v>
      </c>
      <c r="T100" s="344"/>
      <c r="U100" s="344"/>
      <c r="V100" s="344"/>
      <c r="W100" s="344"/>
      <c r="X100" s="344"/>
      <c r="Y100" s="344"/>
      <c r="Z100" s="344"/>
      <c r="AB100" s="344" t="s">
        <v>135</v>
      </c>
      <c r="AC100" s="344"/>
      <c r="AD100" s="344"/>
      <c r="AE100" s="344"/>
      <c r="AF100" s="344"/>
      <c r="AG100" s="344"/>
      <c r="AH100" s="344"/>
      <c r="AI100" s="344"/>
    </row>
    <row r="101" spans="1:42">
      <c r="A101" s="22"/>
      <c r="B101" s="23"/>
      <c r="C101" s="23"/>
      <c r="D101" s="23"/>
      <c r="E101" s="63"/>
      <c r="F101" s="63"/>
      <c r="G101" s="63"/>
      <c r="H101" s="87"/>
      <c r="J101" s="22"/>
      <c r="K101" s="23"/>
      <c r="L101" s="23"/>
      <c r="M101" s="23"/>
      <c r="N101" s="63"/>
      <c r="O101" s="63"/>
      <c r="P101" s="63"/>
      <c r="Q101" s="87"/>
      <c r="S101" s="22"/>
      <c r="T101" s="23"/>
      <c r="U101" s="23"/>
      <c r="V101" s="23"/>
      <c r="W101" s="63"/>
      <c r="X101" s="63"/>
      <c r="Y101" s="63"/>
      <c r="Z101" s="87"/>
      <c r="AB101" s="22"/>
      <c r="AC101" s="23"/>
      <c r="AD101" s="23"/>
      <c r="AE101" s="23"/>
      <c r="AF101" s="63"/>
      <c r="AG101" s="63"/>
      <c r="AH101" s="63"/>
      <c r="AI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35" t="s">
        <v>136</v>
      </c>
      <c r="K102" s="335"/>
      <c r="L102" s="335"/>
      <c r="M102" s="335"/>
      <c r="N102" s="335"/>
      <c r="O102" s="335"/>
      <c r="P102" s="335"/>
      <c r="Q102" s="335"/>
      <c r="S102" s="335" t="s">
        <v>136</v>
      </c>
      <c r="T102" s="335"/>
      <c r="U102" s="335"/>
      <c r="V102" s="335"/>
      <c r="W102" s="335"/>
      <c r="X102" s="335"/>
      <c r="Y102" s="335"/>
      <c r="Z102" s="335"/>
      <c r="AB102" s="335" t="s">
        <v>136</v>
      </c>
      <c r="AC102" s="335"/>
      <c r="AD102" s="335"/>
      <c r="AE102" s="335"/>
      <c r="AF102" s="335"/>
      <c r="AG102" s="335"/>
      <c r="AH102" s="335"/>
      <c r="AI102" s="335"/>
    </row>
    <row r="103" spans="1:42">
      <c r="A103" s="27"/>
      <c r="B103" s="28"/>
      <c r="C103" s="28"/>
      <c r="D103" s="28"/>
      <c r="E103" s="21"/>
      <c r="F103" s="21"/>
      <c r="G103" s="21"/>
      <c r="H103" s="88"/>
      <c r="J103" s="27"/>
      <c r="K103" s="28"/>
      <c r="L103" s="28"/>
      <c r="M103" s="28"/>
      <c r="N103" s="21"/>
      <c r="O103" s="21"/>
      <c r="P103" s="21"/>
      <c r="Q103" s="88"/>
      <c r="S103" s="27"/>
      <c r="T103" s="28"/>
      <c r="U103" s="28"/>
      <c r="V103" s="28"/>
      <c r="W103" s="21"/>
      <c r="X103" s="21"/>
      <c r="Y103" s="21"/>
      <c r="Z103" s="88"/>
      <c r="AB103" s="27"/>
      <c r="AC103" s="28"/>
      <c r="AD103" s="28"/>
      <c r="AE103" s="28"/>
      <c r="AF103" s="21"/>
      <c r="AG103" s="21"/>
      <c r="AH103" s="21"/>
      <c r="AI103" s="88"/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J104" s="27" t="s">
        <v>137</v>
      </c>
      <c r="K104" s="28" t="s">
        <v>36</v>
      </c>
      <c r="L104" s="28"/>
      <c r="M104" s="28"/>
      <c r="N104" s="28" t="s">
        <v>138</v>
      </c>
      <c r="O104" s="28"/>
      <c r="P104" s="28"/>
      <c r="Q104" s="29"/>
      <c r="S104" s="27" t="s">
        <v>137</v>
      </c>
      <c r="T104" s="28" t="s">
        <v>36</v>
      </c>
      <c r="U104" s="28"/>
      <c r="V104" s="28"/>
      <c r="W104" s="28" t="s">
        <v>138</v>
      </c>
      <c r="X104" s="28"/>
      <c r="Y104" s="28"/>
      <c r="Z104" s="29"/>
      <c r="AB104" s="27" t="s">
        <v>137</v>
      </c>
      <c r="AC104" s="28" t="s">
        <v>36</v>
      </c>
      <c r="AD104" s="28"/>
      <c r="AE104" s="28"/>
      <c r="AF104" s="28" t="s">
        <v>138</v>
      </c>
      <c r="AG104" s="28"/>
      <c r="AH104" s="28"/>
      <c r="AI104" s="29"/>
    </row>
    <row r="105" spans="1:42">
      <c r="A105" s="32" t="s">
        <v>139</v>
      </c>
      <c r="B105" s="345" t="s">
        <v>140</v>
      </c>
      <c r="C105" s="345"/>
      <c r="D105" s="345"/>
      <c r="E105" s="403" t="s">
        <v>386</v>
      </c>
      <c r="F105" s="403"/>
      <c r="G105" s="403"/>
      <c r="H105" s="88"/>
      <c r="J105" s="32" t="s">
        <v>139</v>
      </c>
      <c r="K105" s="345" t="s">
        <v>140</v>
      </c>
      <c r="L105" s="345"/>
      <c r="M105" s="345"/>
      <c r="N105" s="346" t="s">
        <v>31</v>
      </c>
      <c r="O105" s="346"/>
      <c r="P105" s="346"/>
      <c r="Q105" s="88"/>
      <c r="S105" s="32" t="s">
        <v>139</v>
      </c>
      <c r="T105" s="345" t="s">
        <v>140</v>
      </c>
      <c r="U105" s="345"/>
      <c r="V105" s="345"/>
      <c r="W105" s="346" t="s">
        <v>31</v>
      </c>
      <c r="X105" s="346"/>
      <c r="Y105" s="346"/>
      <c r="Z105" s="88"/>
      <c r="AB105" s="32" t="s">
        <v>139</v>
      </c>
      <c r="AC105" s="345" t="s">
        <v>140</v>
      </c>
      <c r="AD105" s="345"/>
      <c r="AE105" s="345"/>
      <c r="AF105" s="346" t="s">
        <v>31</v>
      </c>
      <c r="AG105" s="346"/>
      <c r="AH105" s="346"/>
      <c r="AI105" s="88"/>
    </row>
    <row r="106" spans="1:42">
      <c r="A106" s="27"/>
      <c r="B106" s="28"/>
      <c r="C106" s="28"/>
      <c r="D106" s="21"/>
      <c r="E106" s="28"/>
      <c r="F106" s="28"/>
      <c r="G106" s="21"/>
      <c r="H106" s="29"/>
      <c r="J106" s="27"/>
      <c r="K106" s="28"/>
      <c r="L106" s="28"/>
      <c r="M106" s="21"/>
      <c r="N106" s="28"/>
      <c r="O106" s="28"/>
      <c r="P106" s="21"/>
      <c r="Q106" s="29"/>
      <c r="S106" s="27"/>
      <c r="T106" s="28"/>
      <c r="U106" s="28"/>
      <c r="V106" s="21"/>
      <c r="W106" s="28"/>
      <c r="X106" s="28"/>
      <c r="Y106" s="21"/>
      <c r="Z106" s="29"/>
      <c r="AB106" s="27"/>
      <c r="AC106" s="28"/>
      <c r="AD106" s="28"/>
      <c r="AE106" s="21"/>
      <c r="AF106" s="28"/>
      <c r="AG106" s="28"/>
      <c r="AH106" s="21"/>
      <c r="AI106" s="29"/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J107" s="27" t="s">
        <v>141</v>
      </c>
      <c r="K107" s="28" t="s">
        <v>142</v>
      </c>
      <c r="L107" s="28"/>
      <c r="M107" s="21"/>
      <c r="N107" s="28" t="s">
        <v>143</v>
      </c>
      <c r="O107" s="28"/>
      <c r="P107" s="21"/>
      <c r="Q107" s="88"/>
      <c r="S107" s="27" t="s">
        <v>141</v>
      </c>
      <c r="T107" s="28" t="s">
        <v>142</v>
      </c>
      <c r="U107" s="28"/>
      <c r="V107" s="21"/>
      <c r="W107" s="28" t="s">
        <v>143</v>
      </c>
      <c r="X107" s="28"/>
      <c r="Y107" s="21"/>
      <c r="Z107" s="88"/>
      <c r="AB107" s="27" t="s">
        <v>141</v>
      </c>
      <c r="AC107" s="28" t="s">
        <v>142</v>
      </c>
      <c r="AD107" s="28"/>
      <c r="AE107" s="21"/>
      <c r="AF107" s="28" t="s">
        <v>143</v>
      </c>
      <c r="AG107" s="28"/>
      <c r="AH107" s="21"/>
      <c r="AI107" s="88"/>
    </row>
    <row r="108" spans="1:42">
      <c r="A108" s="91">
        <v>0.2</v>
      </c>
      <c r="B108" s="348">
        <v>0</v>
      </c>
      <c r="C108" s="348"/>
      <c r="D108" s="348">
        <v>0</v>
      </c>
      <c r="E108" s="349">
        <f>B83</f>
        <v>0.12000000000000001</v>
      </c>
      <c r="F108" s="349"/>
      <c r="G108" s="349"/>
      <c r="H108" s="42"/>
      <c r="J108" s="91">
        <v>0.3</v>
      </c>
      <c r="K108" s="348" t="s">
        <v>144</v>
      </c>
      <c r="L108" s="348"/>
      <c r="M108" s="348"/>
      <c r="N108" s="349">
        <f>K83</f>
        <v>0.24000000000000002</v>
      </c>
      <c r="O108" s="349"/>
      <c r="P108" s="349"/>
      <c r="Q108" s="42"/>
      <c r="S108" s="91">
        <v>0.2</v>
      </c>
      <c r="T108" s="348" t="s">
        <v>145</v>
      </c>
      <c r="U108" s="348"/>
      <c r="V108" s="348"/>
      <c r="W108" s="349">
        <f>T83</f>
        <v>0.13100000000000001</v>
      </c>
      <c r="X108" s="349"/>
      <c r="Y108" s="349"/>
      <c r="Z108" s="42"/>
      <c r="AB108" s="91">
        <v>0.2</v>
      </c>
      <c r="AC108" s="348" t="s">
        <v>145</v>
      </c>
      <c r="AD108" s="348"/>
      <c r="AE108" s="348"/>
      <c r="AF108" s="350">
        <f>AC83</f>
        <v>0.13100000000000001</v>
      </c>
      <c r="AG108" s="350"/>
      <c r="AH108" s="350"/>
      <c r="AI108" s="42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J109" s="27"/>
      <c r="K109" s="28"/>
      <c r="L109" s="28"/>
      <c r="M109" s="28"/>
      <c r="N109" s="28"/>
      <c r="O109" s="28"/>
      <c r="P109" s="28"/>
      <c r="Q109" s="29"/>
      <c r="S109" s="27"/>
      <c r="T109" s="28"/>
      <c r="U109" s="28"/>
      <c r="V109" s="28"/>
      <c r="W109" s="28"/>
      <c r="X109" s="28"/>
      <c r="Y109" s="28"/>
      <c r="Z109" s="29"/>
      <c r="AB109" s="27"/>
      <c r="AC109" s="28"/>
      <c r="AD109" s="28"/>
      <c r="AE109" s="28"/>
      <c r="AF109" s="28"/>
      <c r="AG109" s="28"/>
      <c r="AH109" s="28"/>
      <c r="AI109" s="29"/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J110" s="27" t="s">
        <v>147</v>
      </c>
      <c r="K110" s="28" t="s">
        <v>148</v>
      </c>
      <c r="L110" s="28"/>
      <c r="M110" s="28"/>
      <c r="N110" s="28" t="s">
        <v>149</v>
      </c>
      <c r="O110" s="28"/>
      <c r="P110" s="28"/>
      <c r="Q110" s="29"/>
      <c r="S110" s="27" t="s">
        <v>147</v>
      </c>
      <c r="T110" s="28" t="s">
        <v>148</v>
      </c>
      <c r="U110" s="28"/>
      <c r="V110" s="28"/>
      <c r="W110" s="28" t="s">
        <v>149</v>
      </c>
      <c r="X110" s="28"/>
      <c r="Y110" s="28"/>
      <c r="Z110" s="29"/>
      <c r="AB110" s="27" t="s">
        <v>147</v>
      </c>
      <c r="AC110" s="28" t="s">
        <v>148</v>
      </c>
      <c r="AD110" s="28"/>
      <c r="AE110" s="28"/>
      <c r="AF110" s="28" t="s">
        <v>149</v>
      </c>
      <c r="AG110" s="28"/>
      <c r="AH110" s="28"/>
      <c r="AI110" s="29"/>
    </row>
    <row r="111" spans="1:42">
      <c r="A111" s="36" t="s">
        <v>385</v>
      </c>
      <c r="B111" s="348">
        <v>1000</v>
      </c>
      <c r="C111" s="348"/>
      <c r="D111" s="348"/>
      <c r="E111" s="348">
        <v>1000</v>
      </c>
      <c r="F111" s="348"/>
      <c r="G111" s="348"/>
      <c r="H111" s="88"/>
      <c r="J111" s="36" t="s">
        <v>32</v>
      </c>
      <c r="K111" s="348">
        <v>1000</v>
      </c>
      <c r="L111" s="348"/>
      <c r="M111" s="348"/>
      <c r="N111" s="348">
        <v>0</v>
      </c>
      <c r="O111" s="348"/>
      <c r="P111" s="348"/>
      <c r="Q111" s="88"/>
      <c r="S111" s="36" t="s">
        <v>31</v>
      </c>
      <c r="T111" s="348">
        <v>1000</v>
      </c>
      <c r="U111" s="348"/>
      <c r="V111" s="348"/>
      <c r="W111" s="348">
        <v>0</v>
      </c>
      <c r="X111" s="348"/>
      <c r="Y111" s="348"/>
      <c r="Z111" s="88"/>
      <c r="AB111" s="36" t="s">
        <v>31</v>
      </c>
      <c r="AC111" s="348">
        <v>1000</v>
      </c>
      <c r="AD111" s="348"/>
      <c r="AE111" s="348"/>
      <c r="AF111" s="348">
        <v>0</v>
      </c>
      <c r="AG111" s="348"/>
      <c r="AH111" s="348"/>
      <c r="AI111" s="88"/>
    </row>
    <row r="112" spans="1:42">
      <c r="A112" s="27"/>
      <c r="B112" s="28"/>
      <c r="C112" s="28"/>
      <c r="D112" s="28"/>
      <c r="E112" s="28"/>
      <c r="F112" s="28"/>
      <c r="G112" s="21"/>
      <c r="H112" s="88"/>
      <c r="J112" s="27"/>
      <c r="K112" s="28"/>
      <c r="L112" s="28"/>
      <c r="M112" s="28"/>
      <c r="N112" s="28"/>
      <c r="O112" s="28"/>
      <c r="P112" s="21"/>
      <c r="Q112" s="88"/>
      <c r="S112" s="27"/>
      <c r="T112" s="28"/>
      <c r="U112" s="28"/>
      <c r="V112" s="28"/>
      <c r="W112" s="28"/>
      <c r="X112" s="28"/>
      <c r="Y112" s="21"/>
      <c r="Z112" s="88"/>
      <c r="AB112" s="27"/>
      <c r="AC112" s="28"/>
      <c r="AD112" s="28"/>
      <c r="AE112" s="28"/>
      <c r="AF112" s="28"/>
      <c r="AG112" s="28"/>
      <c r="AH112" s="21"/>
      <c r="AI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  <c r="J113" s="93" t="s">
        <v>150</v>
      </c>
      <c r="K113" s="28" t="s">
        <v>151</v>
      </c>
      <c r="L113" s="28"/>
      <c r="M113" s="28"/>
      <c r="N113" s="28" t="s">
        <v>152</v>
      </c>
      <c r="O113" s="28"/>
      <c r="P113" s="21"/>
      <c r="Q113" s="88"/>
      <c r="S113" s="93" t="s">
        <v>150</v>
      </c>
      <c r="T113" s="28" t="s">
        <v>151</v>
      </c>
      <c r="U113" s="28"/>
      <c r="V113" s="28"/>
      <c r="W113" s="28" t="s">
        <v>152</v>
      </c>
      <c r="X113" s="28"/>
      <c r="Y113" s="21"/>
      <c r="Z113" s="88"/>
      <c r="AB113" s="93" t="s">
        <v>150</v>
      </c>
      <c r="AC113" s="28" t="s">
        <v>151</v>
      </c>
      <c r="AD113" s="28"/>
      <c r="AE113" s="28"/>
      <c r="AF113" s="28" t="s">
        <v>152</v>
      </c>
      <c r="AG113" s="28"/>
      <c r="AH113" s="21"/>
      <c r="AI113" s="88"/>
    </row>
    <row r="114" spans="1:35">
      <c r="A114" s="94">
        <f>B111+E111</f>
        <v>2000</v>
      </c>
      <c r="B114" s="348">
        <v>1000</v>
      </c>
      <c r="C114" s="348"/>
      <c r="D114" s="348"/>
      <c r="E114" s="348">
        <v>0</v>
      </c>
      <c r="F114" s="348"/>
      <c r="G114" s="348"/>
      <c r="H114" s="88"/>
      <c r="J114" s="94">
        <f>K111+N111</f>
        <v>1000</v>
      </c>
      <c r="K114" s="348">
        <v>239.99</v>
      </c>
      <c r="L114" s="348"/>
      <c r="M114" s="348"/>
      <c r="N114" s="348">
        <v>0</v>
      </c>
      <c r="O114" s="348"/>
      <c r="P114" s="348"/>
      <c r="Q114" s="88"/>
      <c r="S114" s="94">
        <f>T111+W111</f>
        <v>1000</v>
      </c>
      <c r="T114" s="348">
        <v>199.99</v>
      </c>
      <c r="U114" s="348"/>
      <c r="V114" s="348"/>
      <c r="W114" s="348">
        <v>0</v>
      </c>
      <c r="X114" s="348"/>
      <c r="Y114" s="348"/>
      <c r="Z114" s="88"/>
      <c r="AB114" s="94">
        <f>AC111+AF111</f>
        <v>1000</v>
      </c>
      <c r="AC114" s="348">
        <v>239.99</v>
      </c>
      <c r="AD114" s="348"/>
      <c r="AE114" s="348"/>
      <c r="AF114" s="348">
        <v>0</v>
      </c>
      <c r="AG114" s="348"/>
      <c r="AH114" s="348"/>
      <c r="AI114" s="88"/>
    </row>
    <row r="115" spans="1:35" ht="14.25">
      <c r="A115" s="95"/>
      <c r="B115" s="21"/>
      <c r="C115" s="21"/>
      <c r="D115" s="21"/>
      <c r="E115" s="21"/>
      <c r="F115" s="21"/>
      <c r="G115" s="21"/>
      <c r="H115" s="88"/>
      <c r="J115" s="95"/>
      <c r="K115" s="21"/>
      <c r="L115" s="21"/>
      <c r="M115" s="21"/>
      <c r="N115" s="21"/>
      <c r="O115" s="21"/>
      <c r="P115" s="21"/>
      <c r="Q115" s="88"/>
      <c r="S115" s="95"/>
      <c r="T115" s="21"/>
      <c r="U115" s="21"/>
      <c r="V115" s="21"/>
      <c r="W115" s="21"/>
      <c r="X115" s="21"/>
      <c r="Y115" s="21"/>
      <c r="Z115" s="88"/>
      <c r="AB115" s="95"/>
      <c r="AC115" s="21"/>
      <c r="AD115" s="21"/>
      <c r="AE115" s="21"/>
      <c r="AF115" s="21"/>
      <c r="AG115" s="21"/>
      <c r="AH115" s="21"/>
      <c r="AI115" s="88"/>
    </row>
    <row r="116" spans="1:35" ht="14.25">
      <c r="A116" s="95"/>
      <c r="B116" s="21"/>
      <c r="C116" s="21"/>
      <c r="D116" s="21"/>
      <c r="E116" s="21"/>
      <c r="F116" s="21"/>
      <c r="G116" s="21"/>
      <c r="H116" s="88"/>
      <c r="J116" s="95"/>
      <c r="K116" s="21"/>
      <c r="L116" s="21"/>
      <c r="M116" s="21"/>
      <c r="N116" s="21"/>
      <c r="O116" s="21"/>
      <c r="P116" s="21"/>
      <c r="Q116" s="88"/>
      <c r="S116" s="95"/>
      <c r="T116" s="21"/>
      <c r="U116" s="21"/>
      <c r="V116" s="21"/>
      <c r="W116" s="21"/>
      <c r="X116" s="21"/>
      <c r="Y116" s="21"/>
      <c r="Z116" s="88"/>
      <c r="AB116" s="95"/>
      <c r="AC116" s="21"/>
      <c r="AD116" s="21"/>
      <c r="AE116" s="21"/>
      <c r="AF116" s="21"/>
      <c r="AG116" s="21"/>
      <c r="AH116" s="21"/>
      <c r="AI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35" t="s">
        <v>153</v>
      </c>
      <c r="K117" s="335"/>
      <c r="L117" s="335"/>
      <c r="M117" s="335"/>
      <c r="N117" s="335"/>
      <c r="O117" s="335"/>
      <c r="P117" s="335"/>
      <c r="Q117" s="335"/>
      <c r="S117" s="335" t="s">
        <v>153</v>
      </c>
      <c r="T117" s="335"/>
      <c r="U117" s="335"/>
      <c r="V117" s="335"/>
      <c r="W117" s="335"/>
      <c r="X117" s="335"/>
      <c r="Y117" s="335"/>
      <c r="Z117" s="335"/>
      <c r="AB117" s="335" t="s">
        <v>153</v>
      </c>
      <c r="AC117" s="335"/>
      <c r="AD117" s="335"/>
      <c r="AE117" s="335"/>
      <c r="AF117" s="335"/>
      <c r="AG117" s="335"/>
      <c r="AH117" s="335"/>
      <c r="AI117" s="335"/>
    </row>
    <row r="118" spans="1:35" ht="14.25">
      <c r="A118" s="95"/>
      <c r="B118" s="21"/>
      <c r="C118" s="21"/>
      <c r="D118" s="21"/>
      <c r="E118" s="21"/>
      <c r="F118" s="21"/>
      <c r="G118" s="21"/>
      <c r="H118" s="88"/>
      <c r="J118" s="95"/>
      <c r="K118" s="21"/>
      <c r="L118" s="21"/>
      <c r="M118" s="21"/>
      <c r="N118" s="21"/>
      <c r="O118" s="21"/>
      <c r="P118" s="21"/>
      <c r="Q118" s="88"/>
      <c r="S118" s="95"/>
      <c r="T118" s="21"/>
      <c r="U118" s="21"/>
      <c r="V118" s="21"/>
      <c r="W118" s="21"/>
      <c r="X118" s="21"/>
      <c r="Y118" s="21"/>
      <c r="Z118" s="88"/>
      <c r="AB118" s="95"/>
      <c r="AC118" s="21"/>
      <c r="AD118" s="21"/>
      <c r="AE118" s="21"/>
      <c r="AF118" s="21"/>
      <c r="AG118" s="21"/>
      <c r="AH118" s="21"/>
      <c r="AI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J119" s="66"/>
      <c r="K119" s="351" t="s">
        <v>154</v>
      </c>
      <c r="L119" s="351"/>
      <c r="M119" s="351" t="s">
        <v>155</v>
      </c>
      <c r="N119" s="351"/>
      <c r="O119" s="351" t="s">
        <v>156</v>
      </c>
      <c r="P119" s="351"/>
      <c r="Q119" s="96" t="s">
        <v>157</v>
      </c>
      <c r="S119" s="66"/>
      <c r="T119" s="351" t="s">
        <v>154</v>
      </c>
      <c r="U119" s="351"/>
      <c r="V119" s="351" t="s">
        <v>155</v>
      </c>
      <c r="W119" s="351"/>
      <c r="X119" s="351" t="s">
        <v>156</v>
      </c>
      <c r="Y119" s="351"/>
      <c r="Z119" s="96" t="s">
        <v>157</v>
      </c>
      <c r="AB119" s="66"/>
      <c r="AC119" s="351" t="s">
        <v>154</v>
      </c>
      <c r="AD119" s="351"/>
      <c r="AE119" s="351" t="s">
        <v>155</v>
      </c>
      <c r="AF119" s="351"/>
      <c r="AG119" s="351" t="s">
        <v>156</v>
      </c>
      <c r="AH119" s="351"/>
      <c r="AI119" s="96" t="s">
        <v>157</v>
      </c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  <c r="J120" s="68"/>
      <c r="K120" s="97" t="s">
        <v>158</v>
      </c>
      <c r="L120" s="98" t="s">
        <v>159</v>
      </c>
      <c r="M120" s="97" t="s">
        <v>158</v>
      </c>
      <c r="N120" s="99" t="s">
        <v>159</v>
      </c>
      <c r="O120" s="97" t="s">
        <v>158</v>
      </c>
      <c r="P120" s="99" t="s">
        <v>159</v>
      </c>
      <c r="Q120" s="100"/>
      <c r="S120" s="68"/>
      <c r="T120" s="97" t="s">
        <v>158</v>
      </c>
      <c r="U120" s="98" t="s">
        <v>159</v>
      </c>
      <c r="V120" s="97" t="s">
        <v>158</v>
      </c>
      <c r="W120" s="99" t="s">
        <v>159</v>
      </c>
      <c r="X120" s="97" t="s">
        <v>158</v>
      </c>
      <c r="Y120" s="99" t="s">
        <v>159</v>
      </c>
      <c r="Z120" s="100"/>
      <c r="AB120" s="68"/>
      <c r="AC120" s="97" t="s">
        <v>158</v>
      </c>
      <c r="AD120" s="98" t="s">
        <v>159</v>
      </c>
      <c r="AE120" s="97" t="s">
        <v>158</v>
      </c>
      <c r="AF120" s="99" t="s">
        <v>159</v>
      </c>
      <c r="AG120" s="97" t="s">
        <v>158</v>
      </c>
      <c r="AH120" s="99" t="s">
        <v>159</v>
      </c>
      <c r="AI120" s="100"/>
    </row>
    <row r="121" spans="1:35">
      <c r="A121" s="22" t="s">
        <v>160</v>
      </c>
      <c r="B121" s="22">
        <f>B9</f>
        <v>14333.33</v>
      </c>
      <c r="C121" s="36">
        <v>16412.5</v>
      </c>
      <c r="D121" s="22">
        <f>D3</f>
        <v>0</v>
      </c>
      <c r="E121" s="36">
        <f>D121</f>
        <v>0</v>
      </c>
      <c r="F121" s="22">
        <f>B11</f>
        <v>0</v>
      </c>
      <c r="G121" s="36">
        <f>F121</f>
        <v>0</v>
      </c>
      <c r="H121" s="101">
        <f>H3</f>
        <v>0</v>
      </c>
      <c r="J121" s="22" t="s">
        <v>160</v>
      </c>
      <c r="K121" s="22">
        <f>B3</f>
        <v>0</v>
      </c>
      <c r="L121" s="36">
        <v>28629.17</v>
      </c>
      <c r="M121" s="22">
        <f>D3</f>
        <v>0</v>
      </c>
      <c r="N121" s="36">
        <f>M121</f>
        <v>0</v>
      </c>
      <c r="O121" s="22" t="str">
        <f>F3</f>
        <v xml:space="preserve"> </v>
      </c>
      <c r="P121" s="36" t="str">
        <f>O121</f>
        <v xml:space="preserve"> </v>
      </c>
      <c r="Q121" s="101">
        <f>H3</f>
        <v>0</v>
      </c>
      <c r="S121" s="22" t="s">
        <v>160</v>
      </c>
      <c r="T121" s="22">
        <f>B3</f>
        <v>0</v>
      </c>
      <c r="U121" s="36">
        <f>T121</f>
        <v>0</v>
      </c>
      <c r="V121" s="22">
        <f>D3</f>
        <v>0</v>
      </c>
      <c r="W121" s="36">
        <f>V121</f>
        <v>0</v>
      </c>
      <c r="X121" s="22" t="str">
        <f>F3</f>
        <v xml:space="preserve"> </v>
      </c>
      <c r="Y121" s="36" t="str">
        <f>X121</f>
        <v xml:space="preserve"> </v>
      </c>
      <c r="Z121" s="101">
        <f>H3</f>
        <v>0</v>
      </c>
      <c r="AB121" s="22" t="s">
        <v>160</v>
      </c>
      <c r="AC121" s="22">
        <f>B3</f>
        <v>0</v>
      </c>
      <c r="AD121" s="36">
        <f>AC121</f>
        <v>0</v>
      </c>
      <c r="AE121" s="22">
        <f>D3</f>
        <v>0</v>
      </c>
      <c r="AF121" s="36">
        <f>AE121</f>
        <v>0</v>
      </c>
      <c r="AG121" s="22" t="str">
        <f>F3</f>
        <v xml:space="preserve"> </v>
      </c>
      <c r="AH121" s="36" t="str">
        <f>AG121</f>
        <v xml:space="preserve"> </v>
      </c>
      <c r="AI121" s="101">
        <f>H3</f>
        <v>0</v>
      </c>
    </row>
    <row r="122" spans="1:35">
      <c r="A122" s="27" t="s">
        <v>161</v>
      </c>
      <c r="B122" s="102">
        <v>0</v>
      </c>
      <c r="C122" s="103">
        <v>0</v>
      </c>
      <c r="D122" s="102">
        <v>0</v>
      </c>
      <c r="E122" s="103">
        <v>0</v>
      </c>
      <c r="F122" s="102">
        <v>0</v>
      </c>
      <c r="G122" s="296">
        <v>0</v>
      </c>
      <c r="H122" s="105"/>
      <c r="J122" s="27" t="s">
        <v>161</v>
      </c>
      <c r="K122" s="102">
        <f>B4</f>
        <v>17199.995999999999</v>
      </c>
      <c r="L122" s="103">
        <v>0</v>
      </c>
      <c r="M122" s="102">
        <f>D4</f>
        <v>0</v>
      </c>
      <c r="N122" s="103">
        <f>M122</f>
        <v>0</v>
      </c>
      <c r="O122" s="102" t="str">
        <f>F4</f>
        <v xml:space="preserve"> </v>
      </c>
      <c r="P122" s="296" t="str">
        <f>O122</f>
        <v xml:space="preserve"> </v>
      </c>
      <c r="Q122" s="105"/>
      <c r="S122" s="27" t="s">
        <v>161</v>
      </c>
      <c r="T122" s="102">
        <f>B4</f>
        <v>17199.995999999999</v>
      </c>
      <c r="U122" s="103">
        <v>0.25</v>
      </c>
      <c r="V122" s="102">
        <f>D4</f>
        <v>0</v>
      </c>
      <c r="W122" s="103">
        <f>V122</f>
        <v>0</v>
      </c>
      <c r="X122" s="102" t="str">
        <f>F4</f>
        <v xml:space="preserve"> </v>
      </c>
      <c r="Y122" s="296" t="str">
        <f>X122</f>
        <v xml:space="preserve"> </v>
      </c>
      <c r="Z122" s="105"/>
      <c r="AB122" s="27" t="s">
        <v>161</v>
      </c>
      <c r="AC122" s="102">
        <f>B4</f>
        <v>17199.995999999999</v>
      </c>
      <c r="AD122" s="103">
        <v>0.25</v>
      </c>
      <c r="AE122" s="102">
        <f>D4</f>
        <v>0</v>
      </c>
      <c r="AF122" s="103">
        <f>AE122</f>
        <v>0</v>
      </c>
      <c r="AG122" s="102" t="str">
        <f>F4</f>
        <v xml:space="preserve"> </v>
      </c>
      <c r="AH122" s="296" t="str">
        <f>AG122</f>
        <v xml:space="preserve"> </v>
      </c>
      <c r="AI122" s="105"/>
    </row>
    <row r="123" spans="1:35">
      <c r="A123" s="27" t="s">
        <v>162</v>
      </c>
      <c r="B123" s="27">
        <v>0</v>
      </c>
      <c r="C123" s="36">
        <v>0</v>
      </c>
      <c r="D123" s="27">
        <v>0</v>
      </c>
      <c r="E123" s="36">
        <v>0</v>
      </c>
      <c r="F123" s="27">
        <v>0</v>
      </c>
      <c r="G123" s="36">
        <v>0</v>
      </c>
      <c r="H123" s="29"/>
      <c r="J123" s="27" t="s">
        <v>162</v>
      </c>
      <c r="K123" s="27">
        <f>B5</f>
        <v>0</v>
      </c>
      <c r="L123" s="36">
        <v>0</v>
      </c>
      <c r="M123" s="27">
        <f>D5</f>
        <v>0</v>
      </c>
      <c r="N123" s="36">
        <f>M123</f>
        <v>0</v>
      </c>
      <c r="O123" s="27" t="str">
        <f>F5</f>
        <v xml:space="preserve"> </v>
      </c>
      <c r="P123" s="36" t="str">
        <f>O123</f>
        <v xml:space="preserve"> </v>
      </c>
      <c r="Q123" s="29"/>
      <c r="S123" s="27" t="s">
        <v>162</v>
      </c>
      <c r="T123" s="27">
        <f>B5</f>
        <v>0</v>
      </c>
      <c r="U123" s="36">
        <v>0</v>
      </c>
      <c r="V123" s="27">
        <f>D5</f>
        <v>0</v>
      </c>
      <c r="W123" s="36">
        <f>V123</f>
        <v>0</v>
      </c>
      <c r="X123" s="27" t="str">
        <f>F5</f>
        <v xml:space="preserve"> </v>
      </c>
      <c r="Y123" s="36" t="str">
        <f>X123</f>
        <v xml:space="preserve"> </v>
      </c>
      <c r="Z123" s="29"/>
      <c r="AB123" s="27" t="s">
        <v>162</v>
      </c>
      <c r="AC123" s="27">
        <f>B5</f>
        <v>0</v>
      </c>
      <c r="AD123" s="36">
        <v>0</v>
      </c>
      <c r="AE123" s="27">
        <f>D5</f>
        <v>0</v>
      </c>
      <c r="AF123" s="36">
        <f>AE123</f>
        <v>0</v>
      </c>
      <c r="AG123" s="27" t="str">
        <f>F5</f>
        <v xml:space="preserve"> </v>
      </c>
      <c r="AH123" s="36" t="str">
        <f>AG123</f>
        <v xml:space="preserve"> </v>
      </c>
      <c r="AI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  <c r="J124" s="27" t="s">
        <v>163</v>
      </c>
      <c r="K124" s="27">
        <f t="shared" ref="K124:P124" si="0">(K121*K122)+K123</f>
        <v>0</v>
      </c>
      <c r="L124" s="24">
        <f t="shared" si="0"/>
        <v>0</v>
      </c>
      <c r="M124" s="27">
        <f t="shared" si="0"/>
        <v>0</v>
      </c>
      <c r="N124" s="24">
        <f t="shared" si="0"/>
        <v>0</v>
      </c>
      <c r="O124" s="27" t="e">
        <f t="shared" si="0"/>
        <v>#VALUE!</v>
      </c>
      <c r="P124" s="24" t="e">
        <f t="shared" si="0"/>
        <v>#VALUE!</v>
      </c>
      <c r="Q124" s="29"/>
      <c r="S124" s="27" t="s">
        <v>163</v>
      </c>
      <c r="T124" s="27">
        <f t="shared" ref="T124:Y124" si="1">(T121*T122)+T123</f>
        <v>0</v>
      </c>
      <c r="U124" s="24">
        <f t="shared" si="1"/>
        <v>0</v>
      </c>
      <c r="V124" s="27">
        <f t="shared" si="1"/>
        <v>0</v>
      </c>
      <c r="W124" s="24">
        <f t="shared" si="1"/>
        <v>0</v>
      </c>
      <c r="X124" s="27" t="e">
        <f t="shared" si="1"/>
        <v>#VALUE!</v>
      </c>
      <c r="Y124" s="24" t="e">
        <f t="shared" si="1"/>
        <v>#VALUE!</v>
      </c>
      <c r="Z124" s="29"/>
      <c r="AB124" s="27" t="s">
        <v>163</v>
      </c>
      <c r="AC124" s="27">
        <f t="shared" ref="AC124:AH124" si="2">(AC121*AC122)+AC123</f>
        <v>0</v>
      </c>
      <c r="AD124" s="24">
        <f t="shared" si="2"/>
        <v>0</v>
      </c>
      <c r="AE124" s="27">
        <f t="shared" si="2"/>
        <v>0</v>
      </c>
      <c r="AF124" s="24">
        <f t="shared" si="2"/>
        <v>0</v>
      </c>
      <c r="AG124" s="27" t="e">
        <f t="shared" si="2"/>
        <v>#VALUE!</v>
      </c>
      <c r="AH124" s="24" t="e">
        <f t="shared" si="2"/>
        <v>#VALUE!</v>
      </c>
      <c r="AI124" s="29"/>
    </row>
    <row r="125" spans="1:35">
      <c r="A125" s="49" t="s">
        <v>164</v>
      </c>
      <c r="B125" s="49">
        <f t="shared" ref="B125:G125" si="3">B121-B124</f>
        <v>14333.33</v>
      </c>
      <c r="C125" s="57">
        <f t="shared" si="3"/>
        <v>16412.5</v>
      </c>
      <c r="D125" s="49">
        <f t="shared" si="3"/>
        <v>0</v>
      </c>
      <c r="E125" s="57">
        <f t="shared" si="3"/>
        <v>0</v>
      </c>
      <c r="F125" s="49">
        <f t="shared" si="3"/>
        <v>0</v>
      </c>
      <c r="G125" s="57">
        <f t="shared" si="3"/>
        <v>0</v>
      </c>
      <c r="H125" s="57"/>
      <c r="J125" s="49" t="s">
        <v>164</v>
      </c>
      <c r="K125" s="49">
        <f t="shared" ref="K125:P125" si="4">K121-K124</f>
        <v>0</v>
      </c>
      <c r="L125" s="57">
        <f t="shared" si="4"/>
        <v>28629.17</v>
      </c>
      <c r="M125" s="49">
        <f t="shared" si="4"/>
        <v>0</v>
      </c>
      <c r="N125" s="57">
        <f t="shared" si="4"/>
        <v>0</v>
      </c>
      <c r="O125" s="49" t="e">
        <f t="shared" si="4"/>
        <v>#VALUE!</v>
      </c>
      <c r="P125" s="57" t="e">
        <f t="shared" si="4"/>
        <v>#VALUE!</v>
      </c>
      <c r="Q125" s="57"/>
      <c r="S125" s="49" t="s">
        <v>164</v>
      </c>
      <c r="T125" s="49">
        <f t="shared" ref="T125:Y125" si="5">T121-T124</f>
        <v>0</v>
      </c>
      <c r="U125" s="57">
        <f t="shared" si="5"/>
        <v>0</v>
      </c>
      <c r="V125" s="49">
        <f t="shared" si="5"/>
        <v>0</v>
      </c>
      <c r="W125" s="57">
        <f t="shared" si="5"/>
        <v>0</v>
      </c>
      <c r="X125" s="49" t="e">
        <f t="shared" si="5"/>
        <v>#VALUE!</v>
      </c>
      <c r="Y125" s="57" t="e">
        <f t="shared" si="5"/>
        <v>#VALUE!</v>
      </c>
      <c r="Z125" s="57"/>
      <c r="AB125" s="49" t="s">
        <v>164</v>
      </c>
      <c r="AC125" s="49">
        <f t="shared" ref="AC125:AH125" si="6">AC121-AC124</f>
        <v>0</v>
      </c>
      <c r="AD125" s="57">
        <f t="shared" si="6"/>
        <v>0</v>
      </c>
      <c r="AE125" s="49">
        <f t="shared" si="6"/>
        <v>0</v>
      </c>
      <c r="AF125" s="57">
        <f t="shared" si="6"/>
        <v>0</v>
      </c>
      <c r="AG125" s="49" t="e">
        <f t="shared" si="6"/>
        <v>#VALUE!</v>
      </c>
      <c r="AH125" s="57" t="e">
        <f t="shared" si="6"/>
        <v>#VALUE!</v>
      </c>
      <c r="AI125" s="57"/>
    </row>
    <row r="126" spans="1:35">
      <c r="A126" s="27"/>
      <c r="B126" s="28"/>
      <c r="C126" s="28"/>
      <c r="D126" s="28"/>
      <c r="E126" s="28"/>
      <c r="F126" s="28"/>
      <c r="G126" s="28"/>
      <c r="H126" s="29"/>
      <c r="J126" s="27"/>
      <c r="K126" s="28"/>
      <c r="L126" s="28"/>
      <c r="M126" s="28"/>
      <c r="N126" s="28"/>
      <c r="O126" s="28"/>
      <c r="P126" s="28"/>
      <c r="Q126" s="29"/>
      <c r="S126" s="27"/>
      <c r="T126" s="28"/>
      <c r="U126" s="28"/>
      <c r="V126" s="28"/>
      <c r="W126" s="28"/>
      <c r="X126" s="28"/>
      <c r="Y126" s="28"/>
      <c r="Z126" s="29"/>
      <c r="AB126" s="27"/>
      <c r="AC126" s="28"/>
      <c r="AD126" s="28"/>
      <c r="AE126" s="28"/>
      <c r="AF126" s="28"/>
      <c r="AG126" s="28"/>
      <c r="AH126" s="28"/>
      <c r="AI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  <c r="J127" s="107"/>
      <c r="K127" s="108"/>
      <c r="L127" s="108"/>
      <c r="M127" s="108"/>
      <c r="N127" s="108"/>
      <c r="O127" s="108"/>
      <c r="P127" s="109" t="s">
        <v>158</v>
      </c>
      <c r="Q127" s="110" t="s">
        <v>159</v>
      </c>
      <c r="S127" s="107"/>
      <c r="T127" s="108"/>
      <c r="U127" s="108"/>
      <c r="V127" s="108"/>
      <c r="W127" s="108"/>
      <c r="X127" s="108"/>
      <c r="Y127" s="109" t="s">
        <v>158</v>
      </c>
      <c r="Z127" s="110" t="s">
        <v>159</v>
      </c>
      <c r="AB127" s="107"/>
      <c r="AC127" s="108"/>
      <c r="AD127" s="108"/>
      <c r="AE127" s="108"/>
      <c r="AF127" s="108"/>
      <c r="AG127" s="108"/>
      <c r="AH127" s="109" t="s">
        <v>158</v>
      </c>
      <c r="AI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  <c r="J128" s="111" t="s">
        <v>165</v>
      </c>
      <c r="K128" s="112"/>
      <c r="L128" s="112"/>
      <c r="M128" s="112"/>
      <c r="N128" s="112"/>
      <c r="O128" s="112"/>
      <c r="P128" s="113">
        <f>Q121</f>
        <v>0</v>
      </c>
      <c r="Q128" s="114">
        <f>SUM(Q131:Q133)</f>
        <v>0</v>
      </c>
      <c r="S128" s="111" t="s">
        <v>165</v>
      </c>
      <c r="T128" s="112"/>
      <c r="U128" s="112"/>
      <c r="V128" s="112"/>
      <c r="W128" s="112"/>
      <c r="X128" s="112"/>
      <c r="Y128" s="113">
        <f>Z121</f>
        <v>0</v>
      </c>
      <c r="Z128" s="114">
        <f>SUM(Z131:Z133)</f>
        <v>0</v>
      </c>
      <c r="AB128" s="111" t="s">
        <v>165</v>
      </c>
      <c r="AC128" s="112"/>
      <c r="AD128" s="112"/>
      <c r="AE128" s="112"/>
      <c r="AF128" s="112"/>
      <c r="AG128" s="112"/>
      <c r="AH128" s="113">
        <f>AI121</f>
        <v>0</v>
      </c>
      <c r="AI128" s="114">
        <f>SUM(AI131:AI133)</f>
        <v>0</v>
      </c>
    </row>
    <row r="129" spans="1:35">
      <c r="A129" s="27"/>
      <c r="B129" s="28"/>
      <c r="C129" s="28"/>
      <c r="D129" s="28"/>
      <c r="E129" s="28"/>
      <c r="F129" s="28"/>
      <c r="G129" s="115"/>
      <c r="H129" s="116"/>
      <c r="J129" s="27"/>
      <c r="K129" s="28"/>
      <c r="L129" s="28"/>
      <c r="M129" s="28"/>
      <c r="N129" s="28"/>
      <c r="O129" s="28"/>
      <c r="P129" s="115"/>
      <c r="Q129" s="116"/>
      <c r="S129" s="27"/>
      <c r="T129" s="28"/>
      <c r="U129" s="28"/>
      <c r="V129" s="28"/>
      <c r="W129" s="28"/>
      <c r="X129" s="28"/>
      <c r="Y129" s="115"/>
      <c r="Z129" s="116"/>
      <c r="AB129" s="27"/>
      <c r="AC129" s="28"/>
      <c r="AD129" s="28"/>
      <c r="AE129" s="28"/>
      <c r="AF129" s="28"/>
      <c r="AG129" s="28"/>
      <c r="AH129" s="115"/>
      <c r="AI129" s="116"/>
    </row>
    <row r="130" spans="1:35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J130" s="117" t="s">
        <v>166</v>
      </c>
      <c r="K130" s="352" t="s">
        <v>167</v>
      </c>
      <c r="L130" s="352"/>
      <c r="M130" s="352" t="s">
        <v>168</v>
      </c>
      <c r="N130" s="352"/>
      <c r="O130" s="352" t="s">
        <v>162</v>
      </c>
      <c r="P130" s="352"/>
      <c r="Q130" s="116" t="s">
        <v>159</v>
      </c>
      <c r="S130" s="117" t="s">
        <v>166</v>
      </c>
      <c r="T130" s="352" t="s">
        <v>167</v>
      </c>
      <c r="U130" s="352"/>
      <c r="V130" s="352" t="s">
        <v>168</v>
      </c>
      <c r="W130" s="352"/>
      <c r="X130" s="352" t="s">
        <v>162</v>
      </c>
      <c r="Y130" s="352"/>
      <c r="Z130" s="116" t="s">
        <v>159</v>
      </c>
      <c r="AB130" s="117" t="s">
        <v>166</v>
      </c>
      <c r="AC130" s="352" t="s">
        <v>167</v>
      </c>
      <c r="AD130" s="352"/>
      <c r="AE130" s="352" t="s">
        <v>168</v>
      </c>
      <c r="AF130" s="352"/>
      <c r="AG130" s="352" t="s">
        <v>162</v>
      </c>
      <c r="AH130" s="352"/>
      <c r="AI130" s="116" t="s">
        <v>159</v>
      </c>
    </row>
    <row r="131" spans="1:35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J131" s="27" t="s">
        <v>169</v>
      </c>
      <c r="K131" s="354">
        <f>P128</f>
        <v>0</v>
      </c>
      <c r="L131" s="354"/>
      <c r="M131" s="355">
        <v>0</v>
      </c>
      <c r="N131" s="355"/>
      <c r="O131" s="354">
        <v>0</v>
      </c>
      <c r="P131" s="354"/>
      <c r="Q131" s="119">
        <f>(K131-(K131*M131))-O131</f>
        <v>0</v>
      </c>
      <c r="S131" s="27" t="s">
        <v>169</v>
      </c>
      <c r="T131" s="354">
        <f>Y128</f>
        <v>0</v>
      </c>
      <c r="U131" s="354"/>
      <c r="V131" s="355">
        <v>0</v>
      </c>
      <c r="W131" s="355"/>
      <c r="X131" s="354">
        <v>0</v>
      </c>
      <c r="Y131" s="354"/>
      <c r="Z131" s="119">
        <f>(T131-(T131*V131))-X131</f>
        <v>0</v>
      </c>
      <c r="AB131" s="27" t="s">
        <v>169</v>
      </c>
      <c r="AC131" s="354">
        <f>AH128</f>
        <v>0</v>
      </c>
      <c r="AD131" s="354"/>
      <c r="AE131" s="355">
        <v>0</v>
      </c>
      <c r="AF131" s="355"/>
      <c r="AG131" s="354">
        <v>0</v>
      </c>
      <c r="AH131" s="354"/>
      <c r="AI131" s="119">
        <f>(AC131-(AC131*AE131))-AG131</f>
        <v>0</v>
      </c>
    </row>
    <row r="132" spans="1:35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J132" s="27" t="s">
        <v>170</v>
      </c>
      <c r="K132" s="354">
        <v>0</v>
      </c>
      <c r="L132" s="354"/>
      <c r="M132" s="355">
        <v>0</v>
      </c>
      <c r="N132" s="355"/>
      <c r="O132" s="354">
        <v>0</v>
      </c>
      <c r="P132" s="354"/>
      <c r="Q132" s="119">
        <f>(K132-(K132*M132))-O132</f>
        <v>0</v>
      </c>
      <c r="S132" s="27" t="s">
        <v>170</v>
      </c>
      <c r="T132" s="354">
        <v>0</v>
      </c>
      <c r="U132" s="354"/>
      <c r="V132" s="355">
        <v>0</v>
      </c>
      <c r="W132" s="355"/>
      <c r="X132" s="354">
        <v>0</v>
      </c>
      <c r="Y132" s="354"/>
      <c r="Z132" s="119">
        <f>(T132-(T132*V132))-X132</f>
        <v>0</v>
      </c>
      <c r="AB132" s="27" t="s">
        <v>170</v>
      </c>
      <c r="AC132" s="354">
        <v>0</v>
      </c>
      <c r="AD132" s="354"/>
      <c r="AE132" s="355">
        <v>0</v>
      </c>
      <c r="AF132" s="355"/>
      <c r="AG132" s="354">
        <v>0</v>
      </c>
      <c r="AH132" s="354"/>
      <c r="AI132" s="119">
        <f>(AC132-(AC132*AE132))-AG132</f>
        <v>0</v>
      </c>
    </row>
    <row r="133" spans="1:35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J133" s="27" t="s">
        <v>171</v>
      </c>
      <c r="K133" s="354">
        <v>0</v>
      </c>
      <c r="L133" s="354"/>
      <c r="M133" s="355">
        <v>0</v>
      </c>
      <c r="N133" s="355"/>
      <c r="O133" s="354">
        <v>0</v>
      </c>
      <c r="P133" s="354"/>
      <c r="Q133" s="119">
        <f>(K133-(K133*M133))-O133</f>
        <v>0</v>
      </c>
      <c r="S133" s="27" t="s">
        <v>171</v>
      </c>
      <c r="T133" s="354">
        <v>0</v>
      </c>
      <c r="U133" s="354"/>
      <c r="V133" s="355">
        <v>0</v>
      </c>
      <c r="W133" s="355"/>
      <c r="X133" s="354">
        <v>0</v>
      </c>
      <c r="Y133" s="354"/>
      <c r="Z133" s="119">
        <f>(T133-(T133*V133))-X133</f>
        <v>0</v>
      </c>
      <c r="AB133" s="27" t="s">
        <v>171</v>
      </c>
      <c r="AC133" s="354">
        <v>0</v>
      </c>
      <c r="AD133" s="354"/>
      <c r="AE133" s="355">
        <v>0</v>
      </c>
      <c r="AF133" s="355"/>
      <c r="AG133" s="354">
        <v>0</v>
      </c>
      <c r="AH133" s="354"/>
      <c r="AI133" s="119">
        <f>(AC133-(AC133*AE133))-AG133</f>
        <v>0</v>
      </c>
    </row>
    <row r="134" spans="1:35">
      <c r="A134" s="27"/>
      <c r="B134" s="28"/>
      <c r="C134" s="28"/>
      <c r="D134" s="28"/>
      <c r="E134" s="28"/>
      <c r="F134" s="28"/>
      <c r="G134" s="115"/>
      <c r="H134" s="116"/>
      <c r="J134" s="27"/>
      <c r="K134" s="28"/>
      <c r="L134" s="28"/>
      <c r="M134" s="28"/>
      <c r="N134" s="28"/>
      <c r="O134" s="28"/>
      <c r="P134" s="115"/>
      <c r="Q134" s="116"/>
      <c r="S134" s="27"/>
      <c r="T134" s="28"/>
      <c r="U134" s="28"/>
      <c r="V134" s="28"/>
      <c r="W134" s="28"/>
      <c r="X134" s="28"/>
      <c r="Y134" s="115"/>
      <c r="Z134" s="116"/>
      <c r="AB134" s="27"/>
      <c r="AC134" s="28"/>
      <c r="AD134" s="28"/>
      <c r="AE134" s="28"/>
      <c r="AF134" s="28"/>
      <c r="AG134" s="28"/>
      <c r="AH134" s="115"/>
      <c r="AI134" s="116"/>
    </row>
    <row r="135" spans="1:35" ht="21">
      <c r="A135" s="356" t="s">
        <v>172</v>
      </c>
      <c r="B135" s="356"/>
      <c r="C135" s="356"/>
      <c r="D135" s="356"/>
      <c r="E135" s="356"/>
      <c r="F135" s="356"/>
      <c r="G135" s="109">
        <f>B121</f>
        <v>14333.33</v>
      </c>
      <c r="H135" s="120">
        <f>C125+E125+G125+H128</f>
        <v>16412.5</v>
      </c>
      <c r="J135" s="356" t="s">
        <v>172</v>
      </c>
      <c r="K135" s="356"/>
      <c r="L135" s="356"/>
      <c r="M135" s="356"/>
      <c r="N135" s="356"/>
      <c r="O135" s="356"/>
      <c r="P135" s="109">
        <f t="shared" ref="P135:P142" si="7">H9</f>
        <v>0</v>
      </c>
      <c r="Q135" s="120" t="e">
        <f>L125+N125+P125+Q128</f>
        <v>#VALUE!</v>
      </c>
      <c r="S135" s="356" t="s">
        <v>172</v>
      </c>
      <c r="T135" s="356"/>
      <c r="U135" s="356"/>
      <c r="V135" s="356"/>
      <c r="W135" s="356"/>
      <c r="X135" s="356"/>
      <c r="Y135" s="109">
        <f t="shared" ref="Y135:Y142" si="8">H9</f>
        <v>0</v>
      </c>
      <c r="Z135" s="120" t="e">
        <f>U125+W125+Y125+Z128</f>
        <v>#VALUE!</v>
      </c>
      <c r="AB135" s="356" t="s">
        <v>172</v>
      </c>
      <c r="AC135" s="356"/>
      <c r="AD135" s="356"/>
      <c r="AE135" s="356"/>
      <c r="AF135" s="356"/>
      <c r="AG135" s="356"/>
      <c r="AH135" s="109">
        <f t="shared" ref="AH135:AH142" si="9">H9</f>
        <v>0</v>
      </c>
      <c r="AI135" s="120" t="e">
        <f>AD125+AF125+AH125+AI128</f>
        <v>#VALUE!</v>
      </c>
    </row>
    <row r="136" spans="1:35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57" t="s">
        <v>173</v>
      </c>
      <c r="K136" s="357"/>
      <c r="L136" s="357"/>
      <c r="M136" s="357"/>
      <c r="N136" s="357"/>
      <c r="O136" s="357"/>
      <c r="P136" s="121">
        <f t="shared" si="7"/>
        <v>0</v>
      </c>
      <c r="Q136" s="29">
        <f>P136</f>
        <v>0</v>
      </c>
      <c r="S136" s="357" t="s">
        <v>173</v>
      </c>
      <c r="T136" s="357"/>
      <c r="U136" s="357"/>
      <c r="V136" s="357"/>
      <c r="W136" s="357"/>
      <c r="X136" s="357"/>
      <c r="Y136" s="121">
        <f t="shared" si="8"/>
        <v>0</v>
      </c>
      <c r="Z136" s="29">
        <f>Y136</f>
        <v>0</v>
      </c>
      <c r="AB136" s="357" t="s">
        <v>173</v>
      </c>
      <c r="AC136" s="357"/>
      <c r="AD136" s="357"/>
      <c r="AE136" s="357"/>
      <c r="AF136" s="357"/>
      <c r="AG136" s="357"/>
      <c r="AH136" s="121">
        <f t="shared" si="9"/>
        <v>0</v>
      </c>
      <c r="AI136" s="29">
        <f>AH136</f>
        <v>0</v>
      </c>
    </row>
    <row r="137" spans="1:35">
      <c r="A137" s="357" t="s">
        <v>174</v>
      </c>
      <c r="B137" s="357"/>
      <c r="C137" s="357"/>
      <c r="D137" s="357"/>
      <c r="E137" s="357"/>
      <c r="F137" s="357"/>
      <c r="G137" s="29">
        <f>(G135+G136)*20%</f>
        <v>2866.6660000000002</v>
      </c>
      <c r="H137" s="29">
        <f>(H135+H136)*20%</f>
        <v>3282.5</v>
      </c>
      <c r="J137" s="357" t="s">
        <v>174</v>
      </c>
      <c r="K137" s="357"/>
      <c r="L137" s="357"/>
      <c r="M137" s="357"/>
      <c r="N137" s="357"/>
      <c r="O137" s="357"/>
      <c r="P137" s="121">
        <f t="shared" si="7"/>
        <v>0</v>
      </c>
      <c r="Q137" s="29" t="e">
        <f>(Q135+Q136)*20%</f>
        <v>#VALUE!</v>
      </c>
      <c r="S137" s="357" t="s">
        <v>174</v>
      </c>
      <c r="T137" s="357"/>
      <c r="U137" s="357"/>
      <c r="V137" s="357"/>
      <c r="W137" s="357"/>
      <c r="X137" s="357"/>
      <c r="Y137" s="121">
        <f t="shared" si="8"/>
        <v>0</v>
      </c>
      <c r="Z137" s="29" t="e">
        <f>(Z135+Z136)*20%</f>
        <v>#VALUE!</v>
      </c>
      <c r="AB137" s="357" t="s">
        <v>174</v>
      </c>
      <c r="AC137" s="357"/>
      <c r="AD137" s="357"/>
      <c r="AE137" s="357"/>
      <c r="AF137" s="357"/>
      <c r="AG137" s="357"/>
      <c r="AH137" s="121">
        <f t="shared" si="9"/>
        <v>0</v>
      </c>
      <c r="AI137" s="29" t="e">
        <f>(AI135+AI136)*20%</f>
        <v>#VALUE!</v>
      </c>
    </row>
    <row r="138" spans="1:35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57" t="s">
        <v>175</v>
      </c>
      <c r="K138" s="357"/>
      <c r="L138" s="357"/>
      <c r="M138" s="357"/>
      <c r="N138" s="357"/>
      <c r="O138" s="357"/>
      <c r="P138" s="121">
        <f t="shared" si="7"/>
        <v>0</v>
      </c>
      <c r="Q138" s="29">
        <f>P138</f>
        <v>0</v>
      </c>
      <c r="S138" s="357" t="s">
        <v>175</v>
      </c>
      <c r="T138" s="357"/>
      <c r="U138" s="357"/>
      <c r="V138" s="357"/>
      <c r="W138" s="357"/>
      <c r="X138" s="357"/>
      <c r="Y138" s="121">
        <f t="shared" si="8"/>
        <v>0</v>
      </c>
      <c r="Z138" s="29">
        <f>Y138</f>
        <v>0</v>
      </c>
      <c r="AB138" s="357" t="s">
        <v>175</v>
      </c>
      <c r="AC138" s="357"/>
      <c r="AD138" s="357"/>
      <c r="AE138" s="357"/>
      <c r="AF138" s="357"/>
      <c r="AG138" s="357"/>
      <c r="AH138" s="121">
        <f t="shared" si="9"/>
        <v>0</v>
      </c>
      <c r="AI138" s="29">
        <f>AH138</f>
        <v>0</v>
      </c>
    </row>
    <row r="139" spans="1:35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57" t="s">
        <v>176</v>
      </c>
      <c r="K139" s="357"/>
      <c r="L139" s="357"/>
      <c r="M139" s="357"/>
      <c r="N139" s="357"/>
      <c r="O139" s="357"/>
      <c r="P139" s="121">
        <f t="shared" si="7"/>
        <v>0</v>
      </c>
      <c r="Q139" s="29">
        <f>P139</f>
        <v>0</v>
      </c>
      <c r="S139" s="357" t="s">
        <v>176</v>
      </c>
      <c r="T139" s="357"/>
      <c r="U139" s="357"/>
      <c r="V139" s="357"/>
      <c r="W139" s="357"/>
      <c r="X139" s="357"/>
      <c r="Y139" s="121">
        <f t="shared" si="8"/>
        <v>0</v>
      </c>
      <c r="Z139" s="29">
        <f>Y139</f>
        <v>0</v>
      </c>
      <c r="AB139" s="357" t="s">
        <v>176</v>
      </c>
      <c r="AC139" s="357"/>
      <c r="AD139" s="357"/>
      <c r="AE139" s="357"/>
      <c r="AF139" s="357"/>
      <c r="AG139" s="357"/>
      <c r="AH139" s="121">
        <f t="shared" si="9"/>
        <v>0</v>
      </c>
      <c r="AI139" s="29">
        <f>AH139</f>
        <v>0</v>
      </c>
    </row>
    <row r="140" spans="1:35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57" t="s">
        <v>177</v>
      </c>
      <c r="K140" s="357"/>
      <c r="L140" s="357"/>
      <c r="M140" s="357"/>
      <c r="N140" s="357"/>
      <c r="O140" s="357"/>
      <c r="P140" s="121">
        <f t="shared" si="7"/>
        <v>0</v>
      </c>
      <c r="Q140" s="29">
        <v>55</v>
      </c>
      <c r="S140" s="357" t="s">
        <v>177</v>
      </c>
      <c r="T140" s="357"/>
      <c r="U140" s="357"/>
      <c r="V140" s="357"/>
      <c r="W140" s="357"/>
      <c r="X140" s="357"/>
      <c r="Y140" s="121">
        <f t="shared" si="8"/>
        <v>0</v>
      </c>
      <c r="Z140" s="29">
        <v>55</v>
      </c>
      <c r="AB140" s="357" t="s">
        <v>177</v>
      </c>
      <c r="AC140" s="357"/>
      <c r="AD140" s="357"/>
      <c r="AE140" s="357"/>
      <c r="AF140" s="357"/>
      <c r="AG140" s="357"/>
      <c r="AH140" s="121">
        <f t="shared" si="9"/>
        <v>0</v>
      </c>
      <c r="AI140" s="29">
        <v>55</v>
      </c>
    </row>
    <row r="141" spans="1:35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17199.995999999999</v>
      </c>
      <c r="H141" s="122">
        <f>(H135+H136+H139+H140+H137)-H138</f>
        <v>19695</v>
      </c>
      <c r="J141" s="357" t="s">
        <v>178</v>
      </c>
      <c r="K141" s="357"/>
      <c r="L141" s="357"/>
      <c r="M141" s="357"/>
      <c r="N141" s="357"/>
      <c r="O141" s="357"/>
      <c r="P141" s="123">
        <f t="shared" si="7"/>
        <v>0</v>
      </c>
      <c r="Q141" s="122" t="e">
        <f>(Q135+Q136+Q139+Q140+Q137)-Q138</f>
        <v>#VALUE!</v>
      </c>
      <c r="S141" s="357" t="s">
        <v>178</v>
      </c>
      <c r="T141" s="357"/>
      <c r="U141" s="357"/>
      <c r="V141" s="357"/>
      <c r="W141" s="357"/>
      <c r="X141" s="357"/>
      <c r="Y141" s="123">
        <f t="shared" si="8"/>
        <v>0</v>
      </c>
      <c r="Z141" s="122" t="e">
        <f>(Z135+Z136+Z139+Z140+Z137)-Z138</f>
        <v>#VALUE!</v>
      </c>
      <c r="AB141" s="357" t="s">
        <v>178</v>
      </c>
      <c r="AC141" s="357"/>
      <c r="AD141" s="357"/>
      <c r="AE141" s="357"/>
      <c r="AF141" s="357"/>
      <c r="AG141" s="357"/>
      <c r="AH141" s="123">
        <f t="shared" si="9"/>
        <v>0</v>
      </c>
      <c r="AI141" s="122" t="e">
        <f>(AI135+AI136+AI139+AI140+AI137)-AI138</f>
        <v>#VALUE!</v>
      </c>
    </row>
    <row r="142" spans="1:35">
      <c r="A142" s="357" t="s">
        <v>179</v>
      </c>
      <c r="B142" s="357"/>
      <c r="C142" s="357"/>
      <c r="D142" s="357"/>
      <c r="E142" s="357"/>
      <c r="F142" s="357"/>
      <c r="G142" s="121">
        <f>H16</f>
        <v>0</v>
      </c>
      <c r="H142" s="36">
        <f>G142</f>
        <v>0</v>
      </c>
      <c r="J142" s="357" t="s">
        <v>179</v>
      </c>
      <c r="K142" s="357"/>
      <c r="L142" s="357"/>
      <c r="M142" s="357"/>
      <c r="N142" s="357"/>
      <c r="O142" s="357"/>
      <c r="P142" s="121">
        <f t="shared" si="7"/>
        <v>0</v>
      </c>
      <c r="Q142" s="36">
        <f>P142</f>
        <v>0</v>
      </c>
      <c r="S142" s="357" t="s">
        <v>179</v>
      </c>
      <c r="T142" s="357"/>
      <c r="U142" s="357"/>
      <c r="V142" s="357"/>
      <c r="W142" s="357"/>
      <c r="X142" s="357"/>
      <c r="Y142" s="121">
        <f t="shared" si="8"/>
        <v>0</v>
      </c>
      <c r="Z142" s="36">
        <f>Y142</f>
        <v>0</v>
      </c>
      <c r="AB142" s="357" t="s">
        <v>179</v>
      </c>
      <c r="AC142" s="357"/>
      <c r="AD142" s="357"/>
      <c r="AE142" s="357"/>
      <c r="AF142" s="357"/>
      <c r="AG142" s="357"/>
      <c r="AH142" s="121">
        <f t="shared" si="9"/>
        <v>0</v>
      </c>
      <c r="AI142" s="36">
        <f>AH142</f>
        <v>0</v>
      </c>
    </row>
    <row r="143" spans="1:35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58" t="s">
        <v>180</v>
      </c>
      <c r="K143" s="358"/>
      <c r="L143" s="358"/>
      <c r="M143" s="358"/>
      <c r="N143" s="358"/>
      <c r="O143" s="358"/>
      <c r="P143" s="34"/>
      <c r="Q143" s="29"/>
      <c r="S143" s="358" t="s">
        <v>180</v>
      </c>
      <c r="T143" s="358"/>
      <c r="U143" s="358"/>
      <c r="V143" s="358"/>
      <c r="W143" s="358"/>
      <c r="X143" s="358"/>
      <c r="Y143" s="34"/>
      <c r="Z143" s="29"/>
      <c r="AB143" s="358" t="s">
        <v>180</v>
      </c>
      <c r="AC143" s="358"/>
      <c r="AD143" s="358"/>
      <c r="AE143" s="358"/>
      <c r="AF143" s="358"/>
      <c r="AG143" s="358"/>
      <c r="AH143" s="34"/>
      <c r="AI143" s="29"/>
    </row>
    <row r="144" spans="1:35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J144" s="124" t="s">
        <v>26</v>
      </c>
      <c r="K144" s="360" t="s">
        <v>181</v>
      </c>
      <c r="L144" s="360"/>
      <c r="M144" s="360"/>
      <c r="N144" s="360"/>
      <c r="O144" s="360"/>
      <c r="P144" s="121">
        <f>H18</f>
        <v>0</v>
      </c>
      <c r="Q144" s="36">
        <f>P144</f>
        <v>0</v>
      </c>
      <c r="S144" s="124" t="s">
        <v>26</v>
      </c>
      <c r="T144" s="360" t="s">
        <v>181</v>
      </c>
      <c r="U144" s="360"/>
      <c r="V144" s="360"/>
      <c r="W144" s="360"/>
      <c r="X144" s="360"/>
      <c r="Y144" s="121">
        <f>H18</f>
        <v>0</v>
      </c>
      <c r="Z144" s="36">
        <f>Y144</f>
        <v>0</v>
      </c>
      <c r="AB144" s="124" t="s">
        <v>26</v>
      </c>
      <c r="AC144" s="360" t="s">
        <v>181</v>
      </c>
      <c r="AD144" s="360"/>
      <c r="AE144" s="360"/>
      <c r="AF144" s="360"/>
      <c r="AG144" s="360"/>
      <c r="AH144" s="121">
        <f>H18</f>
        <v>0</v>
      </c>
      <c r="AI144" s="36">
        <f>AH144</f>
        <v>0</v>
      </c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J145" s="124" t="s">
        <v>28</v>
      </c>
      <c r="K145" s="360" t="s">
        <v>181</v>
      </c>
      <c r="L145" s="360"/>
      <c r="M145" s="360"/>
      <c r="N145" s="360"/>
      <c r="O145" s="360"/>
      <c r="P145" s="121">
        <f>H19</f>
        <v>0</v>
      </c>
      <c r="Q145" s="36">
        <f>P145</f>
        <v>0</v>
      </c>
      <c r="S145" s="124" t="s">
        <v>28</v>
      </c>
      <c r="T145" s="360" t="s">
        <v>181</v>
      </c>
      <c r="U145" s="360"/>
      <c r="V145" s="360"/>
      <c r="W145" s="360"/>
      <c r="X145" s="360"/>
      <c r="Y145" s="121">
        <f>H19</f>
        <v>0</v>
      </c>
      <c r="Z145" s="36">
        <f>Y145</f>
        <v>0</v>
      </c>
      <c r="AB145" s="124" t="s">
        <v>28</v>
      </c>
      <c r="AC145" s="360" t="s">
        <v>181</v>
      </c>
      <c r="AD145" s="360"/>
      <c r="AE145" s="360"/>
      <c r="AF145" s="360"/>
      <c r="AG145" s="360"/>
      <c r="AH145" s="121">
        <f>H19</f>
        <v>0</v>
      </c>
      <c r="AI145" s="36">
        <f>AH145</f>
        <v>0</v>
      </c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J146" s="125" t="s">
        <v>29</v>
      </c>
      <c r="K146" s="361" t="s">
        <v>181</v>
      </c>
      <c r="L146" s="361"/>
      <c r="M146" s="361"/>
      <c r="N146" s="361"/>
      <c r="O146" s="361"/>
      <c r="P146" s="121">
        <f>H20</f>
        <v>0</v>
      </c>
      <c r="Q146" s="36">
        <f>P146</f>
        <v>0</v>
      </c>
      <c r="S146" s="125" t="s">
        <v>29</v>
      </c>
      <c r="T146" s="361" t="s">
        <v>181</v>
      </c>
      <c r="U146" s="361"/>
      <c r="V146" s="361"/>
      <c r="W146" s="361"/>
      <c r="X146" s="361"/>
      <c r="Y146" s="121">
        <f>H20</f>
        <v>0</v>
      </c>
      <c r="Z146" s="36">
        <f>Y146</f>
        <v>0</v>
      </c>
      <c r="AB146" s="125" t="s">
        <v>29</v>
      </c>
      <c r="AC146" s="361" t="s">
        <v>181</v>
      </c>
      <c r="AD146" s="361"/>
      <c r="AE146" s="361"/>
      <c r="AF146" s="361"/>
      <c r="AG146" s="361"/>
      <c r="AH146" s="121">
        <f>H20</f>
        <v>0</v>
      </c>
      <c r="AI146" s="36">
        <f>AH146</f>
        <v>0</v>
      </c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17199.995999999999</v>
      </c>
      <c r="H147" s="126">
        <f>H141-((H144*1.2)+(H145*1.2)+(H146*1.2)+(H142*1.2))</f>
        <v>19695</v>
      </c>
      <c r="J147" s="357" t="s">
        <v>182</v>
      </c>
      <c r="K147" s="357"/>
      <c r="L147" s="357"/>
      <c r="M147" s="357"/>
      <c r="N147" s="357"/>
      <c r="O147" s="357"/>
      <c r="P147" s="123">
        <f>P141-((P144*1.2)+(P145*1.2)+(P146*1.2)+(P142*1.2))</f>
        <v>0</v>
      </c>
      <c r="Q147" s="126" t="e">
        <f>Q141-((Q144*1.2)+(Q145*1.2)+(Q146*1.2)+(Q142*1.2))</f>
        <v>#VALUE!</v>
      </c>
      <c r="S147" s="357" t="s">
        <v>182</v>
      </c>
      <c r="T147" s="357"/>
      <c r="U147" s="357"/>
      <c r="V147" s="357"/>
      <c r="W147" s="357"/>
      <c r="X147" s="357"/>
      <c r="Y147" s="123">
        <f>Y141-((Y144*1.2)+(Y145*1.2)+(Y146*1.2)+(Y142*1.2))</f>
        <v>0</v>
      </c>
      <c r="Z147" s="126" t="e">
        <f>Z141-((Z144*1.2)+(Z145*1.2)+(Z146*1.2)+(Z142*1.2))</f>
        <v>#VALUE!</v>
      </c>
      <c r="AB147" s="357" t="s">
        <v>182</v>
      </c>
      <c r="AC147" s="357"/>
      <c r="AD147" s="357"/>
      <c r="AE147" s="357"/>
      <c r="AF147" s="357"/>
      <c r="AG147" s="357"/>
      <c r="AH147" s="123">
        <f>AH141-((AH144*1.2)+(AH145*1.2)+(AH146*1.2)+(AH142*1.2))</f>
        <v>0</v>
      </c>
      <c r="AI147" s="126" t="e">
        <f>AI141-((AI144*1.2)+(AI145*1.2)+(AI146*1.2)+(AI142*1.2))</f>
        <v>#VALUE!</v>
      </c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2079.170000000001</v>
      </c>
      <c r="I148" s="4">
        <f>(H148-G81)/1.2</f>
        <v>-14196.525</v>
      </c>
      <c r="J148" s="357" t="s">
        <v>183</v>
      </c>
      <c r="K148" s="357"/>
      <c r="L148" s="357"/>
      <c r="M148" s="357"/>
      <c r="N148" s="357"/>
      <c r="O148" s="357"/>
      <c r="P148" s="121"/>
      <c r="Q148" s="36" t="e">
        <f>Q147-P147</f>
        <v>#VALUE!</v>
      </c>
      <c r="S148" s="357" t="s">
        <v>183</v>
      </c>
      <c r="T148" s="357"/>
      <c r="U148" s="357"/>
      <c r="V148" s="357"/>
      <c r="W148" s="357"/>
      <c r="X148" s="357"/>
      <c r="Y148" s="121"/>
      <c r="Z148" s="36" t="e">
        <f>Z147-Y147</f>
        <v>#VALUE!</v>
      </c>
      <c r="AB148" s="357" t="s">
        <v>183</v>
      </c>
      <c r="AC148" s="357"/>
      <c r="AD148" s="357"/>
      <c r="AE148" s="357"/>
      <c r="AF148" s="357"/>
      <c r="AG148" s="357"/>
      <c r="AH148" s="121"/>
      <c r="AI148" s="36" t="e">
        <f>AI147-AH147</f>
        <v>#VALUE!</v>
      </c>
    </row>
    <row r="149" spans="1:35">
      <c r="A149" s="27"/>
      <c r="B149" s="28"/>
      <c r="C149" s="28"/>
      <c r="D149" s="28"/>
      <c r="E149" s="21"/>
      <c r="F149" s="21"/>
      <c r="G149" s="21"/>
      <c r="H149" s="29"/>
      <c r="J149" s="27"/>
      <c r="K149" s="28"/>
      <c r="L149" s="28"/>
      <c r="M149" s="28"/>
      <c r="N149" s="21"/>
      <c r="O149" s="21"/>
      <c r="P149" s="21"/>
      <c r="Q149" s="29"/>
      <c r="S149" s="27"/>
      <c r="T149" s="28"/>
      <c r="U149" s="28"/>
      <c r="V149" s="28"/>
      <c r="W149" s="21"/>
      <c r="X149" s="21"/>
      <c r="Y149" s="21"/>
      <c r="Z149" s="29"/>
      <c r="AB149" s="27"/>
      <c r="AC149" s="28"/>
      <c r="AD149" s="28"/>
      <c r="AE149" s="28"/>
      <c r="AF149" s="21"/>
      <c r="AG149" s="21"/>
      <c r="AH149" s="21"/>
      <c r="AI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35" t="s">
        <v>184</v>
      </c>
      <c r="K150" s="335"/>
      <c r="L150" s="335"/>
      <c r="M150" s="335"/>
      <c r="N150" s="335"/>
      <c r="O150" s="335"/>
      <c r="P150" s="335"/>
      <c r="Q150" s="335"/>
      <c r="S150" s="335" t="s">
        <v>184</v>
      </c>
      <c r="T150" s="335"/>
      <c r="U150" s="335"/>
      <c r="V150" s="335"/>
      <c r="W150" s="335"/>
      <c r="X150" s="335"/>
      <c r="Y150" s="335"/>
      <c r="Z150" s="335"/>
      <c r="AB150" s="335" t="s">
        <v>184</v>
      </c>
      <c r="AC150" s="335"/>
      <c r="AD150" s="335"/>
      <c r="AE150" s="335"/>
      <c r="AF150" s="335"/>
      <c r="AG150" s="335"/>
      <c r="AH150" s="335"/>
      <c r="AI150" s="335"/>
    </row>
    <row r="151" spans="1:35">
      <c r="A151" s="27"/>
      <c r="B151" s="28"/>
      <c r="C151" s="28"/>
      <c r="D151" s="28"/>
      <c r="E151" s="21"/>
      <c r="F151" s="21"/>
      <c r="G151" s="21"/>
      <c r="H151" s="29"/>
      <c r="J151" s="27"/>
      <c r="K151" s="28"/>
      <c r="L151" s="28"/>
      <c r="M151" s="28"/>
      <c r="N151" s="21"/>
      <c r="O151" s="21"/>
      <c r="P151" s="21"/>
      <c r="Q151" s="29"/>
      <c r="S151" s="27"/>
      <c r="T151" s="28"/>
      <c r="U151" s="28"/>
      <c r="V151" s="28"/>
      <c r="W151" s="21"/>
      <c r="X151" s="21"/>
      <c r="Y151" s="21"/>
      <c r="Z151" s="29"/>
      <c r="AB151" s="27"/>
      <c r="AC151" s="28"/>
      <c r="AD151" s="28"/>
      <c r="AE151" s="28"/>
      <c r="AF151" s="21"/>
      <c r="AG151" s="21"/>
      <c r="AH151" s="21"/>
      <c r="AI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J152" s="27" t="s">
        <v>185</v>
      </c>
      <c r="K152" s="28"/>
      <c r="L152" s="28"/>
      <c r="M152" s="21"/>
      <c r="N152" s="348">
        <v>10000</v>
      </c>
      <c r="O152" s="348"/>
      <c r="P152" s="348">
        <v>5000</v>
      </c>
      <c r="Q152" s="348"/>
      <c r="S152" s="27" t="s">
        <v>185</v>
      </c>
      <c r="T152" s="28"/>
      <c r="U152" s="28"/>
      <c r="V152" s="21"/>
      <c r="W152" s="348">
        <v>10000</v>
      </c>
      <c r="X152" s="348"/>
      <c r="Y152" s="348">
        <v>5000</v>
      </c>
      <c r="Z152" s="348"/>
      <c r="AB152" s="27" t="s">
        <v>185</v>
      </c>
      <c r="AC152" s="28"/>
      <c r="AD152" s="28"/>
      <c r="AE152" s="21"/>
      <c r="AF152" s="348">
        <v>10000</v>
      </c>
      <c r="AG152" s="348"/>
      <c r="AH152" s="348">
        <v>5000</v>
      </c>
      <c r="AI152" s="348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J153" s="27" t="s">
        <v>186</v>
      </c>
      <c r="K153" s="28"/>
      <c r="L153" s="28"/>
      <c r="M153" s="21"/>
      <c r="N153" s="363">
        <f>P153</f>
        <v>7000</v>
      </c>
      <c r="O153" s="363"/>
      <c r="P153" s="348">
        <v>7000</v>
      </c>
      <c r="Q153" s="348"/>
      <c r="S153" s="27" t="s">
        <v>186</v>
      </c>
      <c r="T153" s="28"/>
      <c r="U153" s="28"/>
      <c r="V153" s="21"/>
      <c r="W153" s="363">
        <f>Y153</f>
        <v>7000</v>
      </c>
      <c r="X153" s="363"/>
      <c r="Y153" s="348">
        <v>7000</v>
      </c>
      <c r="Z153" s="348"/>
      <c r="AB153" s="27" t="s">
        <v>186</v>
      </c>
      <c r="AC153" s="28"/>
      <c r="AD153" s="28"/>
      <c r="AE153" s="21"/>
      <c r="AF153" s="363">
        <f>AH153</f>
        <v>7000</v>
      </c>
      <c r="AG153" s="363"/>
      <c r="AH153" s="348">
        <v>7000</v>
      </c>
      <c r="AI153" s="348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J154" s="27" t="s">
        <v>187</v>
      </c>
      <c r="K154" s="28"/>
      <c r="L154" s="28"/>
      <c r="M154" s="21"/>
      <c r="N154" s="363">
        <f>N152-N153</f>
        <v>3000</v>
      </c>
      <c r="O154" s="363"/>
      <c r="P154" s="364">
        <f>P152-P153</f>
        <v>-2000</v>
      </c>
      <c r="Q154" s="364"/>
      <c r="S154" s="27" t="s">
        <v>187</v>
      </c>
      <c r="T154" s="28"/>
      <c r="U154" s="28"/>
      <c r="V154" s="21"/>
      <c r="W154" s="363">
        <f>W152-W153</f>
        <v>3000</v>
      </c>
      <c r="X154" s="363"/>
      <c r="Y154" s="364">
        <f>Y152-Y153</f>
        <v>-2000</v>
      </c>
      <c r="Z154" s="364"/>
      <c r="AB154" s="27" t="s">
        <v>187</v>
      </c>
      <c r="AC154" s="28"/>
      <c r="AD154" s="28"/>
      <c r="AE154" s="21"/>
      <c r="AF154" s="363">
        <f>AF152-AF153</f>
        <v>3000</v>
      </c>
      <c r="AG154" s="363"/>
      <c r="AH154" s="364">
        <f>AH152-AH153</f>
        <v>-2000</v>
      </c>
      <c r="AI154" s="364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J155" s="27" t="s">
        <v>188</v>
      </c>
      <c r="K155" s="28"/>
      <c r="L155" s="28"/>
      <c r="M155" s="21"/>
      <c r="N155" s="363">
        <f>N154-P154</f>
        <v>5000</v>
      </c>
      <c r="O155" s="363"/>
      <c r="P155" s="21"/>
      <c r="Q155" s="29"/>
      <c r="S155" s="27" t="s">
        <v>188</v>
      </c>
      <c r="T155" s="28"/>
      <c r="U155" s="28"/>
      <c r="V155" s="21"/>
      <c r="W155" s="363">
        <f>W154-Y154</f>
        <v>5000</v>
      </c>
      <c r="X155" s="363"/>
      <c r="Y155" s="21"/>
      <c r="Z155" s="29"/>
      <c r="AB155" s="27" t="s">
        <v>188</v>
      </c>
      <c r="AC155" s="28"/>
      <c r="AD155" s="28"/>
      <c r="AE155" s="21"/>
      <c r="AF155" s="363">
        <f>AF154-AH154</f>
        <v>5000</v>
      </c>
      <c r="AG155" s="363"/>
      <c r="AH155" s="21"/>
      <c r="AI155" s="29"/>
    </row>
    <row r="156" spans="1:35">
      <c r="A156" s="27" t="s">
        <v>189</v>
      </c>
      <c r="B156" s="28"/>
      <c r="C156" s="28"/>
      <c r="D156" s="21"/>
      <c r="E156" s="28"/>
      <c r="F156" s="21"/>
      <c r="G156" s="21"/>
      <c r="H156" s="36">
        <v>1420</v>
      </c>
      <c r="J156" s="27"/>
      <c r="K156" s="28"/>
      <c r="L156" s="28"/>
      <c r="M156" s="21"/>
      <c r="N156" s="28"/>
      <c r="O156" s="21"/>
      <c r="P156" s="21"/>
      <c r="Q156" s="29"/>
      <c r="S156" s="27"/>
      <c r="T156" s="28"/>
      <c r="U156" s="28"/>
      <c r="V156" s="21"/>
      <c r="W156" s="28"/>
      <c r="X156" s="21"/>
      <c r="Y156" s="21"/>
      <c r="Z156" s="29"/>
      <c r="AB156" s="27"/>
      <c r="AC156" s="28"/>
      <c r="AD156" s="28"/>
      <c r="AE156" s="21"/>
      <c r="AF156" s="28"/>
      <c r="AG156" s="21"/>
      <c r="AH156" s="21"/>
      <c r="AI156" s="29"/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2000</v>
      </c>
      <c r="H157" s="365"/>
      <c r="J157" s="22" t="s">
        <v>190</v>
      </c>
      <c r="K157" s="23"/>
      <c r="L157" s="23"/>
      <c r="M157" s="63"/>
      <c r="N157" s="23"/>
      <c r="O157" s="63"/>
      <c r="P157" s="365">
        <f>J114</f>
        <v>1000</v>
      </c>
      <c r="Q157" s="365"/>
      <c r="S157" s="22" t="s">
        <v>190</v>
      </c>
      <c r="T157" s="23"/>
      <c r="U157" s="23"/>
      <c r="V157" s="63"/>
      <c r="W157" s="23"/>
      <c r="X157" s="63"/>
      <c r="Y157" s="365">
        <f>S114</f>
        <v>1000</v>
      </c>
      <c r="Z157" s="365"/>
      <c r="AB157" s="22" t="s">
        <v>190</v>
      </c>
      <c r="AC157" s="23"/>
      <c r="AD157" s="23"/>
      <c r="AE157" s="63"/>
      <c r="AF157" s="23"/>
      <c r="AG157" s="63"/>
      <c r="AH157" s="365">
        <f>AB114</f>
        <v>1000</v>
      </c>
      <c r="AI157" s="365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19115</v>
      </c>
      <c r="H158" s="366"/>
      <c r="J158" s="129" t="s">
        <v>191</v>
      </c>
      <c r="K158" s="28"/>
      <c r="L158" s="28"/>
      <c r="M158" s="21"/>
      <c r="N158" s="28"/>
      <c r="O158" s="21"/>
      <c r="P158" s="366" t="e">
        <f>Q147-P154-P157</f>
        <v>#VALUE!</v>
      </c>
      <c r="Q158" s="366"/>
      <c r="S158" s="129" t="s">
        <v>191</v>
      </c>
      <c r="T158" s="28"/>
      <c r="U158" s="28"/>
      <c r="V158" s="21"/>
      <c r="W158" s="28"/>
      <c r="X158" s="21"/>
      <c r="Y158" s="366" t="e">
        <f>Z147-Y154-Y157</f>
        <v>#VALUE!</v>
      </c>
      <c r="Z158" s="366"/>
      <c r="AB158" s="129" t="s">
        <v>191</v>
      </c>
      <c r="AC158" s="28"/>
      <c r="AD158" s="28"/>
      <c r="AE158" s="21"/>
      <c r="AF158" s="28"/>
      <c r="AG158" s="21"/>
      <c r="AH158" s="366" t="e">
        <f>AI147-AH154-AH157</f>
        <v>#VALUE!</v>
      </c>
      <c r="AI158" s="366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1000</v>
      </c>
      <c r="H159" s="367"/>
      <c r="J159" s="49" t="s">
        <v>66</v>
      </c>
      <c r="K159" s="50"/>
      <c r="L159" s="50"/>
      <c r="M159" s="85"/>
      <c r="N159" s="50"/>
      <c r="O159" s="85"/>
      <c r="P159" s="367">
        <f>K114</f>
        <v>239.99</v>
      </c>
      <c r="Q159" s="367"/>
      <c r="S159" s="49" t="s">
        <v>66</v>
      </c>
      <c r="T159" s="50"/>
      <c r="U159" s="50"/>
      <c r="V159" s="85"/>
      <c r="W159" s="50"/>
      <c r="X159" s="85"/>
      <c r="Y159" s="367">
        <f>T114</f>
        <v>199.99</v>
      </c>
      <c r="Z159" s="367"/>
      <c r="AB159" s="49" t="s">
        <v>66</v>
      </c>
      <c r="AC159" s="50"/>
      <c r="AD159" s="50"/>
      <c r="AE159" s="85"/>
      <c r="AF159" s="50"/>
      <c r="AG159" s="85"/>
      <c r="AH159" s="367">
        <f>AC114</f>
        <v>239.99</v>
      </c>
      <c r="AI159" s="367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/>
      <c r="B161" s="28"/>
      <c r="C161" s="28"/>
      <c r="D161" s="28"/>
      <c r="E161" s="21"/>
      <c r="F161" s="21"/>
      <c r="G161" s="21"/>
      <c r="H161" s="29"/>
      <c r="J161" s="27"/>
      <c r="K161" s="28"/>
      <c r="L161" s="28"/>
      <c r="M161" s="28"/>
      <c r="N161" s="21"/>
      <c r="O161" s="21"/>
      <c r="P161" s="21"/>
      <c r="Q161" s="29"/>
      <c r="S161" s="27"/>
      <c r="T161" s="28"/>
      <c r="U161" s="28"/>
      <c r="V161" s="28"/>
      <c r="W161" s="21"/>
      <c r="X161" s="21"/>
      <c r="Y161" s="21"/>
      <c r="Z161" s="29"/>
      <c r="AB161" s="27"/>
      <c r="AC161" s="28"/>
      <c r="AD161" s="28"/>
      <c r="AE161" s="28"/>
      <c r="AF161" s="21"/>
      <c r="AG161" s="21"/>
      <c r="AH161" s="21"/>
      <c r="AI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35" t="s">
        <v>192</v>
      </c>
      <c r="K162" s="335"/>
      <c r="L162" s="335"/>
      <c r="M162" s="335"/>
      <c r="N162" s="335"/>
      <c r="O162" s="335"/>
      <c r="P162" s="335"/>
      <c r="Q162" s="335"/>
      <c r="S162" s="335" t="s">
        <v>192</v>
      </c>
      <c r="T162" s="335"/>
      <c r="U162" s="335"/>
      <c r="V162" s="335"/>
      <c r="W162" s="335"/>
      <c r="X162" s="335"/>
      <c r="Y162" s="335"/>
      <c r="Z162" s="335"/>
      <c r="AB162" s="335" t="s">
        <v>192</v>
      </c>
      <c r="AC162" s="335"/>
      <c r="AD162" s="335"/>
      <c r="AE162" s="335"/>
      <c r="AF162" s="335"/>
      <c r="AG162" s="335"/>
      <c r="AH162" s="335"/>
      <c r="AI162" s="335"/>
    </row>
    <row r="163" spans="1:35">
      <c r="A163" s="27"/>
      <c r="B163" s="28"/>
      <c r="C163" s="28"/>
      <c r="D163" s="28"/>
      <c r="E163" s="21"/>
      <c r="F163" s="21"/>
      <c r="G163" s="21"/>
      <c r="H163" s="29"/>
      <c r="J163" s="27"/>
      <c r="K163" s="28"/>
      <c r="L163" s="28"/>
      <c r="M163" s="28"/>
      <c r="N163" s="21"/>
      <c r="O163" s="21"/>
      <c r="P163" s="21"/>
      <c r="Q163" s="29"/>
      <c r="S163" s="27"/>
      <c r="T163" s="28"/>
      <c r="U163" s="28"/>
      <c r="V163" s="28"/>
      <c r="W163" s="21"/>
      <c r="X163" s="21"/>
      <c r="Y163" s="21"/>
      <c r="Z163" s="29"/>
      <c r="AB163" s="27"/>
      <c r="AC163" s="28"/>
      <c r="AD163" s="28"/>
      <c r="AE163" s="28"/>
      <c r="AF163" s="21"/>
      <c r="AG163" s="21"/>
      <c r="AH163" s="21"/>
      <c r="AI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J164" s="27" t="s">
        <v>193</v>
      </c>
      <c r="K164" s="368">
        <v>0</v>
      </c>
      <c r="L164" s="368"/>
      <c r="M164" s="28"/>
      <c r="N164" s="21"/>
      <c r="O164" s="21"/>
      <c r="P164" s="21"/>
      <c r="Q164" s="29"/>
      <c r="S164" s="27" t="s">
        <v>193</v>
      </c>
      <c r="T164" s="368">
        <v>0</v>
      </c>
      <c r="U164" s="368"/>
      <c r="V164" s="28"/>
      <c r="W164" s="21"/>
      <c r="X164" s="21"/>
      <c r="Y164" s="21"/>
      <c r="Z164" s="29"/>
      <c r="AB164" s="27" t="s">
        <v>193</v>
      </c>
      <c r="AC164" s="368">
        <v>0</v>
      </c>
      <c r="AD164" s="368"/>
      <c r="AE164" s="28"/>
      <c r="AF164" s="21"/>
      <c r="AG164" s="21"/>
      <c r="AH164" s="21"/>
      <c r="AI164" s="29"/>
    </row>
    <row r="165" spans="1:35">
      <c r="A165" s="27"/>
      <c r="B165" s="28"/>
      <c r="C165" s="28"/>
      <c r="D165" s="28"/>
      <c r="E165" s="21"/>
      <c r="F165" s="21"/>
      <c r="G165" s="21"/>
      <c r="H165" s="29"/>
      <c r="J165" s="27"/>
      <c r="K165" s="28"/>
      <c r="L165" s="28"/>
      <c r="M165" s="28"/>
      <c r="N165" s="21"/>
      <c r="O165" s="21"/>
      <c r="P165" s="21"/>
      <c r="Q165" s="29"/>
      <c r="S165" s="27"/>
      <c r="T165" s="28"/>
      <c r="U165" s="28"/>
      <c r="V165" s="28"/>
      <c r="W165" s="21"/>
      <c r="X165" s="21"/>
      <c r="Y165" s="21"/>
      <c r="Z165" s="29"/>
      <c r="AB165" s="27"/>
      <c r="AC165" s="28"/>
      <c r="AD165" s="28"/>
      <c r="AE165" s="28"/>
      <c r="AF165" s="21"/>
      <c r="AG165" s="21"/>
      <c r="AH165" s="21"/>
      <c r="AI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  <c r="J166" s="130" t="s">
        <v>194</v>
      </c>
      <c r="K166" s="131" t="s">
        <v>195</v>
      </c>
      <c r="L166" s="131"/>
      <c r="M166" s="131"/>
      <c r="N166" s="131" t="s">
        <v>196</v>
      </c>
      <c r="O166" s="21"/>
      <c r="P166" s="21"/>
      <c r="Q166" s="29"/>
      <c r="S166" s="130" t="s">
        <v>194</v>
      </c>
      <c r="T166" s="131" t="s">
        <v>195</v>
      </c>
      <c r="U166" s="131"/>
      <c r="V166" s="131"/>
      <c r="W166" s="131" t="s">
        <v>196</v>
      </c>
      <c r="X166" s="21"/>
      <c r="Y166" s="21"/>
      <c r="Z166" s="29"/>
      <c r="AB166" s="130" t="s">
        <v>194</v>
      </c>
      <c r="AC166" s="131" t="s">
        <v>195</v>
      </c>
      <c r="AD166" s="131"/>
      <c r="AE166" s="131"/>
      <c r="AF166" s="131" t="s">
        <v>196</v>
      </c>
      <c r="AG166" s="21"/>
      <c r="AH166" s="21"/>
      <c r="AI166" s="29"/>
    </row>
    <row r="167" spans="1:35">
      <c r="A167" s="132">
        <f>B95</f>
        <v>634.89153207264997</v>
      </c>
      <c r="B167" s="133" t="str">
        <f>B94</f>
        <v>0</v>
      </c>
      <c r="C167" s="131"/>
      <c r="D167" s="131"/>
      <c r="E167" s="133">
        <f>B96</f>
        <v>634.89153207264997</v>
      </c>
      <c r="F167" s="21"/>
      <c r="G167" s="21">
        <f>ROUND(G95,2)</f>
        <v>590.22</v>
      </c>
      <c r="H167" s="29"/>
      <c r="J167" s="132" t="e">
        <f>K95</f>
        <v>#VALUE!</v>
      </c>
      <c r="K167" s="133">
        <f>K94</f>
        <v>0</v>
      </c>
      <c r="L167" s="131"/>
      <c r="M167" s="131"/>
      <c r="N167" s="133" t="e">
        <f>K96</f>
        <v>#VALUE!</v>
      </c>
      <c r="O167" s="21"/>
      <c r="P167" s="21"/>
      <c r="Q167" s="29"/>
      <c r="S167" s="132" t="e">
        <f>T95</f>
        <v>#VALUE!</v>
      </c>
      <c r="T167" s="133">
        <f>T94</f>
        <v>0</v>
      </c>
      <c r="U167" s="131"/>
      <c r="V167" s="131"/>
      <c r="W167" s="133" t="e">
        <f>T96</f>
        <v>#VALUE!</v>
      </c>
      <c r="X167" s="21"/>
      <c r="Y167" s="21"/>
      <c r="Z167" s="29"/>
      <c r="AB167" s="132" t="e">
        <f>AC95</f>
        <v>#VALUE!</v>
      </c>
      <c r="AC167" s="133">
        <f>AC94</f>
        <v>0</v>
      </c>
      <c r="AD167" s="131"/>
      <c r="AE167" s="131"/>
      <c r="AF167" s="133" t="e">
        <f>AC96</f>
        <v>#VALUE!</v>
      </c>
      <c r="AG167" s="21"/>
      <c r="AH167" s="21"/>
      <c r="AI167" s="29"/>
    </row>
    <row r="168" spans="1:35">
      <c r="A168" s="27"/>
      <c r="B168" s="28"/>
      <c r="C168" s="28"/>
      <c r="D168" s="28"/>
      <c r="E168" s="21"/>
      <c r="F168" s="21"/>
      <c r="G168" s="21"/>
      <c r="H168" s="29"/>
      <c r="J168" s="27"/>
      <c r="K168" s="28"/>
      <c r="L168" s="28"/>
      <c r="M168" s="28"/>
      <c r="N168" s="21"/>
      <c r="O168" s="21"/>
      <c r="P168" s="21"/>
      <c r="Q168" s="29"/>
      <c r="S168" s="27"/>
      <c r="T168" s="28"/>
      <c r="U168" s="28"/>
      <c r="V168" s="28"/>
      <c r="W168" s="21"/>
      <c r="X168" s="21"/>
      <c r="Y168" s="21"/>
      <c r="Z168" s="29"/>
      <c r="AB168" s="27"/>
      <c r="AC168" s="28"/>
      <c r="AD168" s="28"/>
      <c r="AE168" s="28"/>
      <c r="AF168" s="21"/>
      <c r="AG168" s="21"/>
      <c r="AH168" s="21"/>
      <c r="AI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  <c r="J169" s="27" t="s">
        <v>94</v>
      </c>
      <c r="K169" s="28" t="s">
        <v>95</v>
      </c>
      <c r="L169" s="28"/>
      <c r="M169" s="21"/>
      <c r="N169" s="28" t="s">
        <v>198</v>
      </c>
      <c r="O169" s="21"/>
      <c r="P169" s="21"/>
      <c r="Q169" s="29"/>
      <c r="S169" s="27" t="s">
        <v>94</v>
      </c>
      <c r="T169" s="28" t="s">
        <v>95</v>
      </c>
      <c r="U169" s="28"/>
      <c r="V169" s="21"/>
      <c r="W169" s="28" t="s">
        <v>198</v>
      </c>
      <c r="X169" s="21"/>
      <c r="Y169" s="21"/>
      <c r="Z169" s="29"/>
      <c r="AB169" s="27" t="s">
        <v>94</v>
      </c>
      <c r="AC169" s="28" t="s">
        <v>95</v>
      </c>
      <c r="AD169" s="28"/>
      <c r="AE169" s="21"/>
      <c r="AF169" s="28" t="s">
        <v>198</v>
      </c>
      <c r="AG169" s="21"/>
      <c r="AH169" s="21"/>
      <c r="AI169" s="29"/>
    </row>
    <row r="170" spans="1:35">
      <c r="A170" s="134">
        <f>K29</f>
        <v>36</v>
      </c>
      <c r="B170" s="170">
        <f>K30</f>
        <v>10000</v>
      </c>
      <c r="C170" s="136"/>
      <c r="D170" s="21"/>
      <c r="E170" s="137">
        <f>IF(A111="YES",A40,0)</f>
        <v>0</v>
      </c>
      <c r="F170" s="21"/>
      <c r="G170" s="21"/>
      <c r="H170" s="29"/>
      <c r="J170" s="134">
        <f>K29</f>
        <v>36</v>
      </c>
      <c r="K170" s="135">
        <f>K30</f>
        <v>10000</v>
      </c>
      <c r="L170" s="136"/>
      <c r="M170" s="21"/>
      <c r="N170" s="137">
        <f>IF(A111="YES",A40,0)</f>
        <v>0</v>
      </c>
      <c r="O170" s="21"/>
      <c r="P170" s="21"/>
      <c r="Q170" s="29"/>
      <c r="S170" s="134">
        <f>K29</f>
        <v>36</v>
      </c>
      <c r="T170" s="135">
        <f>K30</f>
        <v>10000</v>
      </c>
      <c r="U170" s="136"/>
      <c r="V170" s="21"/>
      <c r="W170" s="137">
        <f>IF(A111="YES",A40,0)</f>
        <v>0</v>
      </c>
      <c r="X170" s="21"/>
      <c r="Y170" s="21"/>
      <c r="Z170" s="29"/>
      <c r="AB170" s="134">
        <f>K29</f>
        <v>36</v>
      </c>
      <c r="AC170" s="135">
        <f>K30</f>
        <v>10000</v>
      </c>
      <c r="AD170" s="136"/>
      <c r="AE170" s="21"/>
      <c r="AF170" s="137">
        <f>IF(A111="YES",A40,0)</f>
        <v>0</v>
      </c>
      <c r="AG170" s="21"/>
      <c r="AH170" s="21"/>
      <c r="AI170" s="29"/>
    </row>
    <row r="171" spans="1:35">
      <c r="A171" s="27"/>
      <c r="B171" s="28"/>
      <c r="C171" s="28"/>
      <c r="D171" s="21"/>
      <c r="E171" s="28"/>
      <c r="F171" s="21"/>
      <c r="G171" s="21"/>
      <c r="H171" s="29"/>
      <c r="J171" s="27"/>
      <c r="K171" s="28"/>
      <c r="L171" s="28"/>
      <c r="M171" s="21"/>
      <c r="N171" s="28"/>
      <c r="O171" s="21"/>
      <c r="P171" s="21"/>
      <c r="Q171" s="29"/>
      <c r="S171" s="27"/>
      <c r="T171" s="28"/>
      <c r="U171" s="28"/>
      <c r="V171" s="21"/>
      <c r="W171" s="28"/>
      <c r="X171" s="21"/>
      <c r="Y171" s="21"/>
      <c r="Z171" s="29"/>
      <c r="AB171" s="27"/>
      <c r="AC171" s="28"/>
      <c r="AD171" s="28"/>
      <c r="AE171" s="21"/>
      <c r="AF171" s="28"/>
      <c r="AG171" s="21"/>
      <c r="AH171" s="21"/>
      <c r="AI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  <c r="J172" s="27" t="s">
        <v>199</v>
      </c>
      <c r="K172" s="28" t="s">
        <v>200</v>
      </c>
      <c r="L172" s="28"/>
      <c r="M172" s="21"/>
      <c r="N172" s="28" t="s">
        <v>201</v>
      </c>
      <c r="O172" s="21"/>
      <c r="P172" s="21"/>
      <c r="Q172" s="29"/>
      <c r="S172" s="27" t="s">
        <v>199</v>
      </c>
      <c r="T172" s="28" t="s">
        <v>200</v>
      </c>
      <c r="U172" s="28"/>
      <c r="V172" s="21"/>
      <c r="W172" s="28" t="s">
        <v>201</v>
      </c>
      <c r="X172" s="21"/>
      <c r="Y172" s="21"/>
      <c r="Z172" s="29"/>
      <c r="AB172" s="27" t="s">
        <v>199</v>
      </c>
      <c r="AC172" s="28" t="s">
        <v>200</v>
      </c>
      <c r="AD172" s="28"/>
      <c r="AE172" s="21"/>
      <c r="AF172" s="28" t="s">
        <v>201</v>
      </c>
      <c r="AG172" s="21"/>
      <c r="AH172" s="21"/>
      <c r="AI172" s="29"/>
    </row>
    <row r="173" spans="1:35">
      <c r="A173" s="138">
        <f>H141-H137-H139-H140</f>
        <v>16412.5</v>
      </c>
      <c r="B173" s="34">
        <f>H137</f>
        <v>3282.5</v>
      </c>
      <c r="C173" s="38"/>
      <c r="D173" s="21"/>
      <c r="E173" s="137">
        <f>H139+H140</f>
        <v>0</v>
      </c>
      <c r="F173" s="21"/>
      <c r="G173" s="21"/>
      <c r="H173" s="29"/>
      <c r="J173" s="138" t="e">
        <f>Q141-Q137-Q139-Q140</f>
        <v>#VALUE!</v>
      </c>
      <c r="K173" s="34" t="e">
        <f>Q137</f>
        <v>#VALUE!</v>
      </c>
      <c r="L173" s="38"/>
      <c r="M173" s="21"/>
      <c r="N173" s="137">
        <f>Q139+Q140</f>
        <v>55</v>
      </c>
      <c r="O173" s="21"/>
      <c r="P173" s="21"/>
      <c r="Q173" s="29"/>
      <c r="S173" s="138" t="e">
        <f>Z141-Z137-Z139-Z140</f>
        <v>#VALUE!</v>
      </c>
      <c r="T173" s="34" t="e">
        <f>Z137</f>
        <v>#VALUE!</v>
      </c>
      <c r="U173" s="38"/>
      <c r="V173" s="21"/>
      <c r="W173" s="137">
        <f>Z139+Z140</f>
        <v>55</v>
      </c>
      <c r="X173" s="21"/>
      <c r="Y173" s="21"/>
      <c r="Z173" s="29"/>
      <c r="AB173" s="138" t="e">
        <f>AI141-AI137-AI139-AI140</f>
        <v>#VALUE!</v>
      </c>
      <c r="AC173" s="34" t="e">
        <f>AI137</f>
        <v>#VALUE!</v>
      </c>
      <c r="AD173" s="38"/>
      <c r="AE173" s="21"/>
      <c r="AF173" s="137">
        <f>AI139+AI140</f>
        <v>55</v>
      </c>
      <c r="AG173" s="21"/>
      <c r="AH173" s="21"/>
      <c r="AI173" s="29"/>
    </row>
    <row r="174" spans="1:35">
      <c r="A174" s="27"/>
      <c r="B174" s="28"/>
      <c r="C174" s="28"/>
      <c r="D174" s="21"/>
      <c r="E174" s="28"/>
      <c r="F174" s="21"/>
      <c r="G174" s="21"/>
      <c r="H174" s="29"/>
      <c r="J174" s="27"/>
      <c r="K174" s="28"/>
      <c r="L174" s="28"/>
      <c r="M174" s="21"/>
      <c r="N174" s="28"/>
      <c r="O174" s="21"/>
      <c r="P174" s="21"/>
      <c r="Q174" s="29"/>
      <c r="S174" s="27"/>
      <c r="T174" s="28"/>
      <c r="U174" s="28"/>
      <c r="V174" s="21"/>
      <c r="W174" s="28"/>
      <c r="X174" s="21"/>
      <c r="Y174" s="21"/>
      <c r="Z174" s="29"/>
      <c r="AB174" s="27"/>
      <c r="AC174" s="28"/>
      <c r="AD174" s="28"/>
      <c r="AE174" s="21"/>
      <c r="AF174" s="28"/>
      <c r="AG174" s="21"/>
      <c r="AH174" s="21"/>
      <c r="AI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  <c r="J175" s="27" t="s">
        <v>202</v>
      </c>
      <c r="K175" s="28" t="s">
        <v>148</v>
      </c>
      <c r="L175" s="28"/>
      <c r="M175" s="21"/>
      <c r="N175" s="28" t="s">
        <v>149</v>
      </c>
      <c r="O175" s="21"/>
      <c r="P175" s="21"/>
      <c r="Q175" s="29"/>
      <c r="S175" s="27" t="s">
        <v>202</v>
      </c>
      <c r="T175" s="28" t="s">
        <v>148</v>
      </c>
      <c r="U175" s="28"/>
      <c r="V175" s="21"/>
      <c r="W175" s="28" t="s">
        <v>149</v>
      </c>
      <c r="X175" s="21"/>
      <c r="Y175" s="21"/>
      <c r="Z175" s="29"/>
      <c r="AB175" s="27" t="s">
        <v>202</v>
      </c>
      <c r="AC175" s="28" t="s">
        <v>148</v>
      </c>
      <c r="AD175" s="28"/>
      <c r="AE175" s="21"/>
      <c r="AF175" s="28" t="s">
        <v>149</v>
      </c>
      <c r="AG175" s="21"/>
      <c r="AH175" s="21"/>
      <c r="AI175" s="29"/>
    </row>
    <row r="176" spans="1:35">
      <c r="A176" s="138">
        <f>H147</f>
        <v>19695</v>
      </c>
      <c r="B176" s="34">
        <f>B111</f>
        <v>1000</v>
      </c>
      <c r="C176" s="34"/>
      <c r="D176" s="21"/>
      <c r="E176" s="34">
        <f>E111</f>
        <v>1000</v>
      </c>
      <c r="F176" s="21"/>
      <c r="G176" s="21"/>
      <c r="H176" s="90"/>
      <c r="J176" s="138" t="e">
        <f>Q141</f>
        <v>#VALUE!</v>
      </c>
      <c r="K176" s="34">
        <f>K111</f>
        <v>1000</v>
      </c>
      <c r="L176" s="34"/>
      <c r="M176" s="21"/>
      <c r="N176" s="34">
        <f>N111</f>
        <v>0</v>
      </c>
      <c r="O176" s="21"/>
      <c r="P176" s="21"/>
      <c r="Q176" s="90"/>
      <c r="S176" s="138" t="e">
        <f>Z141</f>
        <v>#VALUE!</v>
      </c>
      <c r="T176" s="34">
        <f>T111</f>
        <v>1000</v>
      </c>
      <c r="U176" s="34"/>
      <c r="V176" s="21"/>
      <c r="W176" s="34">
        <f>W111</f>
        <v>0</v>
      </c>
      <c r="X176" s="21"/>
      <c r="Y176" s="21"/>
      <c r="Z176" s="90"/>
      <c r="AB176" s="138" t="e">
        <f>AI141</f>
        <v>#VALUE!</v>
      </c>
      <c r="AC176" s="34">
        <f>AC111</f>
        <v>1000</v>
      </c>
      <c r="AD176" s="34"/>
      <c r="AE176" s="21"/>
      <c r="AF176" s="34">
        <f>AF111</f>
        <v>0</v>
      </c>
      <c r="AG176" s="21"/>
      <c r="AH176" s="21"/>
      <c r="AI176" s="90"/>
    </row>
    <row r="177" spans="1:35">
      <c r="A177" s="27"/>
      <c r="B177" s="28"/>
      <c r="C177" s="28"/>
      <c r="D177" s="21"/>
      <c r="E177" s="28"/>
      <c r="F177" s="21"/>
      <c r="G177" s="21"/>
      <c r="H177" s="29"/>
      <c r="J177" s="27"/>
      <c r="K177" s="28"/>
      <c r="L177" s="28"/>
      <c r="M177" s="21"/>
      <c r="N177" s="28"/>
      <c r="O177" s="21"/>
      <c r="P177" s="21"/>
      <c r="Q177" s="29"/>
      <c r="S177" s="27"/>
      <c r="T177" s="28"/>
      <c r="U177" s="28"/>
      <c r="V177" s="21"/>
      <c r="W177" s="28"/>
      <c r="X177" s="21"/>
      <c r="Y177" s="21"/>
      <c r="Z177" s="29"/>
      <c r="AB177" s="27"/>
      <c r="AC177" s="28"/>
      <c r="AD177" s="28"/>
      <c r="AE177" s="21"/>
      <c r="AF177" s="28"/>
      <c r="AG177" s="21"/>
      <c r="AH177" s="21"/>
      <c r="AI177" s="29"/>
    </row>
    <row r="178" spans="1:35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  <c r="J178" s="27" t="s">
        <v>150</v>
      </c>
      <c r="K178" s="28" t="s">
        <v>185</v>
      </c>
      <c r="L178" s="28"/>
      <c r="M178" s="21"/>
      <c r="N178" s="28" t="s">
        <v>191</v>
      </c>
      <c r="O178" s="21"/>
      <c r="P178" s="21"/>
      <c r="Q178" s="29"/>
      <c r="S178" s="27" t="s">
        <v>150</v>
      </c>
      <c r="T178" s="28" t="s">
        <v>185</v>
      </c>
      <c r="U178" s="28"/>
      <c r="V178" s="21"/>
      <c r="W178" s="28" t="s">
        <v>191</v>
      </c>
      <c r="X178" s="21"/>
      <c r="Y178" s="21"/>
      <c r="Z178" s="29"/>
      <c r="AB178" s="27" t="s">
        <v>150</v>
      </c>
      <c r="AC178" s="28" t="s">
        <v>185</v>
      </c>
      <c r="AD178" s="28"/>
      <c r="AE178" s="21"/>
      <c r="AF178" s="28" t="s">
        <v>191</v>
      </c>
      <c r="AG178" s="21"/>
      <c r="AH178" s="21"/>
      <c r="AI178" s="29"/>
    </row>
    <row r="179" spans="1:35">
      <c r="A179" s="94">
        <f>B176+E176</f>
        <v>2000</v>
      </c>
      <c r="B179" s="34">
        <f>G154</f>
        <v>0</v>
      </c>
      <c r="C179" s="34"/>
      <c r="D179" s="21"/>
      <c r="E179" s="34">
        <f>G158</f>
        <v>19115</v>
      </c>
      <c r="F179" s="21"/>
      <c r="G179" s="21"/>
      <c r="H179" s="90"/>
      <c r="J179" s="94">
        <f>K176+N176</f>
        <v>1000</v>
      </c>
      <c r="K179" s="34">
        <f>P154</f>
        <v>-2000</v>
      </c>
      <c r="L179" s="34"/>
      <c r="M179" s="21"/>
      <c r="N179" s="34" t="e">
        <f>J176-J179-K179</f>
        <v>#VALUE!</v>
      </c>
      <c r="O179" s="21"/>
      <c r="P179" s="21"/>
      <c r="Q179" s="90"/>
      <c r="S179" s="94">
        <f>T176+W176</f>
        <v>1000</v>
      </c>
      <c r="T179" s="34">
        <f>Y154</f>
        <v>-2000</v>
      </c>
      <c r="U179" s="34"/>
      <c r="V179" s="21"/>
      <c r="W179" s="34" t="e">
        <f>S176-S179-T179</f>
        <v>#VALUE!</v>
      </c>
      <c r="X179" s="21"/>
      <c r="Y179" s="21"/>
      <c r="Z179" s="90"/>
      <c r="AB179" s="94">
        <f>AC176+AF176</f>
        <v>1000</v>
      </c>
      <c r="AC179" s="34">
        <f>AH154</f>
        <v>-2000</v>
      </c>
      <c r="AD179" s="34"/>
      <c r="AE179" s="21"/>
      <c r="AF179" s="34" t="e">
        <f>AB176-AB179-AC179</f>
        <v>#VALUE!</v>
      </c>
      <c r="AG179" s="21"/>
      <c r="AH179" s="21"/>
      <c r="AI179" s="90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  <c r="J181" s="27" t="s">
        <v>203</v>
      </c>
      <c r="K181" s="28" t="s">
        <v>66</v>
      </c>
      <c r="L181" s="28"/>
      <c r="M181" s="21"/>
      <c r="N181" s="28" t="s">
        <v>204</v>
      </c>
      <c r="O181" s="21"/>
      <c r="P181" s="21"/>
      <c r="Q181" s="29"/>
      <c r="S181" s="27" t="s">
        <v>203</v>
      </c>
      <c r="T181" s="28" t="s">
        <v>66</v>
      </c>
      <c r="U181" s="28"/>
      <c r="V181" s="21"/>
      <c r="W181" s="28" t="s">
        <v>204</v>
      </c>
      <c r="X181" s="21"/>
      <c r="Y181" s="21"/>
      <c r="Z181" s="29"/>
      <c r="AB181" s="27" t="s">
        <v>203</v>
      </c>
      <c r="AC181" s="28" t="s">
        <v>66</v>
      </c>
      <c r="AD181" s="28"/>
      <c r="AE181" s="21"/>
      <c r="AF181" s="28" t="s">
        <v>204</v>
      </c>
      <c r="AG181" s="21"/>
      <c r="AH181" s="21"/>
      <c r="AI181" s="29"/>
    </row>
    <row r="182" spans="1:35">
      <c r="A182" s="94">
        <f>(A167*B59)+E185-E179-A185</f>
        <v>3741.0951546153956</v>
      </c>
      <c r="B182" s="34">
        <f>B114</f>
        <v>1000</v>
      </c>
      <c r="C182" s="34"/>
      <c r="D182" s="21"/>
      <c r="E182" s="34">
        <f>E179+A182+B182+A185</f>
        <v>23866.095154615396</v>
      </c>
      <c r="F182" s="21"/>
      <c r="G182" s="21"/>
      <c r="H182" s="90"/>
      <c r="J182" s="94" t="e">
        <f>(J167*K59)+N185-N179-J185</f>
        <v>#VALUE!</v>
      </c>
      <c r="K182" s="34">
        <f>K114</f>
        <v>239.99</v>
      </c>
      <c r="L182" s="34"/>
      <c r="M182" s="21"/>
      <c r="N182" s="34" t="e">
        <f>N179+J182+K182+J185</f>
        <v>#VALUE!</v>
      </c>
      <c r="O182" s="21"/>
      <c r="P182" s="21"/>
      <c r="Q182" s="90"/>
      <c r="S182" s="94" t="e">
        <f>(S167*T59)+W185-W179-S185</f>
        <v>#VALUE!</v>
      </c>
      <c r="T182" s="34">
        <f>T114</f>
        <v>199.99</v>
      </c>
      <c r="U182" s="34"/>
      <c r="V182" s="21"/>
      <c r="W182" s="34" t="e">
        <f>W179+S182+T182+S185</f>
        <v>#VALUE!</v>
      </c>
      <c r="X182" s="21"/>
      <c r="Y182" s="21"/>
      <c r="Z182" s="90"/>
      <c r="AB182" s="94" t="e">
        <f>(AB167*AC59)+AF185-AF179-AB185</f>
        <v>#VALUE!</v>
      </c>
      <c r="AC182" s="34">
        <f>AC114</f>
        <v>239.99</v>
      </c>
      <c r="AD182" s="34"/>
      <c r="AE182" s="21"/>
      <c r="AF182" s="34" t="e">
        <f>AF179+AB182+AC182+AB185</f>
        <v>#VALUE!</v>
      </c>
      <c r="AG182" s="21"/>
      <c r="AH182" s="21"/>
      <c r="AI182" s="90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  <c r="J184" s="27" t="s">
        <v>205</v>
      </c>
      <c r="K184" s="28" t="s">
        <v>206</v>
      </c>
      <c r="L184" s="28"/>
      <c r="M184" s="21"/>
      <c r="N184" s="28" t="s">
        <v>207</v>
      </c>
      <c r="O184" s="21"/>
      <c r="P184" s="21"/>
      <c r="Q184" s="29"/>
      <c r="S184" s="27" t="s">
        <v>205</v>
      </c>
      <c r="T184" s="28" t="s">
        <v>206</v>
      </c>
      <c r="U184" s="28"/>
      <c r="V184" s="21"/>
      <c r="W184" s="28" t="s">
        <v>207</v>
      </c>
      <c r="X184" s="21"/>
      <c r="Y184" s="21"/>
      <c r="Z184" s="29"/>
      <c r="AB184" s="27" t="s">
        <v>205</v>
      </c>
      <c r="AC184" s="28" t="s">
        <v>206</v>
      </c>
      <c r="AD184" s="28"/>
      <c r="AE184" s="21"/>
      <c r="AF184" s="28" t="s">
        <v>207</v>
      </c>
      <c r="AG184" s="21"/>
      <c r="AH184" s="21"/>
      <c r="AI184" s="29"/>
    </row>
    <row r="185" spans="1:35">
      <c r="A185" s="94">
        <f>B60</f>
        <v>10</v>
      </c>
      <c r="B185" s="34">
        <f>A179+(B182)</f>
        <v>3000</v>
      </c>
      <c r="C185" s="34"/>
      <c r="D185" s="21"/>
      <c r="E185" s="34">
        <f>IF( E170=0, A185+E167, E170+A185)</f>
        <v>644.89153207264997</v>
      </c>
      <c r="F185" s="21"/>
      <c r="G185" s="21"/>
      <c r="H185" s="90"/>
      <c r="J185" s="94">
        <f>K60</f>
        <v>20</v>
      </c>
      <c r="K185" s="34">
        <f>J179+K182</f>
        <v>1239.99</v>
      </c>
      <c r="L185" s="34"/>
      <c r="M185" s="21"/>
      <c r="N185" s="34">
        <f>N170+J185</f>
        <v>20</v>
      </c>
      <c r="O185" s="21"/>
      <c r="P185" s="21"/>
      <c r="Q185" s="90"/>
      <c r="S185" s="94">
        <f>T60</f>
        <v>10</v>
      </c>
      <c r="T185" s="34">
        <f>S179+T182</f>
        <v>1199.99</v>
      </c>
      <c r="U185" s="34"/>
      <c r="V185" s="21"/>
      <c r="W185" s="34">
        <f>W170+S185</f>
        <v>10</v>
      </c>
      <c r="X185" s="21"/>
      <c r="Y185" s="21"/>
      <c r="Z185" s="90"/>
      <c r="AB185" s="94">
        <f>AC60</f>
        <v>10</v>
      </c>
      <c r="AC185" s="34">
        <f>AB179+AC182</f>
        <v>1239.99</v>
      </c>
      <c r="AD185" s="34"/>
      <c r="AE185" s="21"/>
      <c r="AF185" s="34">
        <f>AF170+AB185</f>
        <v>10</v>
      </c>
      <c r="AG185" s="21"/>
      <c r="AH185" s="21"/>
      <c r="AI185" s="90"/>
    </row>
    <row r="186" spans="1:35">
      <c r="A186" s="27"/>
      <c r="B186" s="28"/>
      <c r="C186" s="28"/>
      <c r="D186" s="28"/>
      <c r="E186" s="21"/>
      <c r="F186" s="21"/>
      <c r="G186" s="21"/>
      <c r="H186" s="29"/>
      <c r="J186" s="27"/>
      <c r="K186" s="28"/>
      <c r="L186" s="28"/>
      <c r="M186" s="28"/>
      <c r="N186" s="21"/>
      <c r="O186" s="21"/>
      <c r="P186" s="21"/>
      <c r="Q186" s="29"/>
      <c r="S186" s="27"/>
      <c r="T186" s="28"/>
      <c r="U186" s="28"/>
      <c r="V186" s="28"/>
      <c r="W186" s="21"/>
      <c r="X186" s="28"/>
      <c r="Y186" s="28"/>
      <c r="Z186" s="29"/>
      <c r="AB186" s="27"/>
      <c r="AC186" s="28"/>
      <c r="AD186" s="28"/>
      <c r="AE186" s="28"/>
      <c r="AF186" s="21"/>
      <c r="AG186" s="21"/>
      <c r="AH186" s="21"/>
      <c r="AI186" s="29"/>
    </row>
    <row r="187" spans="1:35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  <c r="J187" s="27" t="s">
        <v>208</v>
      </c>
      <c r="K187" s="28" t="s">
        <v>209</v>
      </c>
      <c r="L187" s="28"/>
      <c r="M187" s="28"/>
      <c r="N187" s="35" t="s">
        <v>210</v>
      </c>
      <c r="O187" s="21"/>
      <c r="P187" s="21"/>
      <c r="Q187" s="29"/>
      <c r="S187" s="27" t="s">
        <v>208</v>
      </c>
      <c r="T187" s="28" t="s">
        <v>209</v>
      </c>
      <c r="U187" s="28"/>
      <c r="V187" s="28"/>
      <c r="W187" s="35" t="s">
        <v>210</v>
      </c>
      <c r="X187" s="28"/>
      <c r="Y187" s="28"/>
      <c r="Z187" s="29"/>
      <c r="AB187" s="27" t="s">
        <v>208</v>
      </c>
      <c r="AC187" s="28" t="s">
        <v>209</v>
      </c>
      <c r="AD187" s="28"/>
      <c r="AE187" s="28"/>
      <c r="AF187" s="35" t="s">
        <v>210</v>
      </c>
      <c r="AG187" s="28"/>
      <c r="AH187" s="28"/>
      <c r="AI187" s="29"/>
    </row>
    <row r="188" spans="1:35">
      <c r="A188" s="94">
        <f>IF(E105="YES",J18*0.000002,0)*100*1.2</f>
        <v>0</v>
      </c>
      <c r="B188" s="34">
        <f>(G158*B67)</f>
        <v>573.44999999999993</v>
      </c>
      <c r="C188" s="28"/>
      <c r="D188" s="28"/>
      <c r="E188" s="34">
        <f>(E40*A108)*0.1*(C45/100)</f>
        <v>0</v>
      </c>
      <c r="F188" s="21"/>
      <c r="G188" s="21"/>
      <c r="H188" s="29"/>
      <c r="J188" s="94">
        <f>IF(N105="YES",H15*0.000002,0)</f>
        <v>0</v>
      </c>
      <c r="K188" s="34" t="e">
        <f>(P158*K67)/1.2</f>
        <v>#VALUE!</v>
      </c>
      <c r="L188" s="28"/>
      <c r="M188" s="28"/>
      <c r="N188" s="34">
        <f>(E40*J108)*0.1</f>
        <v>0</v>
      </c>
      <c r="O188" s="21"/>
      <c r="P188" s="21"/>
      <c r="Q188" s="29"/>
      <c r="S188" s="94">
        <f>IF(W105="YES",Z15*0.000002,0)</f>
        <v>0</v>
      </c>
      <c r="T188" s="34" t="e">
        <f>(Y158*T67)/1.2</f>
        <v>#VALUE!</v>
      </c>
      <c r="U188" s="28"/>
      <c r="V188" s="28"/>
      <c r="W188" s="34">
        <f>(E40*S108)*0.1</f>
        <v>0</v>
      </c>
      <c r="X188" s="28"/>
      <c r="Y188" s="28"/>
      <c r="Z188" s="29"/>
      <c r="AB188" s="94">
        <f>IF(AF105="YES",AI15*0.000002,0)</f>
        <v>0</v>
      </c>
      <c r="AC188" s="34" t="e">
        <f>(AH158*AC67)/1.2</f>
        <v>#VALUE!</v>
      </c>
      <c r="AD188" s="28"/>
      <c r="AE188" s="28"/>
      <c r="AF188" s="34">
        <f>(E40*AB108)*0.1</f>
        <v>0</v>
      </c>
      <c r="AG188" s="28"/>
      <c r="AH188" s="28"/>
      <c r="AI188" s="29"/>
    </row>
    <row r="189" spans="1:35">
      <c r="A189" s="94"/>
      <c r="B189" s="34"/>
      <c r="C189" s="28"/>
      <c r="D189" s="28"/>
      <c r="E189" s="21"/>
      <c r="F189" s="21"/>
      <c r="G189" s="21"/>
      <c r="H189" s="29"/>
      <c r="J189" s="94"/>
      <c r="K189" s="34"/>
      <c r="L189" s="28"/>
      <c r="M189" s="28"/>
      <c r="N189" s="21"/>
      <c r="O189" s="21"/>
      <c r="P189" s="21"/>
      <c r="Q189" s="29"/>
      <c r="S189" s="94"/>
      <c r="T189" s="34"/>
      <c r="U189" s="28"/>
      <c r="V189" s="28"/>
      <c r="W189" s="21"/>
      <c r="X189" s="28"/>
      <c r="Y189" s="28"/>
      <c r="Z189" s="29"/>
      <c r="AB189" s="94"/>
      <c r="AC189" s="34"/>
      <c r="AD189" s="28"/>
      <c r="AE189" s="28"/>
      <c r="AF189" s="21"/>
      <c r="AG189" s="28"/>
      <c r="AH189" s="28"/>
      <c r="AI189" s="29"/>
    </row>
    <row r="190" spans="1:35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  <c r="J190" s="53" t="s">
        <v>211</v>
      </c>
      <c r="K190" s="35" t="s">
        <v>212</v>
      </c>
      <c r="L190" s="28"/>
      <c r="M190" s="28"/>
      <c r="N190" s="35" t="s">
        <v>213</v>
      </c>
      <c r="O190" s="21"/>
      <c r="P190" s="21"/>
      <c r="Q190" s="29"/>
      <c r="S190" s="53" t="s">
        <v>211</v>
      </c>
      <c r="T190" s="35" t="s">
        <v>212</v>
      </c>
      <c r="U190" s="28"/>
      <c r="V190" s="28"/>
      <c r="W190" s="35" t="s">
        <v>213</v>
      </c>
      <c r="X190" s="28"/>
      <c r="Y190" s="28"/>
      <c r="Z190" s="29"/>
      <c r="AB190" s="53" t="s">
        <v>211</v>
      </c>
      <c r="AC190" s="35" t="s">
        <v>212</v>
      </c>
      <c r="AD190" s="28"/>
      <c r="AE190" s="28"/>
      <c r="AF190" s="35" t="s">
        <v>213</v>
      </c>
      <c r="AG190" s="28"/>
      <c r="AH190" s="28"/>
      <c r="AI190" s="29"/>
    </row>
    <row r="191" spans="1:35">
      <c r="A191" s="94">
        <v>10</v>
      </c>
      <c r="B191" s="34">
        <f>B188+E188+A191</f>
        <v>583.44999999999993</v>
      </c>
      <c r="C191" s="28"/>
      <c r="D191" s="28"/>
      <c r="E191" s="34">
        <f>H148</f>
        <v>2079.170000000001</v>
      </c>
      <c r="F191" s="21"/>
      <c r="G191" s="21"/>
      <c r="H191" s="29"/>
      <c r="J191" s="94">
        <f>K185-100</f>
        <v>1139.99</v>
      </c>
      <c r="K191" s="34" t="e">
        <f>K188+N188+J191</f>
        <v>#VALUE!</v>
      </c>
      <c r="L191" s="28"/>
      <c r="M191" s="28"/>
      <c r="N191" s="34" t="e">
        <f>Q148</f>
        <v>#VALUE!</v>
      </c>
      <c r="O191" s="21"/>
      <c r="P191" s="21"/>
      <c r="Q191" s="29"/>
      <c r="S191" s="94">
        <f>T185-100</f>
        <v>1099.99</v>
      </c>
      <c r="T191" s="34" t="e">
        <f>T188+W188+S191</f>
        <v>#VALUE!</v>
      </c>
      <c r="U191" s="28"/>
      <c r="V191" s="28"/>
      <c r="W191" s="34" t="e">
        <f>Z148</f>
        <v>#VALUE!</v>
      </c>
      <c r="X191" s="28"/>
      <c r="Y191" s="28"/>
      <c r="Z191" s="29"/>
      <c r="AB191" s="94">
        <f>AC185-100</f>
        <v>1139.99</v>
      </c>
      <c r="AC191" s="34" t="e">
        <f>AC188+AF188+AB191</f>
        <v>#VALUE!</v>
      </c>
      <c r="AD191" s="28"/>
      <c r="AE191" s="28"/>
      <c r="AF191" s="34" t="e">
        <f>AI148</f>
        <v>#VALUE!</v>
      </c>
      <c r="AG191" s="28"/>
      <c r="AH191" s="28"/>
      <c r="AI191" s="29"/>
    </row>
    <row r="192" spans="1:35">
      <c r="A192" s="27"/>
      <c r="B192" s="28"/>
      <c r="C192" s="28"/>
      <c r="D192" s="28"/>
      <c r="E192" s="21"/>
      <c r="F192" s="21"/>
      <c r="G192" s="21"/>
      <c r="H192" s="29"/>
      <c r="J192" s="27"/>
      <c r="K192" s="28"/>
      <c r="L192" s="28"/>
      <c r="M192" s="28"/>
      <c r="N192" s="21"/>
      <c r="O192" s="21"/>
      <c r="P192" s="21"/>
      <c r="Q192" s="29"/>
      <c r="S192" s="27"/>
      <c r="T192" s="28"/>
      <c r="U192" s="28"/>
      <c r="V192" s="28"/>
      <c r="W192" s="21"/>
      <c r="X192" s="21"/>
      <c r="Y192" s="21"/>
      <c r="Z192" s="29"/>
      <c r="AB192" s="27"/>
      <c r="AC192" s="28"/>
      <c r="AD192" s="28"/>
      <c r="AE192" s="28"/>
      <c r="AF192" s="21"/>
      <c r="AG192" s="21"/>
      <c r="AH192" s="21"/>
      <c r="AI192" s="29"/>
    </row>
    <row r="193" spans="1:35">
      <c r="A193" s="58" t="s">
        <v>214</v>
      </c>
      <c r="B193" s="28"/>
      <c r="C193" s="28"/>
      <c r="D193" s="59"/>
      <c r="E193" s="59"/>
      <c r="F193" s="59"/>
      <c r="G193" s="59"/>
      <c r="H193" s="60"/>
      <c r="J193" s="58" t="s">
        <v>214</v>
      </c>
      <c r="K193" s="28"/>
      <c r="L193" s="28"/>
      <c r="M193" s="59"/>
      <c r="N193" s="59"/>
      <c r="O193" s="59"/>
      <c r="P193" s="59"/>
      <c r="Q193" s="60"/>
      <c r="S193" s="58" t="s">
        <v>214</v>
      </c>
      <c r="T193" s="28"/>
      <c r="U193" s="28"/>
      <c r="V193" s="59"/>
      <c r="W193" s="59"/>
      <c r="X193" s="59"/>
      <c r="Y193" s="59"/>
      <c r="Z193" s="60"/>
      <c r="AB193" s="58" t="s">
        <v>214</v>
      </c>
      <c r="AC193" s="28"/>
      <c r="AD193" s="28"/>
      <c r="AE193" s="59"/>
      <c r="AF193" s="59"/>
      <c r="AG193" s="59"/>
      <c r="AH193" s="59"/>
      <c r="AI193" s="60"/>
    </row>
    <row r="194" spans="1:35">
      <c r="A194" s="27"/>
      <c r="B194" s="61"/>
      <c r="C194" s="61"/>
      <c r="D194" s="28"/>
      <c r="E194" s="21"/>
      <c r="F194" s="21"/>
      <c r="G194" s="21"/>
      <c r="H194" s="29"/>
      <c r="J194" s="27"/>
      <c r="K194" s="61"/>
      <c r="L194" s="61"/>
      <c r="M194" s="28"/>
      <c r="N194" s="21"/>
      <c r="O194" s="21"/>
      <c r="P194" s="21"/>
      <c r="Q194" s="29"/>
      <c r="S194" s="27"/>
      <c r="T194" s="61"/>
      <c r="U194" s="61"/>
      <c r="V194" s="28"/>
      <c r="W194" s="21"/>
      <c r="X194" s="21"/>
      <c r="Y194" s="21"/>
      <c r="Z194" s="29"/>
      <c r="AB194" s="27"/>
      <c r="AC194" s="61"/>
      <c r="AD194" s="61"/>
      <c r="AE194" s="28"/>
      <c r="AF194" s="21"/>
      <c r="AG194" s="21"/>
      <c r="AH194" s="21"/>
      <c r="AI194" s="29"/>
    </row>
    <row r="195" spans="1:35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69" t="s">
        <v>94</v>
      </c>
      <c r="K195" s="341" t="s">
        <v>95</v>
      </c>
      <c r="L195" s="341"/>
      <c r="M195" s="341"/>
      <c r="N195" s="21"/>
      <c r="O195" s="21"/>
      <c r="P195" s="21"/>
      <c r="Q195" s="29"/>
      <c r="S195" s="369" t="s">
        <v>94</v>
      </c>
      <c r="T195" s="341" t="s">
        <v>95</v>
      </c>
      <c r="U195" s="341"/>
      <c r="V195" s="341"/>
      <c r="W195" s="21"/>
      <c r="X195" s="21"/>
      <c r="Y195" s="21"/>
      <c r="Z195" s="29"/>
      <c r="AB195" s="369" t="s">
        <v>94</v>
      </c>
      <c r="AC195" s="341" t="s">
        <v>95</v>
      </c>
      <c r="AD195" s="341"/>
      <c r="AE195" s="341"/>
      <c r="AF195" s="21"/>
      <c r="AG195" s="21"/>
      <c r="AH195" s="21"/>
      <c r="AI195" s="29"/>
    </row>
    <row r="196" spans="1:35" ht="19.5" customHeight="1">
      <c r="A196" s="369"/>
      <c r="B196" s="342">
        <f>K30</f>
        <v>10000</v>
      </c>
      <c r="C196" s="342"/>
      <c r="D196" s="342"/>
      <c r="E196" s="21"/>
      <c r="F196" s="21"/>
      <c r="G196" s="21"/>
      <c r="H196" s="29"/>
      <c r="J196" s="369"/>
      <c r="K196" s="342">
        <f>K30</f>
        <v>10000</v>
      </c>
      <c r="L196" s="342"/>
      <c r="M196" s="342"/>
      <c r="N196" s="21"/>
      <c r="O196" s="21"/>
      <c r="P196" s="21"/>
      <c r="Q196" s="29"/>
      <c r="S196" s="369"/>
      <c r="T196" s="342">
        <f>K30</f>
        <v>10000</v>
      </c>
      <c r="U196" s="342"/>
      <c r="V196" s="342"/>
      <c r="W196" s="21"/>
      <c r="X196" s="21"/>
      <c r="Y196" s="21"/>
      <c r="Z196" s="29"/>
      <c r="AB196" s="369"/>
      <c r="AC196" s="342">
        <f>K30</f>
        <v>10000</v>
      </c>
      <c r="AD196" s="342"/>
      <c r="AE196" s="342"/>
      <c r="AF196" s="21"/>
      <c r="AG196" s="21"/>
      <c r="AH196" s="21"/>
      <c r="AI196" s="29"/>
    </row>
    <row r="197" spans="1:35">
      <c r="A197" s="62">
        <f>K29</f>
        <v>36</v>
      </c>
      <c r="B197" s="343">
        <f>B96</f>
        <v>634.89153207264997</v>
      </c>
      <c r="C197" s="343"/>
      <c r="D197" s="343"/>
      <c r="E197" s="21"/>
      <c r="F197" s="21"/>
      <c r="G197" s="21"/>
      <c r="H197" s="29"/>
      <c r="J197" s="62">
        <f>K29</f>
        <v>36</v>
      </c>
      <c r="K197" s="343" t="e">
        <f>K96</f>
        <v>#VALUE!</v>
      </c>
      <c r="L197" s="343"/>
      <c r="M197" s="343"/>
      <c r="N197" s="21"/>
      <c r="O197" s="21"/>
      <c r="P197" s="21"/>
      <c r="Q197" s="29"/>
      <c r="S197" s="62">
        <f>K29</f>
        <v>36</v>
      </c>
      <c r="T197" s="343" t="e">
        <f>T96</f>
        <v>#VALUE!</v>
      </c>
      <c r="U197" s="343"/>
      <c r="V197" s="343"/>
      <c r="W197" s="21"/>
      <c r="X197" s="21"/>
      <c r="Y197" s="21"/>
      <c r="Z197" s="29"/>
      <c r="AB197" s="62">
        <f>K29</f>
        <v>36</v>
      </c>
      <c r="AC197" s="343" t="e">
        <f>AC96</f>
        <v>#VALUE!</v>
      </c>
      <c r="AD197" s="343"/>
      <c r="AE197" s="343"/>
      <c r="AF197" s="21"/>
      <c r="AG197" s="21"/>
      <c r="AH197" s="21"/>
      <c r="AI197" s="29"/>
    </row>
    <row r="198" spans="1:35">
      <c r="A198" s="27"/>
      <c r="B198" s="28"/>
      <c r="C198" s="28"/>
      <c r="D198" s="28"/>
      <c r="E198" s="21"/>
      <c r="F198" s="21"/>
      <c r="G198" s="21"/>
      <c r="H198" s="29"/>
      <c r="J198" s="27"/>
      <c r="K198" s="28"/>
      <c r="L198" s="28"/>
      <c r="M198" s="28"/>
      <c r="N198" s="21"/>
      <c r="O198" s="21"/>
      <c r="P198" s="21"/>
      <c r="Q198" s="29"/>
      <c r="S198" s="27"/>
      <c r="T198" s="28"/>
      <c r="U198" s="28"/>
      <c r="V198" s="28"/>
      <c r="W198" s="21"/>
      <c r="X198" s="21"/>
      <c r="Y198" s="21"/>
      <c r="Z198" s="29"/>
      <c r="AB198" s="27"/>
      <c r="AC198" s="28"/>
      <c r="AD198" s="28"/>
      <c r="AE198" s="28"/>
      <c r="AF198" s="21"/>
      <c r="AG198" s="21"/>
      <c r="AH198" s="21"/>
      <c r="AI198" s="29"/>
    </row>
    <row r="199" spans="1:35">
      <c r="A199" s="27"/>
      <c r="B199" s="28"/>
      <c r="C199" s="28"/>
      <c r="D199" s="28"/>
      <c r="E199" s="21"/>
      <c r="F199" s="21"/>
      <c r="G199" s="21"/>
      <c r="H199" s="29"/>
      <c r="J199" s="27"/>
      <c r="K199" s="28"/>
      <c r="L199" s="28"/>
      <c r="M199" s="28"/>
      <c r="N199" s="21"/>
      <c r="O199" s="21"/>
      <c r="P199" s="21"/>
      <c r="Q199" s="29"/>
      <c r="S199" s="27"/>
      <c r="T199" s="28"/>
      <c r="U199" s="28"/>
      <c r="V199" s="28"/>
      <c r="W199" s="21"/>
      <c r="X199" s="21"/>
      <c r="Y199" s="21"/>
      <c r="Z199" s="29"/>
      <c r="AB199" s="27"/>
      <c r="AC199" s="28"/>
      <c r="AD199" s="28"/>
      <c r="AE199" s="28"/>
      <c r="AF199" s="21"/>
      <c r="AG199" s="21"/>
      <c r="AH199" s="21"/>
      <c r="AI199" s="29"/>
    </row>
    <row r="200" spans="1:35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  <c r="J200" s="27"/>
      <c r="K200" s="28"/>
      <c r="L200" s="28"/>
      <c r="M200" s="28"/>
      <c r="N200" s="21"/>
      <c r="O200" s="21"/>
      <c r="P200" s="21"/>
      <c r="Q200" s="29"/>
      <c r="S200" s="27"/>
      <c r="T200" s="28"/>
      <c r="U200" s="28"/>
      <c r="V200" s="28"/>
      <c r="W200" s="21"/>
      <c r="X200" s="21"/>
      <c r="Y200" s="21"/>
      <c r="Z200" s="29"/>
      <c r="AB200" s="27"/>
      <c r="AC200" s="28"/>
      <c r="AD200" s="28"/>
      <c r="AE200" s="28"/>
      <c r="AF200" s="21"/>
      <c r="AG200" s="21"/>
      <c r="AH200" s="21"/>
      <c r="AI200" s="29"/>
    </row>
    <row r="201" spans="1:35">
      <c r="A201" s="32">
        <f>IF(A40=0,((G167*(B59+1))-E179),((G167*B59)+E185-E179-A185))</f>
        <v>2132.9200000000019</v>
      </c>
      <c r="B201" s="38">
        <f>E179+A201+B182+A185</f>
        <v>22257.920000000002</v>
      </c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49"/>
      <c r="B202" s="50"/>
      <c r="C202" s="50"/>
      <c r="D202" s="50"/>
      <c r="E202" s="50"/>
      <c r="F202" s="50"/>
      <c r="G202" s="50"/>
      <c r="H202" s="57"/>
      <c r="J202" s="49"/>
      <c r="K202" s="50"/>
      <c r="L202" s="50"/>
      <c r="M202" s="50"/>
      <c r="N202" s="50"/>
      <c r="O202" s="50"/>
      <c r="P202" s="50"/>
      <c r="Q202" s="57"/>
      <c r="S202" s="49"/>
      <c r="T202" s="50"/>
      <c r="U202" s="50"/>
      <c r="V202" s="50"/>
      <c r="W202" s="50"/>
      <c r="X202" s="50"/>
      <c r="Y202" s="50"/>
      <c r="Z202" s="57"/>
      <c r="AB202" s="49"/>
      <c r="AC202" s="50"/>
      <c r="AD202" s="50"/>
      <c r="AE202" s="50"/>
      <c r="AF202" s="50"/>
      <c r="AG202" s="50"/>
      <c r="AH202" s="50"/>
      <c r="AI202" s="57"/>
    </row>
    <row r="206" spans="1:35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5">
      <c r="A207" s="27"/>
      <c r="B207" s="28"/>
      <c r="C207" s="28"/>
      <c r="D207" s="28"/>
      <c r="E207" s="21"/>
      <c r="F207" s="21"/>
      <c r="G207" s="21"/>
      <c r="H207" s="29"/>
    </row>
    <row r="208" spans="1:35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30" t="s">
        <v>279</v>
      </c>
      <c r="B209" s="131">
        <f>A197</f>
        <v>36</v>
      </c>
      <c r="C209" s="131"/>
      <c r="D209" s="131"/>
      <c r="E209" s="131">
        <f>B196</f>
        <v>10000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634.89153207264997</v>
      </c>
      <c r="B212" s="133" t="str">
        <f>B167</f>
        <v>0</v>
      </c>
      <c r="C212" s="131"/>
      <c r="D212" s="131"/>
      <c r="E212" s="133">
        <f>E167</f>
        <v>634.89153207264997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16412.5</v>
      </c>
      <c r="B215" s="34">
        <f>B173</f>
        <v>3282.5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19695</v>
      </c>
      <c r="B218" s="34">
        <f>B176</f>
        <v>1000</v>
      </c>
      <c r="C218" s="34"/>
      <c r="D218" s="21"/>
      <c r="E218" s="34">
        <f>E176</f>
        <v>1000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2000</v>
      </c>
      <c r="B221" s="34">
        <f>B179</f>
        <v>0</v>
      </c>
      <c r="C221" s="34"/>
      <c r="D221" s="21"/>
      <c r="E221" s="34">
        <f>E179</f>
        <v>19115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3741.0951546153956</v>
      </c>
      <c r="B224" s="34">
        <f>B182</f>
        <v>1000</v>
      </c>
      <c r="C224" s="34"/>
      <c r="D224" s="21"/>
      <c r="E224" s="34">
        <f>E182</f>
        <v>23866.095154615396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3000</v>
      </c>
      <c r="C227" s="34"/>
      <c r="D227" s="21"/>
      <c r="E227" s="34">
        <f>B59</f>
        <v>35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634.89153207264997</v>
      </c>
      <c r="B230" s="34" t="str">
        <f>B167</f>
        <v>0</v>
      </c>
      <c r="C230" s="38"/>
      <c r="D230" s="38"/>
      <c r="E230" s="34">
        <f>E167</f>
        <v>634.89153207264997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198</v>
      </c>
      <c r="B232" s="28" t="s">
        <v>220</v>
      </c>
      <c r="C232" s="28"/>
      <c r="D232" s="28"/>
      <c r="E232" s="28" t="s">
        <v>221</v>
      </c>
      <c r="F232" s="21"/>
      <c r="G232" s="21"/>
      <c r="H232" s="29"/>
    </row>
    <row r="233" spans="1:8">
      <c r="A233" s="94">
        <f>E170</f>
        <v>0</v>
      </c>
      <c r="B233" s="34">
        <f>E185</f>
        <v>644.89153207264997</v>
      </c>
      <c r="C233" s="28"/>
      <c r="D233" s="28"/>
      <c r="E233" s="34">
        <f>A188</f>
        <v>0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142</v>
      </c>
      <c r="B235" s="34"/>
      <c r="C235" s="28"/>
      <c r="D235" s="28"/>
      <c r="E235" s="34"/>
      <c r="F235" s="21"/>
      <c r="G235" s="21"/>
      <c r="H235" s="29"/>
    </row>
    <row r="236" spans="1:8">
      <c r="A236" s="94"/>
      <c r="B236" s="34"/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2079.170000000001</v>
      </c>
      <c r="B240" s="34">
        <f>B68</f>
        <v>573.44999999999993</v>
      </c>
      <c r="C240" s="28"/>
      <c r="D240" s="28"/>
      <c r="E240" s="34">
        <f>E188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1242.6200000000008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K35</f>
        <v>7.0000000000000007E-2</v>
      </c>
      <c r="C253" s="144"/>
      <c r="D253" s="374" t="s">
        <v>226</v>
      </c>
      <c r="E253" s="374"/>
      <c r="F253" s="143">
        <f>B83</f>
        <v>0.12000000000000001</v>
      </c>
      <c r="G253" s="21"/>
      <c r="H253" s="29"/>
    </row>
    <row r="254" spans="1:8">
      <c r="A254" s="139" t="s">
        <v>227</v>
      </c>
      <c r="B254" s="145">
        <f>(E182-B182)-(B201-B182-A185)</f>
        <v>1618.1751546153937</v>
      </c>
      <c r="C254" s="144"/>
      <c r="D254" s="374" t="s">
        <v>228</v>
      </c>
      <c r="E254" s="374"/>
      <c r="F254" s="146">
        <f>F261+F267+F269+B270+B271</f>
        <v>573.44999999999993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1054.7251546153939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10">
      <c r="A257" s="27" t="s">
        <v>225</v>
      </c>
      <c r="B257" s="151">
        <f>B253</f>
        <v>7.0000000000000007E-2</v>
      </c>
      <c r="C257" s="144"/>
      <c r="D257" s="144"/>
      <c r="E257" s="144"/>
      <c r="F257" s="144"/>
      <c r="G257" s="21"/>
      <c r="H257" s="29"/>
    </row>
    <row r="258" spans="1:10">
      <c r="A258" s="152"/>
      <c r="B258" s="153"/>
      <c r="C258" s="154"/>
      <c r="D258" s="154"/>
      <c r="E258" s="149"/>
      <c r="F258" s="149"/>
      <c r="G258" s="149"/>
      <c r="H258" s="150"/>
    </row>
    <row r="259" spans="1:10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10">
      <c r="A260" s="93" t="s">
        <v>226</v>
      </c>
      <c r="B260" s="155">
        <f>B83</f>
        <v>0.12000000000000001</v>
      </c>
      <c r="C260" s="38"/>
      <c r="D260" s="363" t="s">
        <v>227</v>
      </c>
      <c r="E260" s="363"/>
      <c r="F260" s="115">
        <f>B254</f>
        <v>1618.1751546153937</v>
      </c>
      <c r="G260" s="21"/>
      <c r="H260" s="29"/>
    </row>
    <row r="261" spans="1:10">
      <c r="A261" s="27" t="s">
        <v>233</v>
      </c>
      <c r="B261" s="155">
        <f>B67</f>
        <v>0.03</v>
      </c>
      <c r="C261" s="28"/>
      <c r="D261" s="363" t="s">
        <v>233</v>
      </c>
      <c r="E261" s="363"/>
      <c r="F261" s="119">
        <f>B68</f>
        <v>573.44999999999993</v>
      </c>
      <c r="G261" s="21"/>
      <c r="H261" s="29"/>
    </row>
    <row r="262" spans="1:10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10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1054.7251546153939</v>
      </c>
      <c r="G263" s="21"/>
      <c r="H263" s="29"/>
    </row>
    <row r="264" spans="1:10">
      <c r="A264" s="94"/>
      <c r="B264" s="34"/>
      <c r="C264" s="28"/>
      <c r="D264" s="28"/>
      <c r="E264" s="34"/>
      <c r="F264" s="21"/>
      <c r="G264" s="21"/>
      <c r="H264" s="29"/>
    </row>
    <row r="265" spans="1:10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10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10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10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10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10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10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  <c r="J271" s="4">
        <v>4</v>
      </c>
    </row>
    <row r="272" spans="1:10">
      <c r="A272" s="49"/>
      <c r="B272" s="50"/>
      <c r="C272" s="50"/>
      <c r="D272" s="50"/>
      <c r="E272" s="50"/>
      <c r="F272" s="50"/>
      <c r="G272" s="50"/>
      <c r="H272" s="57"/>
    </row>
  </sheetData>
  <mergeCells count="260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E36:G36"/>
    <mergeCell ref="J38:K38"/>
    <mergeCell ref="B40:D40"/>
    <mergeCell ref="C45:E45"/>
    <mergeCell ref="A50:A51"/>
    <mergeCell ref="B50:D50"/>
    <mergeCell ref="B51:D51"/>
    <mergeCell ref="B52:D52"/>
    <mergeCell ref="A100:H100"/>
    <mergeCell ref="J100:Q100"/>
    <mergeCell ref="A1:F1"/>
    <mergeCell ref="D7:E18"/>
    <mergeCell ref="A16:C18"/>
    <mergeCell ref="A19:D19"/>
    <mergeCell ref="A21:D21"/>
    <mergeCell ref="A24:H24"/>
    <mergeCell ref="A28:H28"/>
    <mergeCell ref="B30:D30"/>
    <mergeCell ref="E33:G33"/>
  </mergeCells>
  <dataValidations count="1">
    <dataValidation type="list" allowBlank="1" showInputMessage="1" showErrorMessage="1" sqref="B105 K105 N105 T105 W105 AC105 AF105 B108:D108 K108:M108 T108:V108 AC108:AE108 J111 S111 AB111 A144:A146 J144:J146 S144:S146 AB144:AB146" xr:uid="{00000000-0002-0000-1400-000002000000}">
      <formula1>#REF!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400-000000000000}">
          <x14:formula1>
            <xm:f>HirePurchaseNonRegulated!$K$9:$K$10</xm:f>
          </x14:formula1>
          <x14:formula2>
            <xm:f>0</xm:f>
          </x14:formula2>
          <xm:sqref>B26 E105 A111</xm:sqref>
        </x14:dataValidation>
        <x14:dataValidation type="list" allowBlank="1" showErrorMessage="1" xr:uid="{00000000-0002-0000-1400-000001000000}">
          <x14:formula1>
            <xm:f>HirePurchaseNonRegulated!$K$9:$K$10</xm:f>
          </x14:formula1>
          <x14:formula2>
            <xm:f>0</xm:f>
          </x14:formula2>
          <xm:sqref>B70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P272"/>
  <sheetViews>
    <sheetView topLeftCell="A246" zoomScale="110" zoomScaleNormal="110" workbookViewId="0">
      <selection activeCell="F262" sqref="F262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7.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91" t="s">
        <v>14</v>
      </c>
      <c r="B1" s="391"/>
      <c r="C1" s="391"/>
      <c r="D1" s="391"/>
      <c r="E1" s="391"/>
      <c r="F1" s="391"/>
      <c r="G1" s="86"/>
      <c r="H1" s="86"/>
      <c r="I1" s="5"/>
      <c r="J1" s="5"/>
    </row>
    <row r="2" spans="1:25" ht="2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286"/>
      <c r="H2" s="287"/>
      <c r="I2" s="5"/>
      <c r="J2" s="5"/>
    </row>
    <row r="3" spans="1:25">
      <c r="A3" s="191"/>
      <c r="B3" s="192"/>
      <c r="C3" s="192"/>
      <c r="D3" s="192"/>
      <c r="E3" s="192"/>
      <c r="F3" s="193" t="s">
        <v>10</v>
      </c>
      <c r="G3" s="288"/>
      <c r="H3" s="289"/>
      <c r="I3" s="5"/>
      <c r="J3" s="5"/>
    </row>
    <row r="4" spans="1:25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103"/>
      <c r="H4" s="105"/>
      <c r="I4" s="5"/>
      <c r="J4" s="5"/>
    </row>
    <row r="5" spans="1:25">
      <c r="A5" s="55"/>
      <c r="B5" s="55"/>
      <c r="C5" s="55"/>
      <c r="D5" s="55"/>
      <c r="E5" s="55"/>
      <c r="F5" s="55" t="s">
        <v>10</v>
      </c>
      <c r="G5" s="288"/>
      <c r="H5" s="29"/>
      <c r="I5" s="5"/>
      <c r="J5" s="5"/>
    </row>
    <row r="6" spans="1:25">
      <c r="A6" s="55"/>
      <c r="B6" s="55"/>
      <c r="C6" s="55"/>
      <c r="D6" s="55"/>
      <c r="E6" s="55"/>
      <c r="F6" s="55"/>
      <c r="G6" s="121"/>
      <c r="H6" s="29"/>
      <c r="I6" s="5"/>
      <c r="J6" s="5"/>
    </row>
    <row r="7" spans="1:25">
      <c r="A7" s="12" t="s">
        <v>19</v>
      </c>
      <c r="B7" s="12" t="s">
        <v>20</v>
      </c>
      <c r="C7" s="12" t="s">
        <v>16</v>
      </c>
      <c r="D7" s="392"/>
      <c r="E7" s="392"/>
      <c r="F7" s="55"/>
      <c r="G7" s="121"/>
      <c r="H7" s="29"/>
      <c r="I7" s="5"/>
      <c r="J7" s="5"/>
    </row>
    <row r="8" spans="1:25">
      <c r="A8" s="196"/>
      <c r="B8" s="55"/>
      <c r="C8" s="55"/>
      <c r="D8" s="392"/>
      <c r="E8" s="392"/>
      <c r="F8" s="55"/>
      <c r="G8" s="28"/>
      <c r="H8" s="29"/>
      <c r="I8" s="5"/>
      <c r="J8" s="5"/>
      <c r="L8" s="14" t="s">
        <v>17</v>
      </c>
      <c r="M8" s="11">
        <f>H13+H14</f>
        <v>0</v>
      </c>
    </row>
    <row r="9" spans="1:25" ht="2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109"/>
      <c r="H9" s="290"/>
      <c r="I9" s="5"/>
      <c r="J9" s="5"/>
      <c r="K9" s="4" t="s">
        <v>31</v>
      </c>
      <c r="L9" s="11"/>
      <c r="M9" s="11"/>
    </row>
    <row r="10" spans="1:25">
      <c r="A10" s="197"/>
      <c r="B10" s="55"/>
      <c r="C10" s="55"/>
      <c r="D10" s="392"/>
      <c r="E10" s="392"/>
      <c r="F10" s="55"/>
      <c r="G10" s="121"/>
      <c r="H10" s="289"/>
      <c r="I10" s="5"/>
      <c r="J10" s="5"/>
      <c r="K10" s="4" t="s">
        <v>32</v>
      </c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121"/>
      <c r="H11" s="29"/>
      <c r="I11" s="5"/>
      <c r="J11" s="5"/>
      <c r="L11" s="11"/>
      <c r="M11" s="11"/>
    </row>
    <row r="12" spans="1:25">
      <c r="A12" s="197"/>
      <c r="B12" s="55"/>
      <c r="C12" s="55"/>
      <c r="D12" s="392"/>
      <c r="E12" s="392"/>
      <c r="F12" s="55"/>
      <c r="G12" s="121"/>
      <c r="H12" s="289"/>
      <c r="I12" s="5"/>
      <c r="J12" s="5"/>
    </row>
    <row r="13" spans="1:25">
      <c r="A13" s="12" t="s">
        <v>23</v>
      </c>
      <c r="B13" s="15">
        <v>0</v>
      </c>
      <c r="C13" s="11"/>
      <c r="D13" s="392"/>
      <c r="E13" s="392"/>
      <c r="F13" s="55"/>
      <c r="G13" s="121"/>
      <c r="H13" s="289"/>
      <c r="I13" s="5"/>
      <c r="J13" s="5"/>
    </row>
    <row r="14" spans="1:25">
      <c r="A14" s="197"/>
      <c r="B14" s="55"/>
      <c r="C14" s="55"/>
      <c r="D14" s="392"/>
      <c r="E14" s="392"/>
      <c r="F14" s="55"/>
      <c r="G14" s="121"/>
      <c r="H14" s="289"/>
      <c r="I14" s="5"/>
      <c r="J14" s="5" t="s">
        <v>24</v>
      </c>
    </row>
    <row r="15" spans="1:25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21"/>
      <c r="H15" s="291"/>
      <c r="I15" s="5"/>
      <c r="J15" s="17">
        <f>H15</f>
        <v>0</v>
      </c>
    </row>
    <row r="16" spans="1:25">
      <c r="A16" s="393"/>
      <c r="B16" s="393"/>
      <c r="C16" s="393"/>
      <c r="D16" s="392"/>
      <c r="E16" s="392"/>
      <c r="F16" s="55"/>
      <c r="G16" s="121"/>
      <c r="H16" s="289"/>
      <c r="I16" s="5"/>
      <c r="J16" s="5"/>
      <c r="Y16" s="18" t="s">
        <v>26</v>
      </c>
    </row>
    <row r="17" spans="1:26">
      <c r="A17" s="393"/>
      <c r="B17" s="393"/>
      <c r="C17" s="393"/>
      <c r="D17" s="392"/>
      <c r="E17" s="392"/>
      <c r="F17" s="55"/>
      <c r="G17" s="34"/>
      <c r="H17" s="29"/>
      <c r="I17" s="5"/>
      <c r="J17" s="5" t="s">
        <v>27</v>
      </c>
      <c r="Y17" s="18" t="s">
        <v>28</v>
      </c>
    </row>
    <row r="18" spans="1:26">
      <c r="A18" s="393"/>
      <c r="B18" s="393"/>
      <c r="C18" s="393"/>
      <c r="D18" s="392"/>
      <c r="E18" s="392"/>
      <c r="F18" s="55"/>
      <c r="G18" s="35"/>
      <c r="H18" s="292"/>
      <c r="I18" s="5"/>
      <c r="J18" s="17">
        <v>40526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35"/>
      <c r="H19" s="292"/>
      <c r="I19" s="5"/>
      <c r="J19" s="5"/>
      <c r="Z19" s="5" t="s">
        <v>31</v>
      </c>
    </row>
    <row r="20" spans="1:26">
      <c r="A20" s="199"/>
      <c r="B20" s="55"/>
      <c r="C20" s="55"/>
      <c r="D20" s="55"/>
      <c r="E20" s="200"/>
      <c r="F20" s="55"/>
      <c r="G20" s="35"/>
      <c r="H20" s="292"/>
      <c r="I20" s="5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293"/>
      <c r="H21" s="294"/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354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>
      <c r="A26" s="32" t="s">
        <v>138</v>
      </c>
      <c r="B26" s="36" t="s">
        <v>385</v>
      </c>
      <c r="C26" s="28"/>
      <c r="D26" s="28"/>
      <c r="E26" s="28"/>
      <c r="F26" s="28"/>
      <c r="G26" s="28"/>
      <c r="H26" s="29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 ht="23.25">
      <c r="A28" s="335" t="s">
        <v>136</v>
      </c>
      <c r="B28" s="335"/>
      <c r="C28" s="335"/>
      <c r="D28" s="335"/>
      <c r="E28" s="335"/>
      <c r="F28" s="335"/>
      <c r="G28" s="335"/>
      <c r="H28" s="335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>
        <v>36</v>
      </c>
      <c r="I29" s="28"/>
      <c r="J29" s="25" t="s">
        <v>94</v>
      </c>
      <c r="K29" s="295">
        <v>12</v>
      </c>
    </row>
    <row r="30" spans="1:26">
      <c r="A30" s="27" t="s">
        <v>193</v>
      </c>
      <c r="B30" s="346" t="s">
        <v>387</v>
      </c>
      <c r="C30" s="346"/>
      <c r="D30" s="346"/>
      <c r="E30" s="28"/>
      <c r="F30" s="28"/>
      <c r="G30" s="28"/>
      <c r="H30" s="29">
        <v>10000</v>
      </c>
      <c r="I30" s="28"/>
      <c r="J30" s="25" t="s">
        <v>45</v>
      </c>
      <c r="K30" s="33">
        <v>10000</v>
      </c>
    </row>
    <row r="31" spans="1:26">
      <c r="A31" s="27"/>
      <c r="B31" s="28"/>
      <c r="C31" s="28"/>
      <c r="D31" s="28"/>
      <c r="E31" s="28"/>
      <c r="F31" s="28"/>
      <c r="G31" s="28"/>
      <c r="H31" s="29">
        <v>27500</v>
      </c>
      <c r="I31" s="28"/>
      <c r="J31" s="25" t="s">
        <v>48</v>
      </c>
      <c r="K31" s="37">
        <v>0</v>
      </c>
    </row>
    <row r="32" spans="1:26">
      <c r="A32" s="27" t="s">
        <v>94</v>
      </c>
      <c r="B32" s="28" t="s">
        <v>95</v>
      </c>
      <c r="C32" s="28"/>
      <c r="D32" s="28"/>
      <c r="E32" s="28" t="s">
        <v>355</v>
      </c>
      <c r="F32" s="28"/>
      <c r="G32" s="28"/>
      <c r="H32" s="29"/>
      <c r="I32" s="5"/>
      <c r="J32" s="25" t="s">
        <v>49</v>
      </c>
      <c r="K32" s="37">
        <v>432</v>
      </c>
    </row>
    <row r="33" spans="1:16" ht="36">
      <c r="A33" s="134">
        <f>A52</f>
        <v>12</v>
      </c>
      <c r="B33" s="173">
        <f>B51</f>
        <v>10000</v>
      </c>
      <c r="C33" s="28"/>
      <c r="D33" s="28"/>
      <c r="E33" s="402">
        <f>K48</f>
        <v>1276.2164056508223</v>
      </c>
      <c r="F33" s="402"/>
      <c r="G33" s="402"/>
      <c r="H33" s="42"/>
      <c r="I33" s="5"/>
      <c r="J33" s="30" t="s">
        <v>356</v>
      </c>
      <c r="K33" s="43">
        <f>E21</f>
        <v>14333.33</v>
      </c>
      <c r="L33" s="4">
        <f>H21-H11+(H16*20%)</f>
        <v>0</v>
      </c>
    </row>
    <row r="34" spans="1:16">
      <c r="A34" s="27"/>
      <c r="B34" s="28"/>
      <c r="C34" s="28"/>
      <c r="D34" s="28"/>
      <c r="E34" s="38"/>
      <c r="F34" s="38"/>
      <c r="G34" s="38"/>
      <c r="H34" s="42"/>
      <c r="I34" s="5"/>
      <c r="J34" s="5"/>
      <c r="K34" s="5"/>
    </row>
    <row r="35" spans="1:16">
      <c r="A35" s="27" t="s">
        <v>357</v>
      </c>
      <c r="B35" s="28" t="s">
        <v>358</v>
      </c>
      <c r="C35" s="28"/>
      <c r="E35" s="28" t="s">
        <v>359</v>
      </c>
      <c r="F35" s="38"/>
      <c r="G35" s="38"/>
      <c r="H35" s="42"/>
      <c r="I35" s="5"/>
      <c r="J35" s="45" t="s">
        <v>59</v>
      </c>
      <c r="K35" s="4">
        <v>7.0000000000000007E-2</v>
      </c>
    </row>
    <row r="36" spans="1:16">
      <c r="A36" s="138">
        <f>K47</f>
        <v>1240.2164056508223</v>
      </c>
      <c r="B36" s="173">
        <f>IF(B26="YES",K42,"0.00")</f>
        <v>36</v>
      </c>
      <c r="C36" s="173"/>
      <c r="D36" s="173"/>
      <c r="E36" s="402">
        <f>K31</f>
        <v>0</v>
      </c>
      <c r="F36" s="402"/>
      <c r="G36" s="402"/>
      <c r="H36" s="42"/>
      <c r="I36" s="5"/>
      <c r="J36" s="5" t="s">
        <v>63</v>
      </c>
      <c r="K36" s="5">
        <f>K29</f>
        <v>12</v>
      </c>
    </row>
    <row r="37" spans="1:16">
      <c r="A37" s="94"/>
      <c r="B37" s="34"/>
      <c r="C37" s="38"/>
      <c r="D37" s="38"/>
      <c r="E37" s="38"/>
      <c r="F37" s="38"/>
      <c r="G37" s="38"/>
      <c r="H37" s="42"/>
      <c r="I37" s="5"/>
      <c r="J37" s="5"/>
      <c r="K37" s="5"/>
    </row>
    <row r="38" spans="1:16">
      <c r="A38" s="27"/>
      <c r="B38" s="28"/>
      <c r="C38" s="38"/>
      <c r="D38" s="38"/>
      <c r="E38" s="38"/>
      <c r="F38" s="38"/>
      <c r="G38" s="38"/>
      <c r="H38" s="42"/>
      <c r="J38" s="337" t="s">
        <v>65</v>
      </c>
      <c r="K38" s="337"/>
      <c r="L38" s="5">
        <v>42030.76</v>
      </c>
      <c r="N38" s="4">
        <f>80.88*36</f>
        <v>2911.68</v>
      </c>
    </row>
    <row r="39" spans="1:16">
      <c r="A39" s="27" t="s">
        <v>360</v>
      </c>
      <c r="B39" s="28" t="s">
        <v>361</v>
      </c>
      <c r="C39" s="28"/>
      <c r="E39" s="28" t="s">
        <v>362</v>
      </c>
      <c r="F39" s="38"/>
      <c r="G39" s="38"/>
      <c r="H39" s="42"/>
      <c r="J39" s="5" t="s">
        <v>96</v>
      </c>
      <c r="K39" s="5">
        <f>K33</f>
        <v>14333.33</v>
      </c>
      <c r="L39" s="5">
        <f>(L47*K46)+K44</f>
        <v>8829.639787141401</v>
      </c>
      <c r="N39" s="4">
        <f>K39-L39</f>
        <v>5503.6902128585989</v>
      </c>
    </row>
    <row r="40" spans="1:16">
      <c r="A40" s="92">
        <f>E36*A45/100</f>
        <v>0</v>
      </c>
      <c r="B40" s="348">
        <f>IF(B26="YES",K42,"0.00")</f>
        <v>36</v>
      </c>
      <c r="C40" s="348"/>
      <c r="D40" s="348"/>
      <c r="E40" s="137">
        <f>K32</f>
        <v>432</v>
      </c>
      <c r="F40" s="38"/>
      <c r="G40" s="38"/>
      <c r="H40" s="42"/>
      <c r="J40" s="5" t="s">
        <v>118</v>
      </c>
      <c r="K40" s="5">
        <f>(A40)/1.2</f>
        <v>0</v>
      </c>
      <c r="L40" s="5">
        <f>K39-L39</f>
        <v>5503.6902128585989</v>
      </c>
      <c r="N40" s="4">
        <f>N38-N39</f>
        <v>-2592.0102128585991</v>
      </c>
    </row>
    <row r="41" spans="1:16">
      <c r="A41" s="27"/>
      <c r="B41" s="28"/>
      <c r="C41" s="28"/>
      <c r="D41" s="28"/>
      <c r="E41" s="28"/>
      <c r="F41" s="38"/>
      <c r="G41" s="38"/>
      <c r="H41" s="42"/>
      <c r="J41" s="5" t="s">
        <v>363</v>
      </c>
      <c r="K41" s="5">
        <f>K35/12</f>
        <v>5.8333333333333336E-3</v>
      </c>
      <c r="L41" s="5"/>
    </row>
    <row r="42" spans="1:16">
      <c r="A42" s="49"/>
      <c r="B42" s="50"/>
      <c r="C42" s="50"/>
      <c r="D42" s="50"/>
      <c r="E42" s="50"/>
      <c r="F42" s="50"/>
      <c r="G42" s="51"/>
      <c r="H42" s="52"/>
      <c r="J42" s="5" t="s">
        <v>364</v>
      </c>
      <c r="K42" s="5">
        <f>(K32/K36)*C45/100</f>
        <v>36</v>
      </c>
      <c r="L42" s="5"/>
    </row>
    <row r="43" spans="1:16">
      <c r="A43" s="22"/>
      <c r="B43" s="23"/>
      <c r="C43" s="23"/>
      <c r="D43" s="23"/>
      <c r="E43" s="23"/>
      <c r="F43" s="23"/>
      <c r="G43" s="23"/>
      <c r="H43" s="24"/>
      <c r="J43" s="5" t="s">
        <v>365</v>
      </c>
      <c r="K43" s="5"/>
      <c r="L43" s="5"/>
    </row>
    <row r="44" spans="1:16">
      <c r="A44" s="53" t="s">
        <v>89</v>
      </c>
      <c r="B44" s="28"/>
      <c r="C44" s="28" t="s">
        <v>90</v>
      </c>
      <c r="D44" s="28"/>
      <c r="E44" s="28"/>
      <c r="F44" s="28"/>
      <c r="G44" s="28"/>
      <c r="H44" s="29"/>
      <c r="J44" s="5" t="s">
        <v>366</v>
      </c>
      <c r="K44" s="5">
        <f>(K40/(1+K41)^(K36+1))</f>
        <v>0</v>
      </c>
      <c r="L44" s="5"/>
    </row>
    <row r="45" spans="1:16">
      <c r="A45" s="54">
        <v>100</v>
      </c>
      <c r="B45" s="28"/>
      <c r="C45" s="339">
        <v>100</v>
      </c>
      <c r="D45" s="339"/>
      <c r="E45" s="339"/>
      <c r="F45" s="28"/>
      <c r="G45" s="28"/>
      <c r="H45" s="29"/>
      <c r="J45" s="5" t="s">
        <v>367</v>
      </c>
      <c r="K45" s="5">
        <f>(K39-K44)</f>
        <v>14333.33</v>
      </c>
      <c r="L45" s="5"/>
    </row>
    <row r="46" spans="1:16">
      <c r="A46" s="49"/>
      <c r="B46" s="50"/>
      <c r="C46" s="50"/>
      <c r="D46" s="50"/>
      <c r="E46" s="50"/>
      <c r="F46" s="50"/>
      <c r="G46" s="50"/>
      <c r="H46" s="57"/>
      <c r="J46" s="5" t="s">
        <v>368</v>
      </c>
      <c r="K46" s="5">
        <f>((1-(1/((1+K41)^K36)))/K41)</f>
        <v>11.557120140237435</v>
      </c>
      <c r="L46" s="5"/>
    </row>
    <row r="47" spans="1:16">
      <c r="A47" s="22"/>
      <c r="B47" s="23"/>
      <c r="C47" s="23"/>
      <c r="D47" s="23"/>
      <c r="E47" s="23"/>
      <c r="F47" s="23"/>
      <c r="G47" s="23"/>
      <c r="H47" s="24"/>
      <c r="J47" s="5" t="s">
        <v>369</v>
      </c>
      <c r="K47" s="5">
        <f>K45/K46</f>
        <v>1240.2164056508223</v>
      </c>
      <c r="L47" s="5">
        <f>L49-K42</f>
        <v>764</v>
      </c>
      <c r="M47" s="4">
        <f>K47-L47</f>
        <v>476.21640565082225</v>
      </c>
    </row>
    <row r="48" spans="1:16" ht="37.5">
      <c r="A48" s="58" t="s">
        <v>93</v>
      </c>
      <c r="B48" s="28"/>
      <c r="C48" s="28"/>
      <c r="D48" s="59"/>
      <c r="E48" s="59"/>
      <c r="F48" s="59"/>
      <c r="G48" s="59"/>
      <c r="H48" s="60"/>
      <c r="J48" s="48" t="s">
        <v>370</v>
      </c>
      <c r="K48" s="5">
        <f>IF(B26="YES",K47+K42,K47)</f>
        <v>1276.2164056508223</v>
      </c>
      <c r="L48" s="5"/>
    </row>
    <row r="49" spans="1:35">
      <c r="A49" s="27"/>
      <c r="B49" s="61"/>
      <c r="C49" s="61"/>
      <c r="D49" s="28"/>
      <c r="E49" s="28"/>
      <c r="F49" s="28"/>
      <c r="G49" s="28"/>
      <c r="H49" s="29"/>
      <c r="J49" s="5" t="s">
        <v>371</v>
      </c>
      <c r="K49" s="5"/>
      <c r="L49" s="5">
        <v>800</v>
      </c>
    </row>
    <row r="50" spans="1:35" ht="21">
      <c r="A50" s="369" t="s">
        <v>94</v>
      </c>
      <c r="B50" s="341" t="s">
        <v>95</v>
      </c>
      <c r="C50" s="341"/>
      <c r="D50" s="341"/>
      <c r="E50" s="28"/>
      <c r="F50" s="28"/>
      <c r="G50" s="28"/>
      <c r="H50" s="29"/>
      <c r="I50" s="5"/>
      <c r="J50" s="5"/>
      <c r="K50" s="5"/>
    </row>
    <row r="51" spans="1:35" ht="19.5" customHeight="1">
      <c r="A51" s="369"/>
      <c r="B51" s="342">
        <f>K30</f>
        <v>10000</v>
      </c>
      <c r="C51" s="342"/>
      <c r="D51" s="342"/>
      <c r="E51" s="28"/>
      <c r="F51" s="28"/>
      <c r="G51" s="28"/>
      <c r="H51" s="29"/>
      <c r="I51" s="5"/>
      <c r="J51" s="5"/>
      <c r="K51" s="5"/>
    </row>
    <row r="52" spans="1:35">
      <c r="A52" s="62">
        <f>K29</f>
        <v>12</v>
      </c>
      <c r="B52" s="343">
        <f>K48</f>
        <v>1276.2164056508223</v>
      </c>
      <c r="C52" s="343"/>
      <c r="D52" s="343"/>
      <c r="E52" s="28"/>
      <c r="F52" s="28"/>
      <c r="G52" s="28"/>
      <c r="H52" s="29"/>
      <c r="I52" s="5"/>
      <c r="J52" s="5"/>
      <c r="K52" s="5"/>
    </row>
    <row r="53" spans="1:35">
      <c r="A53" s="27"/>
      <c r="B53" s="28"/>
      <c r="C53" s="28"/>
      <c r="D53" s="28"/>
      <c r="E53" s="28"/>
      <c r="F53" s="28"/>
      <c r="G53" s="28"/>
      <c r="H53" s="29"/>
      <c r="I53" s="5"/>
      <c r="J53" s="5"/>
      <c r="K53" s="5"/>
    </row>
    <row r="54" spans="1:35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35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35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35">
      <c r="A57" s="22"/>
      <c r="B57" s="23"/>
      <c r="C57" s="23"/>
      <c r="D57" s="23"/>
      <c r="E57" s="63"/>
      <c r="F57" s="63"/>
      <c r="G57" s="63"/>
      <c r="H57" s="24"/>
      <c r="J57" s="22"/>
      <c r="K57" s="23"/>
      <c r="L57" s="23"/>
      <c r="M57" s="23"/>
      <c r="N57" s="63"/>
      <c r="O57" s="63"/>
      <c r="P57" s="63"/>
      <c r="Q57" s="24"/>
      <c r="S57" s="22"/>
      <c r="T57" s="23"/>
      <c r="U57" s="23"/>
      <c r="V57" s="23"/>
      <c r="W57" s="63"/>
      <c r="X57" s="63"/>
      <c r="Y57" s="63"/>
      <c r="Z57" s="24"/>
      <c r="AB57" s="22"/>
      <c r="AC57" s="23"/>
      <c r="AD57" s="23"/>
      <c r="AE57" s="23"/>
      <c r="AF57" s="63"/>
      <c r="AG57" s="63"/>
      <c r="AH57" s="63"/>
      <c r="AI57" s="24"/>
    </row>
    <row r="58" spans="1:35">
      <c r="A58" s="27" t="s">
        <v>96</v>
      </c>
      <c r="B58" s="28">
        <v>1</v>
      </c>
      <c r="C58" s="28"/>
      <c r="D58" s="28"/>
      <c r="E58" s="21"/>
      <c r="F58" s="21"/>
      <c r="G58" s="21"/>
      <c r="H58" s="29"/>
      <c r="J58" s="27" t="s">
        <v>96</v>
      </c>
      <c r="K58" s="28">
        <v>1</v>
      </c>
      <c r="L58" s="28"/>
      <c r="M58" s="28"/>
      <c r="N58" s="21"/>
      <c r="O58" s="21"/>
      <c r="P58" s="21"/>
      <c r="Q58" s="29"/>
      <c r="S58" s="27" t="s">
        <v>96</v>
      </c>
      <c r="T58" s="28">
        <v>1</v>
      </c>
      <c r="U58" s="28"/>
      <c r="V58" s="28"/>
      <c r="W58" s="21"/>
      <c r="X58" s="21"/>
      <c r="Y58" s="21"/>
      <c r="Z58" s="29"/>
      <c r="AB58" s="27" t="s">
        <v>96</v>
      </c>
      <c r="AC58" s="28">
        <v>1</v>
      </c>
      <c r="AD58" s="28"/>
      <c r="AE58" s="28"/>
      <c r="AF58" s="21"/>
      <c r="AG58" s="21"/>
      <c r="AH58" s="21"/>
      <c r="AI58" s="29"/>
    </row>
    <row r="59" spans="1:35">
      <c r="A59" s="27" t="s">
        <v>97</v>
      </c>
      <c r="B59" s="28">
        <f>K29-B58</f>
        <v>11</v>
      </c>
      <c r="C59" s="28"/>
      <c r="D59" s="28"/>
      <c r="E59" s="21"/>
      <c r="F59" s="21"/>
      <c r="G59" s="21"/>
      <c r="H59" s="29"/>
      <c r="J59" s="27" t="s">
        <v>97</v>
      </c>
      <c r="K59" s="28">
        <f>K29-K58</f>
        <v>11</v>
      </c>
      <c r="L59" s="28"/>
      <c r="M59" s="28"/>
      <c r="N59" s="21"/>
      <c r="O59" s="21"/>
      <c r="P59" s="21"/>
      <c r="Q59" s="29"/>
      <c r="S59" s="27" t="s">
        <v>97</v>
      </c>
      <c r="T59" s="28">
        <f>K29-T58</f>
        <v>11</v>
      </c>
      <c r="U59" s="28"/>
      <c r="V59" s="28"/>
      <c r="W59" s="21"/>
      <c r="X59" s="21"/>
      <c r="Y59" s="21"/>
      <c r="Z59" s="29"/>
      <c r="AB59" s="27" t="s">
        <v>97</v>
      </c>
      <c r="AC59" s="28">
        <f>K29-AC58</f>
        <v>11</v>
      </c>
      <c r="AD59" s="28"/>
      <c r="AE59" s="28"/>
      <c r="AF59" s="21"/>
      <c r="AG59" s="21"/>
      <c r="AH59" s="21"/>
      <c r="AI59" s="29"/>
    </row>
    <row r="60" spans="1:35">
      <c r="A60" s="64" t="s">
        <v>98</v>
      </c>
      <c r="B60" s="65">
        <v>10</v>
      </c>
      <c r="C60" s="28"/>
      <c r="D60" s="28"/>
      <c r="E60" s="21"/>
      <c r="F60" s="21"/>
      <c r="G60" s="21"/>
      <c r="H60" s="29"/>
      <c r="J60" s="64" t="s">
        <v>98</v>
      </c>
      <c r="K60" s="65">
        <v>20</v>
      </c>
      <c r="L60" s="28"/>
      <c r="M60" s="28"/>
      <c r="N60" s="21"/>
      <c r="O60" s="21"/>
      <c r="P60" s="21"/>
      <c r="Q60" s="29"/>
      <c r="S60" s="64" t="s">
        <v>98</v>
      </c>
      <c r="T60" s="65">
        <v>10</v>
      </c>
      <c r="U60" s="28"/>
      <c r="V60" s="28"/>
      <c r="W60" s="21"/>
      <c r="X60" s="21"/>
      <c r="Y60" s="21"/>
      <c r="Z60" s="29"/>
      <c r="AB60" s="64" t="s">
        <v>98</v>
      </c>
      <c r="AC60" s="65">
        <v>10</v>
      </c>
      <c r="AD60" s="28"/>
      <c r="AE60" s="28"/>
      <c r="AF60" s="21"/>
      <c r="AG60" s="21"/>
      <c r="AH60" s="21"/>
      <c r="AI60" s="29"/>
    </row>
    <row r="61" spans="1:35">
      <c r="A61" s="27" t="s">
        <v>27</v>
      </c>
      <c r="B61" s="28">
        <f>J18</f>
        <v>40526</v>
      </c>
      <c r="C61" s="28"/>
      <c r="D61" s="28"/>
      <c r="E61" s="21"/>
      <c r="F61" s="21"/>
      <c r="G61" s="21"/>
      <c r="H61" s="29"/>
      <c r="J61" s="27" t="s">
        <v>27</v>
      </c>
      <c r="K61" s="28">
        <f>J18</f>
        <v>40526</v>
      </c>
      <c r="L61" s="28"/>
      <c r="M61" s="28"/>
      <c r="N61" s="21"/>
      <c r="O61" s="21"/>
      <c r="P61" s="21"/>
      <c r="Q61" s="29"/>
      <c r="S61" s="27" t="s">
        <v>27</v>
      </c>
      <c r="T61" s="28">
        <f>J18</f>
        <v>40526</v>
      </c>
      <c r="U61" s="28"/>
      <c r="V61" s="28"/>
      <c r="W61" s="21"/>
      <c r="X61" s="21"/>
      <c r="Y61" s="21"/>
      <c r="Z61" s="29"/>
      <c r="AB61" s="27" t="s">
        <v>27</v>
      </c>
      <c r="AC61" s="28">
        <f>J18</f>
        <v>40526</v>
      </c>
      <c r="AD61" s="28"/>
      <c r="AE61" s="28"/>
      <c r="AF61" s="21"/>
      <c r="AG61" s="21"/>
      <c r="AH61" s="21"/>
      <c r="AI61" s="29"/>
    </row>
    <row r="62" spans="1:35">
      <c r="A62" s="66" t="s">
        <v>99</v>
      </c>
      <c r="B62" s="67">
        <v>1.0500000000000001E-2</v>
      </c>
      <c r="C62" s="28"/>
      <c r="D62" s="28"/>
      <c r="E62" s="21"/>
      <c r="F62" s="21"/>
      <c r="G62" s="21"/>
      <c r="H62" s="29"/>
      <c r="J62" s="66" t="s">
        <v>99</v>
      </c>
      <c r="K62" s="67">
        <v>0.06</v>
      </c>
      <c r="L62" s="28"/>
      <c r="M62" s="28"/>
      <c r="N62" s="21"/>
      <c r="O62" s="21"/>
      <c r="P62" s="21"/>
      <c r="Q62" s="29"/>
      <c r="S62" s="66" t="s">
        <v>99</v>
      </c>
      <c r="T62" s="67">
        <f>IF(AND(K29&gt;=12,K29&lt;=24),0.0105,IF(AND(K29&gt;=48),-0.0075,0))</f>
        <v>1.0500000000000001E-2</v>
      </c>
      <c r="U62" s="28"/>
      <c r="V62" s="28"/>
      <c r="W62" s="21"/>
      <c r="X62" s="21"/>
      <c r="Y62" s="21"/>
      <c r="Z62" s="29"/>
      <c r="AB62" s="66" t="s">
        <v>99</v>
      </c>
      <c r="AC62" s="67">
        <f>IF(AND(K29&gt;=12,K29&lt;=24),0.0105,IF(AND(K29&gt;=48),-0.0075,0))</f>
        <v>1.0500000000000001E-2</v>
      </c>
      <c r="AD62" s="28"/>
      <c r="AE62" s="28"/>
      <c r="AF62" s="21"/>
      <c r="AG62" s="21"/>
      <c r="AH62" s="21"/>
      <c r="AI62" s="29"/>
    </row>
    <row r="63" spans="1:35">
      <c r="A63" s="68" t="s">
        <v>100</v>
      </c>
      <c r="B63" s="69">
        <v>7.0000000000000007E-2</v>
      </c>
      <c r="C63" s="28"/>
      <c r="D63" s="28"/>
      <c r="E63" s="21"/>
      <c r="F63" s="21"/>
      <c r="G63" s="21"/>
      <c r="H63" s="29"/>
      <c r="J63" s="68" t="s">
        <v>100</v>
      </c>
      <c r="K63" s="69">
        <v>0.08</v>
      </c>
      <c r="L63" s="28"/>
      <c r="M63" s="28"/>
      <c r="N63" s="21"/>
      <c r="O63" s="21"/>
      <c r="P63" s="21"/>
      <c r="Q63" s="29"/>
      <c r="S63" s="68" t="s">
        <v>100</v>
      </c>
      <c r="T63" s="69">
        <v>5.8999999999999997E-2</v>
      </c>
      <c r="U63" s="28"/>
      <c r="V63" s="28"/>
      <c r="W63" s="21"/>
      <c r="X63" s="21"/>
      <c r="Y63" s="21"/>
      <c r="Z63" s="29"/>
      <c r="AB63" s="68" t="s">
        <v>100</v>
      </c>
      <c r="AC63" s="69">
        <v>5.8999999999999997E-2</v>
      </c>
      <c r="AD63" s="28"/>
      <c r="AE63" s="28"/>
      <c r="AF63" s="21"/>
      <c r="AG63" s="21"/>
      <c r="AH63" s="21"/>
      <c r="AI63" s="29"/>
    </row>
    <row r="64" spans="1:35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J64" s="70" t="s">
        <v>101</v>
      </c>
      <c r="K64" s="71">
        <v>0.1</v>
      </c>
      <c r="L64" s="28"/>
      <c r="M64" s="28"/>
      <c r="N64" s="21"/>
      <c r="O64" s="21"/>
      <c r="P64" s="21"/>
      <c r="Q64" s="29"/>
      <c r="S64" s="70" t="s">
        <v>101</v>
      </c>
      <c r="T64" s="71">
        <f>IF(T108=AP108,2.4%,7.2%)</f>
        <v>7.2000000000000008E-2</v>
      </c>
      <c r="U64" s="28"/>
      <c r="V64" s="28"/>
      <c r="W64" s="21"/>
      <c r="X64" s="21"/>
      <c r="Y64" s="21"/>
      <c r="Z64" s="29"/>
      <c r="AB64" s="70" t="s">
        <v>101</v>
      </c>
      <c r="AC64" s="71">
        <f>IF(AC108=AP108,2.4%,7.2%)</f>
        <v>7.2000000000000008E-2</v>
      </c>
      <c r="AD64" s="28"/>
      <c r="AE64" s="28"/>
      <c r="AF64" s="21"/>
      <c r="AG64" s="21"/>
      <c r="AH64" s="21"/>
      <c r="AI64" s="29"/>
    </row>
    <row r="65" spans="1:35">
      <c r="A65" s="49" t="s">
        <v>102</v>
      </c>
      <c r="B65" s="57">
        <f>(B89*B59)-(K47*K29)</f>
        <v>3902.632912683448</v>
      </c>
      <c r="C65" s="28"/>
      <c r="D65" s="28"/>
      <c r="E65" s="21"/>
      <c r="F65" s="21"/>
      <c r="G65" s="21"/>
      <c r="H65" s="29"/>
      <c r="J65" s="49" t="s">
        <v>102</v>
      </c>
      <c r="K65" s="57" t="e">
        <f>(K89*K59)-(K47*K29)</f>
        <v>#VALUE!</v>
      </c>
      <c r="L65" s="28"/>
      <c r="M65" s="28"/>
      <c r="N65" s="21"/>
      <c r="O65" s="21"/>
      <c r="P65" s="21"/>
      <c r="Q65" s="29"/>
      <c r="S65" s="49" t="s">
        <v>102</v>
      </c>
      <c r="T65" s="57" t="e">
        <f>(T89*T59)-(K47*K29)</f>
        <v>#VALUE!</v>
      </c>
      <c r="U65" s="28"/>
      <c r="V65" s="28"/>
      <c r="W65" s="21"/>
      <c r="X65" s="21"/>
      <c r="Y65" s="21"/>
      <c r="Z65" s="29"/>
      <c r="AB65" s="49" t="s">
        <v>102</v>
      </c>
      <c r="AC65" s="57" t="e">
        <f>(AC89*AC59)-(K47*K29)</f>
        <v>#VALUE!</v>
      </c>
      <c r="AD65" s="28"/>
      <c r="AE65" s="28"/>
      <c r="AF65" s="21"/>
      <c r="AG65" s="21"/>
      <c r="AH65" s="21"/>
      <c r="AI65" s="29"/>
    </row>
    <row r="66" spans="1:35">
      <c r="A66" s="66" t="s">
        <v>103</v>
      </c>
      <c r="B66" s="67">
        <v>0.05</v>
      </c>
      <c r="C66" s="28"/>
      <c r="D66" s="28"/>
      <c r="E66" s="21"/>
      <c r="F66" s="21"/>
      <c r="G66" s="21"/>
      <c r="H66" s="29"/>
      <c r="J66" s="66" t="s">
        <v>103</v>
      </c>
      <c r="K66" s="67">
        <v>0.05</v>
      </c>
      <c r="L66" s="28"/>
      <c r="M66" s="28"/>
      <c r="N66" s="21"/>
      <c r="O66" s="21"/>
      <c r="P66" s="21"/>
      <c r="Q66" s="29"/>
      <c r="S66" s="66" t="s">
        <v>103</v>
      </c>
      <c r="T66" s="67">
        <v>5.0000000000000001E-3</v>
      </c>
      <c r="U66" s="28"/>
      <c r="V66" s="28"/>
      <c r="W66" s="21"/>
      <c r="X66" s="21"/>
      <c r="Y66" s="21"/>
      <c r="Z66" s="29"/>
      <c r="AB66" s="66" t="s">
        <v>103</v>
      </c>
      <c r="AC66" s="67">
        <v>5.0000000000000001E-3</v>
      </c>
      <c r="AD66" s="28"/>
      <c r="AE66" s="28"/>
      <c r="AF66" s="21"/>
      <c r="AG66" s="21"/>
      <c r="AH66" s="21"/>
      <c r="AI66" s="29"/>
    </row>
    <row r="67" spans="1:35">
      <c r="A67" s="27" t="s">
        <v>104</v>
      </c>
      <c r="B67" s="72">
        <f>B66+(B66*0.5*(K29/12-1))</f>
        <v>0.05</v>
      </c>
      <c r="C67" s="28"/>
      <c r="D67" s="28"/>
      <c r="E67" s="21"/>
      <c r="F67" s="21"/>
      <c r="G67" s="21"/>
      <c r="H67" s="29"/>
      <c r="J67" s="27" t="s">
        <v>104</v>
      </c>
      <c r="K67" s="72">
        <f>K66+(K66*0.25*(K29/12-1))</f>
        <v>0.05</v>
      </c>
      <c r="L67" s="28"/>
      <c r="M67" s="28"/>
      <c r="N67" s="21"/>
      <c r="O67" s="21"/>
      <c r="P67" s="21"/>
      <c r="Q67" s="29"/>
      <c r="S67" s="27" t="s">
        <v>104</v>
      </c>
      <c r="T67" s="72">
        <f>T66+(T66*0.5*(K29/12-1))</f>
        <v>5.0000000000000001E-3</v>
      </c>
      <c r="U67" s="28"/>
      <c r="V67" s="28"/>
      <c r="W67" s="21"/>
      <c r="X67" s="21"/>
      <c r="Y67" s="21"/>
      <c r="Z67" s="29"/>
      <c r="AB67" s="27" t="s">
        <v>104</v>
      </c>
      <c r="AC67" s="72">
        <f>AC66+(AC66*0.5*(K29/12-1))</f>
        <v>5.0000000000000001E-3</v>
      </c>
      <c r="AD67" s="28"/>
      <c r="AE67" s="28"/>
      <c r="AF67" s="21"/>
      <c r="AG67" s="21"/>
      <c r="AH67" s="21"/>
      <c r="AI67" s="29"/>
    </row>
    <row r="68" spans="1:35">
      <c r="A68" s="49" t="s">
        <v>105</v>
      </c>
      <c r="B68" s="57">
        <f>(G158*B67)</f>
        <v>955.75</v>
      </c>
      <c r="C68" s="28"/>
      <c r="D68" s="28"/>
      <c r="E68" s="21"/>
      <c r="F68" s="21"/>
      <c r="G68" s="21"/>
      <c r="H68" s="29"/>
      <c r="J68" s="49" t="s">
        <v>105</v>
      </c>
      <c r="K68" s="57">
        <f>K61*K67</f>
        <v>2026.3000000000002</v>
      </c>
      <c r="L68" s="28"/>
      <c r="M68" s="28"/>
      <c r="N68" s="21"/>
      <c r="O68" s="21"/>
      <c r="P68" s="21"/>
      <c r="Q68" s="29"/>
      <c r="S68" s="49" t="s">
        <v>105</v>
      </c>
      <c r="T68" s="57">
        <f>T61*T67</f>
        <v>202.63</v>
      </c>
      <c r="U68" s="28"/>
      <c r="V68" s="28"/>
      <c r="W68" s="21"/>
      <c r="X68" s="21"/>
      <c r="Y68" s="21"/>
      <c r="Z68" s="29"/>
      <c r="AB68" s="49" t="s">
        <v>105</v>
      </c>
      <c r="AC68" s="57" t="e">
        <f>AH158*AC67</f>
        <v>#VALUE!</v>
      </c>
      <c r="AD68" s="28"/>
      <c r="AE68" s="28"/>
      <c r="AF68" s="21"/>
      <c r="AG68" s="21"/>
      <c r="AH68" s="21"/>
      <c r="AI68" s="29"/>
    </row>
    <row r="69" spans="1:35">
      <c r="A69" s="66" t="s">
        <v>106</v>
      </c>
      <c r="B69" s="67">
        <v>0</v>
      </c>
      <c r="C69" s="28"/>
      <c r="D69" s="28"/>
      <c r="E69" s="21"/>
      <c r="F69" s="21"/>
      <c r="G69" s="21"/>
      <c r="H69" s="29"/>
      <c r="J69" s="66" t="s">
        <v>106</v>
      </c>
      <c r="K69" s="67">
        <v>0</v>
      </c>
      <c r="L69" s="28"/>
      <c r="M69" s="28"/>
      <c r="N69" s="21"/>
      <c r="O69" s="21"/>
      <c r="P69" s="21"/>
      <c r="Q69" s="29"/>
      <c r="S69" s="66" t="s">
        <v>106</v>
      </c>
      <c r="T69" s="67">
        <v>0</v>
      </c>
      <c r="U69" s="28"/>
      <c r="V69" s="28"/>
      <c r="W69" s="21"/>
      <c r="X69" s="21"/>
      <c r="Y69" s="21"/>
      <c r="Z69" s="29"/>
      <c r="AB69" s="66" t="s">
        <v>106</v>
      </c>
      <c r="AC69" s="67">
        <v>0</v>
      </c>
      <c r="AD69" s="28"/>
      <c r="AE69" s="28"/>
      <c r="AF69" s="21"/>
      <c r="AG69" s="21"/>
      <c r="AH69" s="21"/>
      <c r="AI69" s="29"/>
    </row>
    <row r="70" spans="1:35">
      <c r="A70" s="68" t="s">
        <v>107</v>
      </c>
      <c r="B70" s="69">
        <v>0</v>
      </c>
      <c r="C70" s="28"/>
      <c r="D70" s="28"/>
      <c r="E70" s="21"/>
      <c r="F70" s="21"/>
      <c r="G70" s="21"/>
      <c r="H70" s="29"/>
      <c r="J70" s="68" t="s">
        <v>107</v>
      </c>
      <c r="K70" s="69">
        <v>0</v>
      </c>
      <c r="L70" s="28"/>
      <c r="M70" s="28"/>
      <c r="N70" s="21"/>
      <c r="O70" s="21"/>
      <c r="P70" s="21"/>
      <c r="Q70" s="29"/>
      <c r="S70" s="68" t="s">
        <v>107</v>
      </c>
      <c r="T70" s="69">
        <v>0</v>
      </c>
      <c r="U70" s="28"/>
      <c r="V70" s="28"/>
      <c r="W70" s="21"/>
      <c r="X70" s="21"/>
      <c r="Y70" s="21"/>
      <c r="Z70" s="29"/>
      <c r="AB70" s="68" t="s">
        <v>107</v>
      </c>
      <c r="AC70" s="69">
        <v>0</v>
      </c>
      <c r="AD70" s="28"/>
      <c r="AE70" s="28"/>
      <c r="AF70" s="21"/>
      <c r="AG70" s="21"/>
      <c r="AH70" s="21"/>
      <c r="AI70" s="29"/>
    </row>
    <row r="71" spans="1:35">
      <c r="A71" s="49" t="s">
        <v>108</v>
      </c>
      <c r="B71" s="73">
        <f>B69*(1+B70)</f>
        <v>0</v>
      </c>
      <c r="C71" s="28"/>
      <c r="D71" s="28"/>
      <c r="E71" s="21"/>
      <c r="F71" s="21"/>
      <c r="G71" s="21"/>
      <c r="H71" s="29"/>
      <c r="J71" s="49" t="s">
        <v>108</v>
      </c>
      <c r="K71" s="73">
        <f>K69*(1+K70)</f>
        <v>0</v>
      </c>
      <c r="L71" s="28"/>
      <c r="M71" s="28"/>
      <c r="N71" s="21"/>
      <c r="O71" s="21"/>
      <c r="P71" s="21"/>
      <c r="Q71" s="29"/>
      <c r="S71" s="49" t="s">
        <v>108</v>
      </c>
      <c r="T71" s="73">
        <f>T69*(1+T70)</f>
        <v>0</v>
      </c>
      <c r="U71" s="28"/>
      <c r="V71" s="28"/>
      <c r="W71" s="21"/>
      <c r="X71" s="21"/>
      <c r="Y71" s="21"/>
      <c r="Z71" s="29"/>
      <c r="AB71" s="49" t="s">
        <v>108</v>
      </c>
      <c r="AC71" s="73">
        <f>AC69*(1+AC70)</f>
        <v>0</v>
      </c>
      <c r="AD71" s="28"/>
      <c r="AE71" s="28"/>
      <c r="AF71" s="21"/>
      <c r="AG71" s="21"/>
      <c r="AH71" s="21"/>
      <c r="AI71" s="29"/>
    </row>
    <row r="72" spans="1:35">
      <c r="A72" s="66" t="s">
        <v>109</v>
      </c>
      <c r="B72" s="74">
        <v>0</v>
      </c>
      <c r="C72" s="28"/>
      <c r="D72" s="28"/>
      <c r="E72" s="21"/>
      <c r="F72" s="21"/>
      <c r="G72" s="21"/>
      <c r="H72" s="29"/>
      <c r="J72" s="66" t="s">
        <v>109</v>
      </c>
      <c r="K72" s="74">
        <v>0</v>
      </c>
      <c r="L72" s="28"/>
      <c r="M72" s="28"/>
      <c r="N72" s="21"/>
      <c r="O72" s="21"/>
      <c r="P72" s="21"/>
      <c r="Q72" s="29"/>
      <c r="S72" s="66" t="s">
        <v>109</v>
      </c>
      <c r="T72" s="74">
        <v>0</v>
      </c>
      <c r="U72" s="28"/>
      <c r="V72" s="28"/>
      <c r="W72" s="21"/>
      <c r="X72" s="21"/>
      <c r="Y72" s="21"/>
      <c r="Z72" s="29"/>
      <c r="AB72" s="66" t="s">
        <v>109</v>
      </c>
      <c r="AC72" s="74">
        <v>0</v>
      </c>
      <c r="AD72" s="28"/>
      <c r="AE72" s="28"/>
      <c r="AF72" s="21"/>
      <c r="AG72" s="21"/>
      <c r="AH72" s="21"/>
      <c r="AI72" s="29"/>
    </row>
    <row r="73" spans="1:35">
      <c r="A73" s="68" t="s">
        <v>110</v>
      </c>
      <c r="B73" s="65">
        <v>0</v>
      </c>
      <c r="C73" s="28"/>
      <c r="D73" s="28"/>
      <c r="E73" s="21"/>
      <c r="F73" s="21"/>
      <c r="G73" s="21"/>
      <c r="H73" s="29"/>
      <c r="J73" s="68" t="s">
        <v>110</v>
      </c>
      <c r="K73" s="65">
        <v>0</v>
      </c>
      <c r="L73" s="28"/>
      <c r="M73" s="28"/>
      <c r="N73" s="21"/>
      <c r="O73" s="21"/>
      <c r="P73" s="21"/>
      <c r="Q73" s="29"/>
      <c r="S73" s="68" t="s">
        <v>110</v>
      </c>
      <c r="T73" s="65">
        <v>0</v>
      </c>
      <c r="U73" s="28"/>
      <c r="V73" s="28"/>
      <c r="W73" s="21"/>
      <c r="X73" s="21"/>
      <c r="Y73" s="21"/>
      <c r="Z73" s="29"/>
      <c r="AB73" s="68" t="s">
        <v>110</v>
      </c>
      <c r="AC73" s="65">
        <v>0</v>
      </c>
      <c r="AD73" s="28"/>
      <c r="AE73" s="28"/>
      <c r="AF73" s="21"/>
      <c r="AG73" s="21"/>
      <c r="AH73" s="21"/>
      <c r="AI73" s="29"/>
    </row>
    <row r="74" spans="1:35">
      <c r="A74" s="49" t="s">
        <v>111</v>
      </c>
      <c r="B74" s="57">
        <f>B73*K29</f>
        <v>0</v>
      </c>
      <c r="C74" s="28"/>
      <c r="D74" s="28">
        <f>B74+B72</f>
        <v>0</v>
      </c>
      <c r="E74" s="21"/>
      <c r="F74" s="21"/>
      <c r="G74" s="21"/>
      <c r="H74" s="29"/>
      <c r="J74" s="49" t="s">
        <v>111</v>
      </c>
      <c r="K74" s="57">
        <f>K73*K29</f>
        <v>0</v>
      </c>
      <c r="L74" s="28"/>
      <c r="M74" s="28">
        <f>K74+K72</f>
        <v>0</v>
      </c>
      <c r="N74" s="21"/>
      <c r="O74" s="21"/>
      <c r="P74" s="21"/>
      <c r="Q74" s="29"/>
      <c r="S74" s="49" t="s">
        <v>111</v>
      </c>
      <c r="T74" s="57">
        <f>T73*K29</f>
        <v>0</v>
      </c>
      <c r="U74" s="28"/>
      <c r="V74" s="28">
        <f>T74+T72</f>
        <v>0</v>
      </c>
      <c r="W74" s="21"/>
      <c r="X74" s="21"/>
      <c r="Y74" s="21"/>
      <c r="Z74" s="29"/>
      <c r="AB74" s="49" t="s">
        <v>111</v>
      </c>
      <c r="AC74" s="57">
        <f>AC73*K29</f>
        <v>0</v>
      </c>
      <c r="AD74" s="28"/>
      <c r="AE74" s="28">
        <f>AC74+AC72</f>
        <v>0</v>
      </c>
      <c r="AF74" s="21"/>
      <c r="AG74" s="21"/>
      <c r="AH74" s="21"/>
      <c r="AI74" s="29"/>
    </row>
    <row r="75" spans="1:35">
      <c r="A75" s="68" t="s">
        <v>112</v>
      </c>
      <c r="B75" s="65">
        <v>0</v>
      </c>
      <c r="C75" s="28"/>
      <c r="D75" s="28">
        <f>B75</f>
        <v>0</v>
      </c>
      <c r="E75" s="21"/>
      <c r="F75" s="21"/>
      <c r="G75" s="21"/>
      <c r="H75" s="29"/>
      <c r="J75" s="68" t="s">
        <v>112</v>
      </c>
      <c r="K75" s="65">
        <v>0</v>
      </c>
      <c r="L75" s="28"/>
      <c r="M75" s="28">
        <f>K75</f>
        <v>0</v>
      </c>
      <c r="N75" s="21"/>
      <c r="O75" s="21"/>
      <c r="P75" s="21"/>
      <c r="Q75" s="29"/>
      <c r="S75" s="68" t="s">
        <v>112</v>
      </c>
      <c r="T75" s="65">
        <v>0</v>
      </c>
      <c r="U75" s="28"/>
      <c r="V75" s="28">
        <f>T75</f>
        <v>0</v>
      </c>
      <c r="W75" s="21"/>
      <c r="X75" s="21"/>
      <c r="Y75" s="21"/>
      <c r="Z75" s="29"/>
      <c r="AB75" s="68" t="s">
        <v>112</v>
      </c>
      <c r="AC75" s="65">
        <v>0</v>
      </c>
      <c r="AD75" s="28"/>
      <c r="AE75" s="28">
        <f>AC75</f>
        <v>0</v>
      </c>
      <c r="AF75" s="21"/>
      <c r="AG75" s="21"/>
      <c r="AH75" s="21"/>
      <c r="AI75" s="29"/>
    </row>
    <row r="76" spans="1:35">
      <c r="A76" s="70" t="s">
        <v>113</v>
      </c>
      <c r="B76" s="75">
        <v>0</v>
      </c>
      <c r="C76" s="28"/>
      <c r="D76" s="28">
        <f>B76</f>
        <v>0</v>
      </c>
      <c r="E76" s="21"/>
      <c r="F76" s="28"/>
      <c r="G76" s="21"/>
      <c r="H76" s="29"/>
      <c r="J76" s="70" t="s">
        <v>113</v>
      </c>
      <c r="K76" s="75">
        <v>0</v>
      </c>
      <c r="L76" s="28"/>
      <c r="M76" s="28">
        <f>K76</f>
        <v>0</v>
      </c>
      <c r="N76" s="21"/>
      <c r="O76" s="21"/>
      <c r="P76" s="21"/>
      <c r="Q76" s="29"/>
      <c r="S76" s="70" t="s">
        <v>113</v>
      </c>
      <c r="T76" s="75">
        <v>0</v>
      </c>
      <c r="U76" s="28"/>
      <c r="V76" s="28">
        <f>T76</f>
        <v>0</v>
      </c>
      <c r="W76" s="21"/>
      <c r="X76" s="21"/>
      <c r="Y76" s="21"/>
      <c r="Z76" s="29"/>
      <c r="AB76" s="70" t="s">
        <v>113</v>
      </c>
      <c r="AC76" s="75">
        <v>0</v>
      </c>
      <c r="AD76" s="28"/>
      <c r="AE76" s="28">
        <f>AC76</f>
        <v>0</v>
      </c>
      <c r="AF76" s="21"/>
      <c r="AG76" s="21"/>
      <c r="AH76" s="21"/>
      <c r="AI76" s="29"/>
    </row>
    <row r="77" spans="1:35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  <c r="J77" s="76" t="s">
        <v>114</v>
      </c>
      <c r="K77" s="77">
        <f>SUM(M65:M76)</f>
        <v>0</v>
      </c>
      <c r="L77" s="28"/>
      <c r="M77" s="28"/>
      <c r="N77" s="21"/>
      <c r="O77" s="21"/>
      <c r="P77" s="21"/>
      <c r="Q77" s="29"/>
      <c r="S77" s="76" t="s">
        <v>114</v>
      </c>
      <c r="T77" s="77">
        <f>SUM(V65:V76)</f>
        <v>0</v>
      </c>
      <c r="U77" s="28"/>
      <c r="V77" s="28"/>
      <c r="W77" s="21"/>
      <c r="X77" s="21"/>
      <c r="Y77" s="21"/>
      <c r="Z77" s="29"/>
      <c r="AB77" s="76" t="s">
        <v>114</v>
      </c>
      <c r="AC77" s="77">
        <f>SUM(AE65:AE76)</f>
        <v>0</v>
      </c>
      <c r="AD77" s="28"/>
      <c r="AE77" s="28"/>
      <c r="AF77" s="21"/>
      <c r="AG77" s="21"/>
      <c r="AH77" s="21"/>
      <c r="AI77" s="29"/>
    </row>
    <row r="78" spans="1:35">
      <c r="A78" s="27" t="s">
        <v>115</v>
      </c>
      <c r="B78" s="29">
        <f>B77/K29</f>
        <v>0</v>
      </c>
      <c r="C78" s="28"/>
      <c r="D78" s="28"/>
      <c r="E78" s="21"/>
      <c r="F78" s="21"/>
      <c r="G78" s="21"/>
      <c r="H78" s="29"/>
      <c r="J78" s="27" t="s">
        <v>115</v>
      </c>
      <c r="K78" s="29">
        <f>K77/K29</f>
        <v>0</v>
      </c>
      <c r="L78" s="28"/>
      <c r="M78" s="28"/>
      <c r="N78" s="21"/>
      <c r="O78" s="21"/>
      <c r="P78" s="21"/>
      <c r="Q78" s="29"/>
      <c r="S78" s="27" t="s">
        <v>115</v>
      </c>
      <c r="T78" s="29">
        <f>T77/K29</f>
        <v>0</v>
      </c>
      <c r="U78" s="28"/>
      <c r="V78" s="28"/>
      <c r="W78" s="21"/>
      <c r="X78" s="21"/>
      <c r="Y78" s="21"/>
      <c r="Z78" s="29"/>
      <c r="AB78" s="27" t="s">
        <v>115</v>
      </c>
      <c r="AC78" s="29">
        <f>AC77/K29</f>
        <v>0</v>
      </c>
      <c r="AD78" s="28"/>
      <c r="AE78" s="28"/>
      <c r="AF78" s="21"/>
      <c r="AG78" s="21"/>
      <c r="AH78" s="21"/>
      <c r="AI78" s="29"/>
    </row>
    <row r="79" spans="1:35">
      <c r="A79" s="78" t="s">
        <v>116</v>
      </c>
      <c r="B79" s="52">
        <f>K47</f>
        <v>1240.2164056508223</v>
      </c>
      <c r="C79" s="28"/>
      <c r="D79" s="28"/>
      <c r="E79" s="21"/>
      <c r="F79" s="21"/>
      <c r="G79" s="21"/>
      <c r="H79" s="29"/>
      <c r="J79" s="78" t="s">
        <v>116</v>
      </c>
      <c r="K79" s="52">
        <f>K47</f>
        <v>1240.2164056508223</v>
      </c>
      <c r="L79" s="28"/>
      <c r="M79" s="28"/>
      <c r="N79" s="21"/>
      <c r="O79" s="21"/>
      <c r="P79" s="21"/>
      <c r="Q79" s="29"/>
      <c r="S79" s="78" t="s">
        <v>116</v>
      </c>
      <c r="T79" s="52">
        <f>B52</f>
        <v>1276.2164056508223</v>
      </c>
      <c r="U79" s="28"/>
      <c r="V79" s="28"/>
      <c r="W79" s="21"/>
      <c r="X79" s="21"/>
      <c r="Y79" s="21"/>
      <c r="Z79" s="29"/>
      <c r="AB79" s="78" t="s">
        <v>116</v>
      </c>
      <c r="AC79" s="52">
        <f>B52</f>
        <v>1276.2164056508223</v>
      </c>
      <c r="AD79" s="28"/>
      <c r="AE79" s="28"/>
      <c r="AF79" s="21"/>
      <c r="AG79" s="21"/>
      <c r="AH79" s="21"/>
      <c r="AI79" s="29"/>
    </row>
    <row r="80" spans="1:35">
      <c r="A80" s="27"/>
      <c r="B80" s="28"/>
      <c r="C80" s="28"/>
      <c r="D80" s="28"/>
      <c r="E80" s="21"/>
      <c r="F80" s="21"/>
      <c r="G80" s="21"/>
      <c r="H80" s="29"/>
      <c r="J80" s="27"/>
      <c r="K80" s="28"/>
      <c r="L80" s="28"/>
      <c r="M80" s="28"/>
      <c r="N80" s="21"/>
      <c r="O80" s="21"/>
      <c r="P80" s="21"/>
      <c r="Q80" s="29"/>
      <c r="S80" s="27"/>
      <c r="T80" s="28"/>
      <c r="U80" s="28"/>
      <c r="V80" s="28"/>
      <c r="W80" s="21"/>
      <c r="X80" s="21"/>
      <c r="Y80" s="21"/>
      <c r="Z80" s="29"/>
      <c r="AB80" s="27"/>
      <c r="AC80" s="28"/>
      <c r="AD80" s="28"/>
      <c r="AE80" s="28"/>
      <c r="AF80" s="21"/>
      <c r="AG80" s="21"/>
      <c r="AH80" s="21"/>
      <c r="AI80" s="29"/>
    </row>
    <row r="81" spans="1:35">
      <c r="A81" s="22" t="s">
        <v>117</v>
      </c>
      <c r="B81" s="24">
        <f>G158</f>
        <v>19115</v>
      </c>
      <c r="C81" s="28"/>
      <c r="D81" s="28"/>
      <c r="E81" s="21"/>
      <c r="F81" s="22" t="s">
        <v>117</v>
      </c>
      <c r="G81" s="24">
        <f>G158</f>
        <v>19115</v>
      </c>
      <c r="H81" s="29"/>
      <c r="J81" s="22" t="s">
        <v>117</v>
      </c>
      <c r="K81" s="24" t="e">
        <f>P158</f>
        <v>#VALUE!</v>
      </c>
      <c r="L81" s="28"/>
      <c r="M81" s="28"/>
      <c r="N81" s="21"/>
      <c r="O81" s="21"/>
      <c r="P81" s="21"/>
      <c r="Q81" s="29"/>
      <c r="S81" s="22" t="s">
        <v>117</v>
      </c>
      <c r="T81" s="24" t="e">
        <f>Y158</f>
        <v>#VALUE!</v>
      </c>
      <c r="U81" s="28"/>
      <c r="V81" s="28"/>
      <c r="W81" s="21"/>
      <c r="X81" s="21"/>
      <c r="Y81" s="21"/>
      <c r="Z81" s="29"/>
      <c r="AB81" s="22" t="s">
        <v>117</v>
      </c>
      <c r="AC81" s="24" t="e">
        <f>AH158</f>
        <v>#VALUE!</v>
      </c>
      <c r="AD81" s="28"/>
      <c r="AE81" s="28"/>
      <c r="AF81" s="21"/>
      <c r="AG81" s="21"/>
      <c r="AH81" s="21"/>
      <c r="AI81" s="29"/>
    </row>
    <row r="82" spans="1:35">
      <c r="A82" s="27" t="s">
        <v>118</v>
      </c>
      <c r="B82" s="29">
        <f>IF(A111="YES",A40,0)</f>
        <v>0</v>
      </c>
      <c r="C82" s="28"/>
      <c r="D82" s="28"/>
      <c r="E82" s="21"/>
      <c r="F82" s="27" t="s">
        <v>118</v>
      </c>
      <c r="G82" s="29">
        <f>IF(A111="YES",A40,0)</f>
        <v>0</v>
      </c>
      <c r="H82" s="29"/>
      <c r="J82" s="27" t="s">
        <v>118</v>
      </c>
      <c r="K82" s="29">
        <f>IF(J111="YES",A40,0)</f>
        <v>0</v>
      </c>
      <c r="L82" s="28"/>
      <c r="M82" s="28"/>
      <c r="N82" s="21"/>
      <c r="O82" s="21"/>
      <c r="P82" s="21"/>
      <c r="Q82" s="29"/>
      <c r="S82" s="27" t="s">
        <v>118</v>
      </c>
      <c r="T82" s="29">
        <f>A40</f>
        <v>0</v>
      </c>
      <c r="U82" s="28"/>
      <c r="V82" s="28"/>
      <c r="W82" s="21"/>
      <c r="X82" s="21"/>
      <c r="Y82" s="21"/>
      <c r="Z82" s="29"/>
      <c r="AB82" s="27" t="s">
        <v>118</v>
      </c>
      <c r="AC82" s="29">
        <f>A40</f>
        <v>0</v>
      </c>
      <c r="AD82" s="28"/>
      <c r="AE82" s="28"/>
      <c r="AF82" s="21"/>
      <c r="AG82" s="21"/>
      <c r="AH82" s="21"/>
      <c r="AI82" s="29"/>
    </row>
    <row r="83" spans="1:35">
      <c r="A83" s="27" t="s">
        <v>119</v>
      </c>
      <c r="B83" s="79">
        <f>B62+B63+B64</f>
        <v>0.1305</v>
      </c>
      <c r="C83" s="28"/>
      <c r="D83" s="28"/>
      <c r="E83" s="21"/>
      <c r="F83" s="27" t="s">
        <v>119</v>
      </c>
      <c r="G83" s="79">
        <f>B63</f>
        <v>7.0000000000000007E-2</v>
      </c>
      <c r="H83" s="29"/>
      <c r="J83" s="27" t="s">
        <v>119</v>
      </c>
      <c r="K83" s="72">
        <f>K62+K63+K64</f>
        <v>0.24000000000000002</v>
      </c>
      <c r="L83" s="28"/>
      <c r="M83" s="28"/>
      <c r="N83" s="21"/>
      <c r="O83" s="21"/>
      <c r="P83" s="21"/>
      <c r="Q83" s="29"/>
      <c r="S83" s="27" t="s">
        <v>119</v>
      </c>
      <c r="T83" s="72">
        <f>T62+T63+T64</f>
        <v>0.14150000000000001</v>
      </c>
      <c r="U83" s="28"/>
      <c r="V83" s="28"/>
      <c r="W83" s="21"/>
      <c r="X83" s="21"/>
      <c r="Y83" s="21"/>
      <c r="Z83" s="29"/>
      <c r="AB83" s="27" t="s">
        <v>119</v>
      </c>
      <c r="AC83" s="72">
        <f>AC62+AC63+AC64</f>
        <v>0.14150000000000001</v>
      </c>
      <c r="AD83" s="28"/>
      <c r="AE83" s="28"/>
      <c r="AF83" s="21"/>
      <c r="AG83" s="21"/>
      <c r="AH83" s="21"/>
      <c r="AI83" s="29"/>
    </row>
    <row r="84" spans="1:35">
      <c r="A84" s="27" t="s">
        <v>120</v>
      </c>
      <c r="B84" s="72">
        <f>B83/12</f>
        <v>1.0875000000000001E-2</v>
      </c>
      <c r="C84" s="28"/>
      <c r="D84" s="28"/>
      <c r="E84" s="21"/>
      <c r="F84" s="27" t="s">
        <v>120</v>
      </c>
      <c r="G84" s="72">
        <f>G83/12</f>
        <v>5.8333333333333336E-3</v>
      </c>
      <c r="H84" s="29"/>
      <c r="J84" s="27" t="s">
        <v>120</v>
      </c>
      <c r="K84" s="72">
        <f>K83/12</f>
        <v>0.02</v>
      </c>
      <c r="L84" s="28"/>
      <c r="M84" s="28"/>
      <c r="N84" s="21"/>
      <c r="O84" s="21"/>
      <c r="P84" s="21"/>
      <c r="Q84" s="29"/>
      <c r="S84" s="27" t="s">
        <v>120</v>
      </c>
      <c r="T84" s="72">
        <f>T83/12</f>
        <v>1.1791666666666667E-2</v>
      </c>
      <c r="U84" s="28"/>
      <c r="V84" s="28"/>
      <c r="W84" s="21"/>
      <c r="X84" s="21"/>
      <c r="Y84" s="21"/>
      <c r="Z84" s="29"/>
      <c r="AB84" s="27" t="s">
        <v>120</v>
      </c>
      <c r="AC84" s="72">
        <f>AC83/12</f>
        <v>1.1791666666666667E-2</v>
      </c>
      <c r="AD84" s="28"/>
      <c r="AE84" s="28"/>
      <c r="AF84" s="21"/>
      <c r="AG84" s="21"/>
      <c r="AH84" s="21"/>
      <c r="AI84" s="29"/>
    </row>
    <row r="85" spans="1:35">
      <c r="A85" s="27" t="s">
        <v>121</v>
      </c>
      <c r="B85" s="29">
        <f>IF(B82=0,(B59+B58),(B59))</f>
        <v>12</v>
      </c>
      <c r="C85" s="28"/>
      <c r="D85" s="28"/>
      <c r="E85" s="21"/>
      <c r="F85" s="27" t="s">
        <v>121</v>
      </c>
      <c r="G85" s="29">
        <f>IF(G82=0,(B59+B58),(B59))</f>
        <v>12</v>
      </c>
      <c r="H85" s="29"/>
      <c r="J85" s="27" t="s">
        <v>121</v>
      </c>
      <c r="K85" s="29">
        <f>IF(K82=0,(K59+K58),(K59))</f>
        <v>12</v>
      </c>
      <c r="L85" s="28"/>
      <c r="M85" s="28"/>
      <c r="N85" s="21"/>
      <c r="O85" s="21"/>
      <c r="P85" s="21"/>
      <c r="Q85" s="29"/>
      <c r="S85" s="27" t="s">
        <v>121</v>
      </c>
      <c r="T85" s="29">
        <f>T59</f>
        <v>11</v>
      </c>
      <c r="U85" s="28"/>
      <c r="V85" s="28"/>
      <c r="W85" s="21"/>
      <c r="X85" s="21"/>
      <c r="Y85" s="21"/>
      <c r="Z85" s="29"/>
      <c r="AB85" s="27" t="s">
        <v>121</v>
      </c>
      <c r="AC85" s="29">
        <f>AC59</f>
        <v>11</v>
      </c>
      <c r="AD85" s="28"/>
      <c r="AE85" s="28"/>
      <c r="AF85" s="21"/>
      <c r="AG85" s="21"/>
      <c r="AH85" s="21"/>
      <c r="AI85" s="29"/>
    </row>
    <row r="86" spans="1:35">
      <c r="A86" s="27" t="s">
        <v>122</v>
      </c>
      <c r="B86" s="29">
        <f>(B82/((1+B84)^(B85+1)))</f>
        <v>0</v>
      </c>
      <c r="C86" s="28"/>
      <c r="D86" s="28"/>
      <c r="E86" s="21"/>
      <c r="F86" s="27" t="s">
        <v>122</v>
      </c>
      <c r="G86" s="29">
        <f>(G82/((1+G84)^(G85+1)))</f>
        <v>0</v>
      </c>
      <c r="H86" s="29"/>
      <c r="J86" s="27" t="s">
        <v>122</v>
      </c>
      <c r="K86" s="29">
        <f>(K82/((1+K84)^(K85+1)))</f>
        <v>0</v>
      </c>
      <c r="L86" s="28"/>
      <c r="M86" s="28"/>
      <c r="N86" s="21"/>
      <c r="O86" s="21"/>
      <c r="P86" s="21"/>
      <c r="Q86" s="29"/>
      <c r="S86" s="27" t="s">
        <v>122</v>
      </c>
      <c r="T86" s="29">
        <f>(T82/((1+T84)^(T85+1)))</f>
        <v>0</v>
      </c>
      <c r="U86" s="28"/>
      <c r="V86" s="28"/>
      <c r="W86" s="21"/>
      <c r="X86" s="21"/>
      <c r="Y86" s="21"/>
      <c r="Z86" s="29"/>
      <c r="AB86" s="27" t="s">
        <v>122</v>
      </c>
      <c r="AC86" s="29">
        <f>(AC82/((1+AC84)^(AC85+1)))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123</v>
      </c>
      <c r="B87" s="29">
        <f>((1-(1/((1+B84)^B85)))/B84)</f>
        <v>11.19310237122254</v>
      </c>
      <c r="C87" s="28"/>
      <c r="D87" s="28"/>
      <c r="E87" s="21"/>
      <c r="F87" s="27" t="s">
        <v>123</v>
      </c>
      <c r="G87" s="29">
        <f>((1-(1/((1+G84)^G85)))/G84)</f>
        <v>11.557120140237435</v>
      </c>
      <c r="H87" s="29"/>
      <c r="J87" s="27" t="s">
        <v>123</v>
      </c>
      <c r="K87" s="29">
        <f>((1-(1/((1+K84)^K85)))/K84)</f>
        <v>10.575341220917178</v>
      </c>
      <c r="L87" s="28"/>
      <c r="M87" s="28"/>
      <c r="N87" s="21"/>
      <c r="O87" s="21"/>
      <c r="P87" s="21"/>
      <c r="Q87" s="29"/>
      <c r="S87" s="27" t="s">
        <v>123</v>
      </c>
      <c r="T87" s="29">
        <f>((1-(1/((1+T84)^T85)))/T84)</f>
        <v>10.259931502735036</v>
      </c>
      <c r="U87" s="28"/>
      <c r="V87" s="28"/>
      <c r="W87" s="21"/>
      <c r="X87" s="21"/>
      <c r="Y87" s="21"/>
      <c r="Z87" s="29"/>
      <c r="AB87" s="27" t="s">
        <v>123</v>
      </c>
      <c r="AC87" s="29">
        <f>((1-(1/((1+AC84)^AC85)))/AC84)</f>
        <v>10.259931502735036</v>
      </c>
      <c r="AD87" s="28"/>
      <c r="AE87" s="28"/>
      <c r="AF87" s="21"/>
      <c r="AG87" s="21"/>
      <c r="AH87" s="21"/>
      <c r="AI87" s="29"/>
    </row>
    <row r="88" spans="1:35">
      <c r="A88" s="27" t="s">
        <v>124</v>
      </c>
      <c r="B88" s="29">
        <f>B81-B86</f>
        <v>19115</v>
      </c>
      <c r="C88" s="28"/>
      <c r="D88" s="28"/>
      <c r="E88" s="21"/>
      <c r="F88" s="27" t="s">
        <v>124</v>
      </c>
      <c r="G88" s="29">
        <f>G81-G86</f>
        <v>19115</v>
      </c>
      <c r="H88" s="29"/>
      <c r="J88" s="27" t="s">
        <v>124</v>
      </c>
      <c r="K88" s="29" t="e">
        <f>K81-K86</f>
        <v>#VALUE!</v>
      </c>
      <c r="L88" s="28"/>
      <c r="M88" s="28"/>
      <c r="N88" s="21"/>
      <c r="O88" s="21"/>
      <c r="P88" s="21"/>
      <c r="Q88" s="29"/>
      <c r="S88" s="27" t="s">
        <v>124</v>
      </c>
      <c r="T88" s="29" t="e">
        <f>T81-T86</f>
        <v>#VALUE!</v>
      </c>
      <c r="U88" s="28"/>
      <c r="V88" s="28"/>
      <c r="W88" s="21"/>
      <c r="X88" s="21"/>
      <c r="Y88" s="21"/>
      <c r="Z88" s="29"/>
      <c r="AB88" s="27" t="s">
        <v>124</v>
      </c>
      <c r="AC88" s="29" t="e">
        <f>AC81-AC86</f>
        <v>#VALUE!</v>
      </c>
      <c r="AD88" s="28"/>
      <c r="AE88" s="28"/>
      <c r="AF88" s="21"/>
      <c r="AG88" s="21"/>
      <c r="AH88" s="21"/>
      <c r="AI88" s="29"/>
    </row>
    <row r="89" spans="1:35">
      <c r="A89" s="27" t="s">
        <v>125</v>
      </c>
      <c r="B89" s="29">
        <f>(B88/B87)</f>
        <v>1707.7481618630286</v>
      </c>
      <c r="C89" s="28"/>
      <c r="D89" s="28"/>
      <c r="E89" s="21"/>
      <c r="F89" s="27" t="s">
        <v>125</v>
      </c>
      <c r="G89" s="29">
        <f>(G88/G87)</f>
        <v>1653.9587516659053</v>
      </c>
      <c r="H89" s="29"/>
      <c r="J89" s="27" t="s">
        <v>125</v>
      </c>
      <c r="K89" s="29" t="e">
        <f>(K88/K87)</f>
        <v>#VALUE!</v>
      </c>
      <c r="L89" s="28"/>
      <c r="M89" s="28"/>
      <c r="N89" s="21"/>
      <c r="O89" s="21"/>
      <c r="P89" s="21"/>
      <c r="Q89" s="29"/>
      <c r="S89" s="27" t="s">
        <v>125</v>
      </c>
      <c r="T89" s="29" t="e">
        <f>(T88/T87)</f>
        <v>#VALUE!</v>
      </c>
      <c r="U89" s="28"/>
      <c r="V89" s="28"/>
      <c r="W89" s="21"/>
      <c r="X89" s="21"/>
      <c r="Y89" s="21"/>
      <c r="Z89" s="29"/>
      <c r="AB89" s="27" t="s">
        <v>125</v>
      </c>
      <c r="AC89" s="29" t="e">
        <f>(AC88/AC87)</f>
        <v>#VALUE!</v>
      </c>
      <c r="AD89" s="28"/>
      <c r="AE89" s="28"/>
      <c r="AF89" s="21"/>
      <c r="AG89" s="21"/>
      <c r="AH89" s="21"/>
      <c r="AI89" s="29"/>
    </row>
    <row r="90" spans="1:35">
      <c r="A90" s="27" t="s">
        <v>126</v>
      </c>
      <c r="B90" s="29">
        <f>((B89*(B85))+B77)</f>
        <v>20492.977942356345</v>
      </c>
      <c r="C90" s="28"/>
      <c r="D90" s="28"/>
      <c r="E90" s="21"/>
      <c r="F90" s="27" t="s">
        <v>126</v>
      </c>
      <c r="G90" s="29">
        <f>((G89*(G85))+G77)</f>
        <v>19847.505019990866</v>
      </c>
      <c r="H90" s="29"/>
      <c r="J90" s="27" t="s">
        <v>126</v>
      </c>
      <c r="K90" s="29" t="e">
        <f>((K89*(K85))+K77)</f>
        <v>#VALUE!</v>
      </c>
      <c r="L90" s="28"/>
      <c r="M90" s="28"/>
      <c r="N90" s="21"/>
      <c r="O90" s="21"/>
      <c r="P90" s="21"/>
      <c r="Q90" s="29"/>
      <c r="S90" s="27" t="s">
        <v>126</v>
      </c>
      <c r="T90" s="29" t="e">
        <f>(T89*(T85))+T77</f>
        <v>#VALUE!</v>
      </c>
      <c r="U90" s="28"/>
      <c r="V90" s="28"/>
      <c r="W90" s="21"/>
      <c r="X90" s="21"/>
      <c r="Y90" s="21"/>
      <c r="Z90" s="29"/>
      <c r="AB90" s="27" t="s">
        <v>126</v>
      </c>
      <c r="AC90" s="29" t="e">
        <f>(AC89*(AC59))+AC77</f>
        <v>#VALUE!</v>
      </c>
      <c r="AD90" s="28"/>
      <c r="AE90" s="28"/>
      <c r="AF90" s="21"/>
      <c r="AG90" s="21"/>
      <c r="AH90" s="21"/>
      <c r="AI90" s="29"/>
    </row>
    <row r="91" spans="1:35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  <c r="J91" s="27" t="s">
        <v>127</v>
      </c>
      <c r="K91" s="29" t="e">
        <f>(K90/(1-K71))*K71</f>
        <v>#VALUE!</v>
      </c>
      <c r="L91" s="28"/>
      <c r="M91" s="28"/>
      <c r="N91" s="21"/>
      <c r="O91" s="21"/>
      <c r="P91" s="21"/>
      <c r="Q91" s="29"/>
      <c r="S91" s="27" t="s">
        <v>127</v>
      </c>
      <c r="T91" s="29" t="e">
        <f>(T90/(1-T71))*T71</f>
        <v>#VALUE!</v>
      </c>
      <c r="U91" s="28"/>
      <c r="V91" s="28"/>
      <c r="W91" s="21"/>
      <c r="X91" s="21"/>
      <c r="Y91" s="21"/>
      <c r="Z91" s="29"/>
      <c r="AB91" s="27" t="s">
        <v>127</v>
      </c>
      <c r="AC91" s="29" t="e">
        <f>(AC90/(1-AC71))*AC71</f>
        <v>#VALUE!</v>
      </c>
      <c r="AD91" s="28"/>
      <c r="AE91" s="28"/>
      <c r="AF91" s="21"/>
      <c r="AG91" s="21"/>
      <c r="AH91" s="21"/>
      <c r="AI91" s="29"/>
    </row>
    <row r="92" spans="1:35">
      <c r="A92" s="49" t="s">
        <v>128</v>
      </c>
      <c r="B92" s="57">
        <f>(B90+B91)</f>
        <v>20492.977942356345</v>
      </c>
      <c r="C92" s="28"/>
      <c r="D92" s="28"/>
      <c r="E92" s="21"/>
      <c r="F92" s="49" t="s">
        <v>128</v>
      </c>
      <c r="G92" s="57">
        <f>(G90+G91)</f>
        <v>19847.505019990866</v>
      </c>
      <c r="H92" s="29"/>
      <c r="J92" s="49" t="s">
        <v>128</v>
      </c>
      <c r="K92" s="57" t="e">
        <f>(K90+K91)</f>
        <v>#VALUE!</v>
      </c>
      <c r="L92" s="28"/>
      <c r="M92" s="28"/>
      <c r="N92" s="21"/>
      <c r="O92" s="21"/>
      <c r="P92" s="21"/>
      <c r="Q92" s="29"/>
      <c r="S92" s="49" t="s">
        <v>128</v>
      </c>
      <c r="T92" s="57" t="e">
        <f>(T90+T91)</f>
        <v>#VALUE!</v>
      </c>
      <c r="U92" s="28"/>
      <c r="V92" s="28"/>
      <c r="W92" s="21"/>
      <c r="X92" s="21"/>
      <c r="Y92" s="21"/>
      <c r="Z92" s="29"/>
      <c r="AB92" s="49" t="s">
        <v>128</v>
      </c>
      <c r="AC92" s="57" t="e">
        <f>(AC90+AC91)</f>
        <v>#VALUE!</v>
      </c>
      <c r="AD92" s="28"/>
      <c r="AE92" s="28"/>
      <c r="AF92" s="21"/>
      <c r="AG92" s="21"/>
      <c r="AH92" s="21"/>
      <c r="AI92" s="29"/>
    </row>
    <row r="93" spans="1:35">
      <c r="A93" s="27"/>
      <c r="B93" s="28"/>
      <c r="C93" s="28"/>
      <c r="D93" s="28"/>
      <c r="E93" s="21"/>
      <c r="F93" s="27"/>
      <c r="G93" s="28"/>
      <c r="H93" s="29"/>
      <c r="J93" s="27"/>
      <c r="K93" s="28"/>
      <c r="L93" s="28"/>
      <c r="M93" s="28"/>
      <c r="N93" s="21"/>
      <c r="O93" s="21"/>
      <c r="P93" s="21"/>
      <c r="Q93" s="29"/>
      <c r="S93" s="27"/>
      <c r="T93" s="28"/>
      <c r="U93" s="28"/>
      <c r="V93" s="28"/>
      <c r="W93" s="21"/>
      <c r="X93" s="21"/>
      <c r="Y93" s="21"/>
      <c r="Z93" s="29"/>
      <c r="AB93" s="27"/>
      <c r="AC93" s="28"/>
      <c r="AD93" s="28"/>
      <c r="AE93" s="28"/>
      <c r="AF93" s="21"/>
      <c r="AG93" s="21"/>
      <c r="AH93" s="21"/>
      <c r="AI93" s="29"/>
    </row>
    <row r="94" spans="1:35">
      <c r="A94" s="76" t="s">
        <v>129</v>
      </c>
      <c r="B94" s="80">
        <f>IF(B26="YES",((E40/B85)*(1+A108)*(C45/100)),"0")</f>
        <v>46.800000000000004</v>
      </c>
      <c r="C94" s="28"/>
      <c r="D94" s="28"/>
      <c r="E94" s="21"/>
      <c r="F94" s="76" t="s">
        <v>129</v>
      </c>
      <c r="G94" s="80">
        <f>IF(B26="YES",((E40/B85)*(1+A108)*(C45/100)),"0")</f>
        <v>46.800000000000004</v>
      </c>
      <c r="H94" s="29"/>
      <c r="J94" s="76" t="s">
        <v>129</v>
      </c>
      <c r="K94" s="77">
        <f>((E40/K85)*(1+J108))*1.2</f>
        <v>56.160000000000004</v>
      </c>
      <c r="L94" s="28"/>
      <c r="M94" s="28"/>
      <c r="N94" s="21"/>
      <c r="O94" s="21"/>
      <c r="P94" s="21"/>
      <c r="Q94" s="29"/>
      <c r="S94" s="76" t="s">
        <v>129</v>
      </c>
      <c r="T94" s="77">
        <f>((E40/T85)*(1+S108))</f>
        <v>47.127272727272725</v>
      </c>
      <c r="U94" s="28"/>
      <c r="V94" s="28"/>
      <c r="W94" s="21"/>
      <c r="X94" s="21"/>
      <c r="Y94" s="21"/>
      <c r="Z94" s="29"/>
      <c r="AB94" s="76" t="s">
        <v>129</v>
      </c>
      <c r="AC94" s="77">
        <f>((E40/AC85)*(1+AB108))*1.2</f>
        <v>56.552727272727267</v>
      </c>
      <c r="AD94" s="28"/>
      <c r="AE94" s="28"/>
      <c r="AF94" s="21"/>
      <c r="AG94" s="21"/>
      <c r="AH94" s="21"/>
      <c r="AI94" s="29"/>
    </row>
    <row r="95" spans="1:35">
      <c r="A95" s="81" t="s">
        <v>130</v>
      </c>
      <c r="B95" s="82">
        <f>B92/(B85)</f>
        <v>1707.7481618630288</v>
      </c>
      <c r="C95" s="28"/>
      <c r="D95" s="28"/>
      <c r="E95" s="21"/>
      <c r="F95" s="81" t="s">
        <v>130</v>
      </c>
      <c r="G95" s="82">
        <f>G92/(G85)</f>
        <v>1653.9587516659055</v>
      </c>
      <c r="H95" s="29"/>
      <c r="J95" s="81" t="s">
        <v>130</v>
      </c>
      <c r="K95" s="82" t="e">
        <f>K92/(K85)</f>
        <v>#VALUE!</v>
      </c>
      <c r="L95" s="28"/>
      <c r="M95" s="28"/>
      <c r="N95" s="21"/>
      <c r="O95" s="21"/>
      <c r="P95" s="21"/>
      <c r="Q95" s="29"/>
      <c r="S95" s="81" t="s">
        <v>130</v>
      </c>
      <c r="T95" s="82" t="e">
        <f>T92/(T85)</f>
        <v>#VALUE!</v>
      </c>
      <c r="U95" s="28"/>
      <c r="V95" s="28"/>
      <c r="W95" s="21"/>
      <c r="X95" s="21"/>
      <c r="Y95" s="21"/>
      <c r="Z95" s="29"/>
      <c r="AB95" s="81" t="s">
        <v>130</v>
      </c>
      <c r="AC95" s="82" t="e">
        <f>AC92/(AC59)</f>
        <v>#VALUE!</v>
      </c>
      <c r="AD95" s="28"/>
      <c r="AE95" s="28"/>
      <c r="AF95" s="21"/>
      <c r="AG95" s="21"/>
      <c r="AH95" s="21"/>
      <c r="AI95" s="29"/>
    </row>
    <row r="96" spans="1:35">
      <c r="A96" s="83" t="s">
        <v>131</v>
      </c>
      <c r="B96" s="84">
        <f>B94+B95</f>
        <v>1754.5481618630288</v>
      </c>
      <c r="C96" s="28"/>
      <c r="D96" s="28"/>
      <c r="E96" s="21"/>
      <c r="F96" s="83" t="s">
        <v>131</v>
      </c>
      <c r="G96" s="84">
        <f>G94+G95</f>
        <v>1700.7587516659055</v>
      </c>
      <c r="H96" s="29"/>
      <c r="J96" s="83" t="s">
        <v>131</v>
      </c>
      <c r="K96" s="84" t="e">
        <f>(K94+K95)</f>
        <v>#VALUE!</v>
      </c>
      <c r="L96" s="28"/>
      <c r="M96" s="28"/>
      <c r="N96" s="21"/>
      <c r="O96" s="21"/>
      <c r="P96" s="21"/>
      <c r="Q96" s="29"/>
      <c r="S96" s="83" t="s">
        <v>131</v>
      </c>
      <c r="T96" s="84" t="e">
        <f>T94+T95</f>
        <v>#VALUE!</v>
      </c>
      <c r="U96" s="28"/>
      <c r="V96" s="28"/>
      <c r="W96" s="21"/>
      <c r="X96" s="21"/>
      <c r="Y96" s="21"/>
      <c r="Z96" s="29"/>
      <c r="AB96" s="83" t="s">
        <v>131</v>
      </c>
      <c r="AC96" s="84" t="e">
        <f>AC94+AC95</f>
        <v>#VALUE!</v>
      </c>
      <c r="AD96" s="28"/>
      <c r="AE96" s="28"/>
      <c r="AF96" s="21"/>
      <c r="AG96" s="21"/>
      <c r="AH96" s="21"/>
      <c r="AI96" s="29"/>
    </row>
    <row r="97" spans="1:42">
      <c r="A97" s="49"/>
      <c r="B97" s="50"/>
      <c r="C97" s="50"/>
      <c r="D97" s="50"/>
      <c r="E97" s="85"/>
      <c r="F97" s="85"/>
      <c r="G97" s="85"/>
      <c r="H97" s="57"/>
      <c r="J97" s="49"/>
      <c r="K97" s="50"/>
      <c r="L97" s="50"/>
      <c r="M97" s="50"/>
      <c r="N97" s="85"/>
      <c r="O97" s="85"/>
      <c r="P97" s="85"/>
      <c r="Q97" s="57"/>
      <c r="S97" s="49"/>
      <c r="T97" s="50"/>
      <c r="U97" s="50"/>
      <c r="V97" s="50"/>
      <c r="W97" s="85"/>
      <c r="X97" s="85"/>
      <c r="Y97" s="85"/>
      <c r="Z97" s="57"/>
      <c r="AB97" s="49"/>
      <c r="AC97" s="50"/>
      <c r="AD97" s="50"/>
      <c r="AE97" s="50"/>
      <c r="AF97" s="85"/>
      <c r="AG97" s="85"/>
      <c r="AH97" s="85"/>
      <c r="AI97" s="57"/>
    </row>
    <row r="98" spans="1:42" ht="14.25">
      <c r="A98" s="21"/>
      <c r="B98" s="21"/>
      <c r="C98" s="21"/>
      <c r="D98" s="21"/>
      <c r="E98" s="21"/>
      <c r="F98" s="21"/>
      <c r="G98" s="21"/>
      <c r="H98" s="21"/>
      <c r="J98" s="21"/>
      <c r="K98" s="21"/>
      <c r="L98" s="21"/>
      <c r="M98" s="21"/>
      <c r="N98" s="21"/>
      <c r="O98" s="21"/>
      <c r="P98" s="21"/>
      <c r="Q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</row>
    <row r="99" spans="1:42" ht="14.25">
      <c r="A99" s="21"/>
      <c r="B99" s="21"/>
      <c r="C99" s="21"/>
      <c r="D99" s="21"/>
      <c r="E99" s="21"/>
      <c r="F99" s="21"/>
      <c r="G99" s="21"/>
      <c r="H99" s="21"/>
      <c r="J99" s="21"/>
      <c r="K99" s="21"/>
      <c r="L99" s="21"/>
      <c r="M99" s="21"/>
      <c r="N99" s="21"/>
      <c r="O99" s="21"/>
      <c r="P99" s="21"/>
      <c r="Q99" s="21"/>
      <c r="S99" s="21"/>
      <c r="T99" s="21"/>
      <c r="U99" s="21"/>
      <c r="V99" s="21"/>
      <c r="W99" s="21"/>
      <c r="X99" s="21"/>
      <c r="Y99" s="21"/>
      <c r="Z99" s="21"/>
      <c r="AB99" s="21"/>
      <c r="AC99" s="21"/>
      <c r="AD99" s="21"/>
      <c r="AE99" s="21"/>
      <c r="AF99" s="21"/>
      <c r="AG99" s="21"/>
      <c r="AH99" s="21"/>
      <c r="AI99" s="21"/>
    </row>
    <row r="100" spans="1:42" ht="47.25" customHeight="1">
      <c r="A100" s="344" t="s">
        <v>132</v>
      </c>
      <c r="B100" s="344"/>
      <c r="C100" s="344"/>
      <c r="D100" s="344"/>
      <c r="E100" s="344"/>
      <c r="F100" s="344"/>
      <c r="G100" s="344"/>
      <c r="H100" s="344"/>
      <c r="J100" s="344" t="s">
        <v>133</v>
      </c>
      <c r="K100" s="344"/>
      <c r="L100" s="344"/>
      <c r="M100" s="344"/>
      <c r="N100" s="344"/>
      <c r="O100" s="344"/>
      <c r="P100" s="344"/>
      <c r="Q100" s="344"/>
      <c r="S100" s="344" t="s">
        <v>134</v>
      </c>
      <c r="T100" s="344"/>
      <c r="U100" s="344"/>
      <c r="V100" s="344"/>
      <c r="W100" s="344"/>
      <c r="X100" s="344"/>
      <c r="Y100" s="344"/>
      <c r="Z100" s="344"/>
      <c r="AB100" s="344" t="s">
        <v>135</v>
      </c>
      <c r="AC100" s="344"/>
      <c r="AD100" s="344"/>
      <c r="AE100" s="344"/>
      <c r="AF100" s="344"/>
      <c r="AG100" s="344"/>
      <c r="AH100" s="344"/>
      <c r="AI100" s="344"/>
    </row>
    <row r="101" spans="1:42">
      <c r="A101" s="22"/>
      <c r="B101" s="23"/>
      <c r="C101" s="23"/>
      <c r="D101" s="23"/>
      <c r="E101" s="63"/>
      <c r="F101" s="63"/>
      <c r="G101" s="63"/>
      <c r="H101" s="87"/>
      <c r="J101" s="22"/>
      <c r="K101" s="23"/>
      <c r="L101" s="23"/>
      <c r="M101" s="23"/>
      <c r="N101" s="63"/>
      <c r="O101" s="63"/>
      <c r="P101" s="63"/>
      <c r="Q101" s="87"/>
      <c r="S101" s="22"/>
      <c r="T101" s="23"/>
      <c r="U101" s="23"/>
      <c r="V101" s="23"/>
      <c r="W101" s="63"/>
      <c r="X101" s="63"/>
      <c r="Y101" s="63"/>
      <c r="Z101" s="87"/>
      <c r="AB101" s="22"/>
      <c r="AC101" s="23"/>
      <c r="AD101" s="23"/>
      <c r="AE101" s="23"/>
      <c r="AF101" s="63"/>
      <c r="AG101" s="63"/>
      <c r="AH101" s="63"/>
      <c r="AI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35" t="s">
        <v>136</v>
      </c>
      <c r="K102" s="335"/>
      <c r="L102" s="335"/>
      <c r="M102" s="335"/>
      <c r="N102" s="335"/>
      <c r="O102" s="335"/>
      <c r="P102" s="335"/>
      <c r="Q102" s="335"/>
      <c r="S102" s="335" t="s">
        <v>136</v>
      </c>
      <c r="T102" s="335"/>
      <c r="U102" s="335"/>
      <c r="V102" s="335"/>
      <c r="W102" s="335"/>
      <c r="X102" s="335"/>
      <c r="Y102" s="335"/>
      <c r="Z102" s="335"/>
      <c r="AB102" s="335" t="s">
        <v>136</v>
      </c>
      <c r="AC102" s="335"/>
      <c r="AD102" s="335"/>
      <c r="AE102" s="335"/>
      <c r="AF102" s="335"/>
      <c r="AG102" s="335"/>
      <c r="AH102" s="335"/>
      <c r="AI102" s="335"/>
    </row>
    <row r="103" spans="1:42">
      <c r="A103" s="27"/>
      <c r="B103" s="28"/>
      <c r="C103" s="28"/>
      <c r="D103" s="28"/>
      <c r="E103" s="21"/>
      <c r="F103" s="21"/>
      <c r="G103" s="21"/>
      <c r="H103" s="88"/>
      <c r="J103" s="27"/>
      <c r="K103" s="28"/>
      <c r="L103" s="28"/>
      <c r="M103" s="28"/>
      <c r="N103" s="21"/>
      <c r="O103" s="21"/>
      <c r="P103" s="21"/>
      <c r="Q103" s="88"/>
      <c r="S103" s="27"/>
      <c r="T103" s="28"/>
      <c r="U103" s="28"/>
      <c r="V103" s="28"/>
      <c r="W103" s="21"/>
      <c r="X103" s="21"/>
      <c r="Y103" s="21"/>
      <c r="Z103" s="88"/>
      <c r="AB103" s="27"/>
      <c r="AC103" s="28"/>
      <c r="AD103" s="28"/>
      <c r="AE103" s="28"/>
      <c r="AF103" s="21"/>
      <c r="AG103" s="21"/>
      <c r="AH103" s="21"/>
      <c r="AI103" s="88"/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J104" s="27" t="s">
        <v>137</v>
      </c>
      <c r="K104" s="28" t="s">
        <v>36</v>
      </c>
      <c r="L104" s="28"/>
      <c r="M104" s="28"/>
      <c r="N104" s="28" t="s">
        <v>138</v>
      </c>
      <c r="O104" s="28"/>
      <c r="P104" s="28"/>
      <c r="Q104" s="29"/>
      <c r="S104" s="27" t="s">
        <v>137</v>
      </c>
      <c r="T104" s="28" t="s">
        <v>36</v>
      </c>
      <c r="U104" s="28"/>
      <c r="V104" s="28"/>
      <c r="W104" s="28" t="s">
        <v>138</v>
      </c>
      <c r="X104" s="28"/>
      <c r="Y104" s="28"/>
      <c r="Z104" s="29"/>
      <c r="AB104" s="27" t="s">
        <v>137</v>
      </c>
      <c r="AC104" s="28" t="s">
        <v>36</v>
      </c>
      <c r="AD104" s="28"/>
      <c r="AE104" s="28"/>
      <c r="AF104" s="28" t="s">
        <v>138</v>
      </c>
      <c r="AG104" s="28"/>
      <c r="AH104" s="28"/>
      <c r="AI104" s="29"/>
    </row>
    <row r="105" spans="1:42">
      <c r="A105" s="32" t="s">
        <v>139</v>
      </c>
      <c r="B105" s="345" t="s">
        <v>140</v>
      </c>
      <c r="C105" s="345"/>
      <c r="D105" s="345"/>
      <c r="E105" s="403" t="s">
        <v>385</v>
      </c>
      <c r="F105" s="403"/>
      <c r="G105" s="403"/>
      <c r="H105" s="88"/>
      <c r="J105" s="32" t="s">
        <v>139</v>
      </c>
      <c r="K105" s="345" t="s">
        <v>140</v>
      </c>
      <c r="L105" s="345"/>
      <c r="M105" s="345"/>
      <c r="N105" s="346" t="s">
        <v>31</v>
      </c>
      <c r="O105" s="346"/>
      <c r="P105" s="346"/>
      <c r="Q105" s="88"/>
      <c r="S105" s="32" t="s">
        <v>139</v>
      </c>
      <c r="T105" s="345" t="s">
        <v>140</v>
      </c>
      <c r="U105" s="345"/>
      <c r="V105" s="345"/>
      <c r="W105" s="346" t="s">
        <v>31</v>
      </c>
      <c r="X105" s="346"/>
      <c r="Y105" s="346"/>
      <c r="Z105" s="88"/>
      <c r="AB105" s="32" t="s">
        <v>139</v>
      </c>
      <c r="AC105" s="345" t="s">
        <v>140</v>
      </c>
      <c r="AD105" s="345"/>
      <c r="AE105" s="345"/>
      <c r="AF105" s="346" t="s">
        <v>31</v>
      </c>
      <c r="AG105" s="346"/>
      <c r="AH105" s="346"/>
      <c r="AI105" s="88"/>
    </row>
    <row r="106" spans="1:42">
      <c r="A106" s="27"/>
      <c r="B106" s="28"/>
      <c r="C106" s="28"/>
      <c r="D106" s="21"/>
      <c r="E106" s="28"/>
      <c r="F106" s="28"/>
      <c r="G106" s="21"/>
      <c r="H106" s="29"/>
      <c r="J106" s="27"/>
      <c r="K106" s="28"/>
      <c r="L106" s="28"/>
      <c r="M106" s="21"/>
      <c r="N106" s="28"/>
      <c r="O106" s="28"/>
      <c r="P106" s="21"/>
      <c r="Q106" s="29"/>
      <c r="S106" s="27"/>
      <c r="T106" s="28"/>
      <c r="U106" s="28"/>
      <c r="V106" s="21"/>
      <c r="W106" s="28"/>
      <c r="X106" s="28"/>
      <c r="Y106" s="21"/>
      <c r="Z106" s="29"/>
      <c r="AB106" s="27"/>
      <c r="AC106" s="28"/>
      <c r="AD106" s="28"/>
      <c r="AE106" s="21"/>
      <c r="AF106" s="28"/>
      <c r="AG106" s="28"/>
      <c r="AH106" s="21"/>
      <c r="AI106" s="29"/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J107" s="27" t="s">
        <v>141</v>
      </c>
      <c r="K107" s="28" t="s">
        <v>142</v>
      </c>
      <c r="L107" s="28"/>
      <c r="M107" s="21"/>
      <c r="N107" s="28" t="s">
        <v>143</v>
      </c>
      <c r="O107" s="28"/>
      <c r="P107" s="21"/>
      <c r="Q107" s="88"/>
      <c r="S107" s="27" t="s">
        <v>141</v>
      </c>
      <c r="T107" s="28" t="s">
        <v>142</v>
      </c>
      <c r="U107" s="28"/>
      <c r="V107" s="21"/>
      <c r="W107" s="28" t="s">
        <v>143</v>
      </c>
      <c r="X107" s="28"/>
      <c r="Y107" s="21"/>
      <c r="Z107" s="88"/>
      <c r="AB107" s="27" t="s">
        <v>141</v>
      </c>
      <c r="AC107" s="28" t="s">
        <v>142</v>
      </c>
      <c r="AD107" s="28"/>
      <c r="AE107" s="21"/>
      <c r="AF107" s="28" t="s">
        <v>143</v>
      </c>
      <c r="AG107" s="28"/>
      <c r="AH107" s="21"/>
      <c r="AI107" s="88"/>
    </row>
    <row r="108" spans="1:42">
      <c r="A108" s="91">
        <v>0.3</v>
      </c>
      <c r="B108" s="348">
        <v>0</v>
      </c>
      <c r="C108" s="348"/>
      <c r="D108" s="348">
        <v>0</v>
      </c>
      <c r="E108" s="349">
        <f>B83</f>
        <v>0.1305</v>
      </c>
      <c r="F108" s="349"/>
      <c r="G108" s="349"/>
      <c r="H108" s="42"/>
      <c r="J108" s="91">
        <v>0.3</v>
      </c>
      <c r="K108" s="348" t="s">
        <v>144</v>
      </c>
      <c r="L108" s="348"/>
      <c r="M108" s="348"/>
      <c r="N108" s="349">
        <f>K83</f>
        <v>0.24000000000000002</v>
      </c>
      <c r="O108" s="349"/>
      <c r="P108" s="349"/>
      <c r="Q108" s="42"/>
      <c r="S108" s="91">
        <v>0.2</v>
      </c>
      <c r="T108" s="348" t="s">
        <v>145</v>
      </c>
      <c r="U108" s="348"/>
      <c r="V108" s="348"/>
      <c r="W108" s="349">
        <f>T83</f>
        <v>0.14150000000000001</v>
      </c>
      <c r="X108" s="349"/>
      <c r="Y108" s="349"/>
      <c r="Z108" s="42"/>
      <c r="AB108" s="91">
        <v>0.2</v>
      </c>
      <c r="AC108" s="348" t="s">
        <v>145</v>
      </c>
      <c r="AD108" s="348"/>
      <c r="AE108" s="348"/>
      <c r="AF108" s="350">
        <f>AC83</f>
        <v>0.14150000000000001</v>
      </c>
      <c r="AG108" s="350"/>
      <c r="AH108" s="350"/>
      <c r="AI108" s="42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J109" s="27"/>
      <c r="K109" s="28"/>
      <c r="L109" s="28"/>
      <c r="M109" s="28"/>
      <c r="N109" s="28"/>
      <c r="O109" s="28"/>
      <c r="P109" s="28"/>
      <c r="Q109" s="29"/>
      <c r="S109" s="27"/>
      <c r="T109" s="28"/>
      <c r="U109" s="28"/>
      <c r="V109" s="28"/>
      <c r="W109" s="28"/>
      <c r="X109" s="28"/>
      <c r="Y109" s="28"/>
      <c r="Z109" s="29"/>
      <c r="AB109" s="27"/>
      <c r="AC109" s="28"/>
      <c r="AD109" s="28"/>
      <c r="AE109" s="28"/>
      <c r="AF109" s="28"/>
      <c r="AG109" s="28"/>
      <c r="AH109" s="28"/>
      <c r="AI109" s="29"/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J110" s="27" t="s">
        <v>147</v>
      </c>
      <c r="K110" s="28" t="s">
        <v>148</v>
      </c>
      <c r="L110" s="28"/>
      <c r="M110" s="28"/>
      <c r="N110" s="28" t="s">
        <v>149</v>
      </c>
      <c r="O110" s="28"/>
      <c r="P110" s="28"/>
      <c r="Q110" s="29"/>
      <c r="S110" s="27" t="s">
        <v>147</v>
      </c>
      <c r="T110" s="28" t="s">
        <v>148</v>
      </c>
      <c r="U110" s="28"/>
      <c r="V110" s="28"/>
      <c r="W110" s="28" t="s">
        <v>149</v>
      </c>
      <c r="X110" s="28"/>
      <c r="Y110" s="28"/>
      <c r="Z110" s="29"/>
      <c r="AB110" s="27" t="s">
        <v>147</v>
      </c>
      <c r="AC110" s="28" t="s">
        <v>148</v>
      </c>
      <c r="AD110" s="28"/>
      <c r="AE110" s="28"/>
      <c r="AF110" s="28" t="s">
        <v>149</v>
      </c>
      <c r="AG110" s="28"/>
      <c r="AH110" s="28"/>
      <c r="AI110" s="29"/>
    </row>
    <row r="111" spans="1:42">
      <c r="A111" s="36" t="s">
        <v>385</v>
      </c>
      <c r="B111" s="348">
        <v>1000</v>
      </c>
      <c r="C111" s="348"/>
      <c r="D111" s="348"/>
      <c r="E111" s="348">
        <v>1000</v>
      </c>
      <c r="F111" s="348"/>
      <c r="G111" s="348"/>
      <c r="H111" s="88"/>
      <c r="J111" s="36" t="s">
        <v>32</v>
      </c>
      <c r="K111" s="348">
        <v>1000</v>
      </c>
      <c r="L111" s="348"/>
      <c r="M111" s="348"/>
      <c r="N111" s="348">
        <v>0</v>
      </c>
      <c r="O111" s="348"/>
      <c r="P111" s="348"/>
      <c r="Q111" s="88"/>
      <c r="S111" s="36" t="s">
        <v>31</v>
      </c>
      <c r="T111" s="348">
        <v>1000</v>
      </c>
      <c r="U111" s="348"/>
      <c r="V111" s="348"/>
      <c r="W111" s="348">
        <v>0</v>
      </c>
      <c r="X111" s="348"/>
      <c r="Y111" s="348"/>
      <c r="Z111" s="88"/>
      <c r="AB111" s="36" t="s">
        <v>31</v>
      </c>
      <c r="AC111" s="348">
        <v>1000</v>
      </c>
      <c r="AD111" s="348"/>
      <c r="AE111" s="348"/>
      <c r="AF111" s="348">
        <v>0</v>
      </c>
      <c r="AG111" s="348"/>
      <c r="AH111" s="348"/>
      <c r="AI111" s="88"/>
    </row>
    <row r="112" spans="1:42">
      <c r="A112" s="27"/>
      <c r="B112" s="28"/>
      <c r="C112" s="28"/>
      <c r="D112" s="28"/>
      <c r="E112" s="28"/>
      <c r="F112" s="28"/>
      <c r="G112" s="21"/>
      <c r="H112" s="88"/>
      <c r="J112" s="27"/>
      <c r="K112" s="28"/>
      <c r="L112" s="28"/>
      <c r="M112" s="28"/>
      <c r="N112" s="28"/>
      <c r="O112" s="28"/>
      <c r="P112" s="21"/>
      <c r="Q112" s="88"/>
      <c r="S112" s="27"/>
      <c r="T112" s="28"/>
      <c r="U112" s="28"/>
      <c r="V112" s="28"/>
      <c r="W112" s="28"/>
      <c r="X112" s="28"/>
      <c r="Y112" s="21"/>
      <c r="Z112" s="88"/>
      <c r="AB112" s="27"/>
      <c r="AC112" s="28"/>
      <c r="AD112" s="28"/>
      <c r="AE112" s="28"/>
      <c r="AF112" s="28"/>
      <c r="AG112" s="28"/>
      <c r="AH112" s="21"/>
      <c r="AI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  <c r="J113" s="93" t="s">
        <v>150</v>
      </c>
      <c r="K113" s="28" t="s">
        <v>151</v>
      </c>
      <c r="L113" s="28"/>
      <c r="M113" s="28"/>
      <c r="N113" s="28" t="s">
        <v>152</v>
      </c>
      <c r="O113" s="28"/>
      <c r="P113" s="21"/>
      <c r="Q113" s="88"/>
      <c r="S113" s="93" t="s">
        <v>150</v>
      </c>
      <c r="T113" s="28" t="s">
        <v>151</v>
      </c>
      <c r="U113" s="28"/>
      <c r="V113" s="28"/>
      <c r="W113" s="28" t="s">
        <v>152</v>
      </c>
      <c r="X113" s="28"/>
      <c r="Y113" s="21"/>
      <c r="Z113" s="88"/>
      <c r="AB113" s="93" t="s">
        <v>150</v>
      </c>
      <c r="AC113" s="28" t="s">
        <v>151</v>
      </c>
      <c r="AD113" s="28"/>
      <c r="AE113" s="28"/>
      <c r="AF113" s="28" t="s">
        <v>152</v>
      </c>
      <c r="AG113" s="28"/>
      <c r="AH113" s="21"/>
      <c r="AI113" s="88"/>
    </row>
    <row r="114" spans="1:35">
      <c r="A114" s="94">
        <f>B111+E111</f>
        <v>2000</v>
      </c>
      <c r="B114" s="348">
        <v>833.33333333333337</v>
      </c>
      <c r="C114" s="348"/>
      <c r="D114" s="348"/>
      <c r="E114" s="348">
        <v>0</v>
      </c>
      <c r="F114" s="348"/>
      <c r="G114" s="348"/>
      <c r="H114" s="88"/>
      <c r="J114" s="94">
        <f>K111+N111</f>
        <v>1000</v>
      </c>
      <c r="K114" s="348">
        <v>239.99</v>
      </c>
      <c r="L114" s="348"/>
      <c r="M114" s="348"/>
      <c r="N114" s="348">
        <v>0</v>
      </c>
      <c r="O114" s="348"/>
      <c r="P114" s="348"/>
      <c r="Q114" s="88"/>
      <c r="S114" s="94">
        <f>T111+W111</f>
        <v>1000</v>
      </c>
      <c r="T114" s="348">
        <v>199.99</v>
      </c>
      <c r="U114" s="348"/>
      <c r="V114" s="348"/>
      <c r="W114" s="348">
        <v>0</v>
      </c>
      <c r="X114" s="348"/>
      <c r="Y114" s="348"/>
      <c r="Z114" s="88"/>
      <c r="AB114" s="94">
        <f>AC111+AF111</f>
        <v>1000</v>
      </c>
      <c r="AC114" s="348">
        <v>239.99</v>
      </c>
      <c r="AD114" s="348"/>
      <c r="AE114" s="348"/>
      <c r="AF114" s="348">
        <v>0</v>
      </c>
      <c r="AG114" s="348"/>
      <c r="AH114" s="348"/>
      <c r="AI114" s="88"/>
    </row>
    <row r="115" spans="1:35" ht="14.25">
      <c r="A115" s="95"/>
      <c r="B115" s="21"/>
      <c r="C115" s="21"/>
      <c r="D115" s="21"/>
      <c r="E115" s="21"/>
      <c r="F115" s="21"/>
      <c r="G115" s="21"/>
      <c r="H115" s="88"/>
      <c r="J115" s="95"/>
      <c r="K115" s="21"/>
      <c r="L115" s="21"/>
      <c r="M115" s="21"/>
      <c r="N115" s="21"/>
      <c r="O115" s="21"/>
      <c r="P115" s="21"/>
      <c r="Q115" s="88"/>
      <c r="S115" s="95"/>
      <c r="T115" s="21"/>
      <c r="U115" s="21"/>
      <c r="V115" s="21"/>
      <c r="W115" s="21"/>
      <c r="X115" s="21"/>
      <c r="Y115" s="21"/>
      <c r="Z115" s="88"/>
      <c r="AB115" s="95"/>
      <c r="AC115" s="21"/>
      <c r="AD115" s="21"/>
      <c r="AE115" s="21"/>
      <c r="AF115" s="21"/>
      <c r="AG115" s="21"/>
      <c r="AH115" s="21"/>
      <c r="AI115" s="88"/>
    </row>
    <row r="116" spans="1:35" ht="14.25">
      <c r="A116" s="95"/>
      <c r="B116" s="21"/>
      <c r="C116" s="21"/>
      <c r="D116" s="21"/>
      <c r="E116" s="21"/>
      <c r="F116" s="21"/>
      <c r="G116" s="21"/>
      <c r="H116" s="88"/>
      <c r="J116" s="95"/>
      <c r="K116" s="21"/>
      <c r="L116" s="21"/>
      <c r="M116" s="21"/>
      <c r="N116" s="21"/>
      <c r="O116" s="21"/>
      <c r="P116" s="21"/>
      <c r="Q116" s="88"/>
      <c r="S116" s="95"/>
      <c r="T116" s="21"/>
      <c r="U116" s="21"/>
      <c r="V116" s="21"/>
      <c r="W116" s="21"/>
      <c r="X116" s="21"/>
      <c r="Y116" s="21"/>
      <c r="Z116" s="88"/>
      <c r="AB116" s="95"/>
      <c r="AC116" s="21"/>
      <c r="AD116" s="21"/>
      <c r="AE116" s="21"/>
      <c r="AF116" s="21"/>
      <c r="AG116" s="21"/>
      <c r="AH116" s="21"/>
      <c r="AI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35" t="s">
        <v>153</v>
      </c>
      <c r="K117" s="335"/>
      <c r="L117" s="335"/>
      <c r="M117" s="335"/>
      <c r="N117" s="335"/>
      <c r="O117" s="335"/>
      <c r="P117" s="335"/>
      <c r="Q117" s="335"/>
      <c r="S117" s="335" t="s">
        <v>153</v>
      </c>
      <c r="T117" s="335"/>
      <c r="U117" s="335"/>
      <c r="V117" s="335"/>
      <c r="W117" s="335"/>
      <c r="X117" s="335"/>
      <c r="Y117" s="335"/>
      <c r="Z117" s="335"/>
      <c r="AB117" s="335" t="s">
        <v>153</v>
      </c>
      <c r="AC117" s="335"/>
      <c r="AD117" s="335"/>
      <c r="AE117" s="335"/>
      <c r="AF117" s="335"/>
      <c r="AG117" s="335"/>
      <c r="AH117" s="335"/>
      <c r="AI117" s="335"/>
    </row>
    <row r="118" spans="1:35" ht="14.25">
      <c r="A118" s="95"/>
      <c r="B118" s="21"/>
      <c r="C118" s="21"/>
      <c r="D118" s="21"/>
      <c r="E118" s="21"/>
      <c r="F118" s="21"/>
      <c r="G118" s="21"/>
      <c r="H118" s="88"/>
      <c r="J118" s="95"/>
      <c r="K118" s="21"/>
      <c r="L118" s="21"/>
      <c r="M118" s="21"/>
      <c r="N118" s="21"/>
      <c r="O118" s="21"/>
      <c r="P118" s="21"/>
      <c r="Q118" s="88"/>
      <c r="S118" s="95"/>
      <c r="T118" s="21"/>
      <c r="U118" s="21"/>
      <c r="V118" s="21"/>
      <c r="W118" s="21"/>
      <c r="X118" s="21"/>
      <c r="Y118" s="21"/>
      <c r="Z118" s="88"/>
      <c r="AB118" s="95"/>
      <c r="AC118" s="21"/>
      <c r="AD118" s="21"/>
      <c r="AE118" s="21"/>
      <c r="AF118" s="21"/>
      <c r="AG118" s="21"/>
      <c r="AH118" s="21"/>
      <c r="AI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J119" s="66"/>
      <c r="K119" s="351" t="s">
        <v>154</v>
      </c>
      <c r="L119" s="351"/>
      <c r="M119" s="351" t="s">
        <v>155</v>
      </c>
      <c r="N119" s="351"/>
      <c r="O119" s="351" t="s">
        <v>156</v>
      </c>
      <c r="P119" s="351"/>
      <c r="Q119" s="96" t="s">
        <v>157</v>
      </c>
      <c r="S119" s="66"/>
      <c r="T119" s="351" t="s">
        <v>154</v>
      </c>
      <c r="U119" s="351"/>
      <c r="V119" s="351" t="s">
        <v>155</v>
      </c>
      <c r="W119" s="351"/>
      <c r="X119" s="351" t="s">
        <v>156</v>
      </c>
      <c r="Y119" s="351"/>
      <c r="Z119" s="96" t="s">
        <v>157</v>
      </c>
      <c r="AB119" s="66"/>
      <c r="AC119" s="351" t="s">
        <v>154</v>
      </c>
      <c r="AD119" s="351"/>
      <c r="AE119" s="351" t="s">
        <v>155</v>
      </c>
      <c r="AF119" s="351"/>
      <c r="AG119" s="351" t="s">
        <v>156</v>
      </c>
      <c r="AH119" s="351"/>
      <c r="AI119" s="96" t="s">
        <v>157</v>
      </c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  <c r="J120" s="68"/>
      <c r="K120" s="97" t="s">
        <v>158</v>
      </c>
      <c r="L120" s="98" t="s">
        <v>159</v>
      </c>
      <c r="M120" s="97" t="s">
        <v>158</v>
      </c>
      <c r="N120" s="99" t="s">
        <v>159</v>
      </c>
      <c r="O120" s="97" t="s">
        <v>158</v>
      </c>
      <c r="P120" s="99" t="s">
        <v>159</v>
      </c>
      <c r="Q120" s="100"/>
      <c r="S120" s="68"/>
      <c r="T120" s="97" t="s">
        <v>158</v>
      </c>
      <c r="U120" s="98" t="s">
        <v>159</v>
      </c>
      <c r="V120" s="97" t="s">
        <v>158</v>
      </c>
      <c r="W120" s="99" t="s">
        <v>159</v>
      </c>
      <c r="X120" s="97" t="s">
        <v>158</v>
      </c>
      <c r="Y120" s="99" t="s">
        <v>159</v>
      </c>
      <c r="Z120" s="100"/>
      <c r="AB120" s="68"/>
      <c r="AC120" s="97" t="s">
        <v>158</v>
      </c>
      <c r="AD120" s="98" t="s">
        <v>159</v>
      </c>
      <c r="AE120" s="97" t="s">
        <v>158</v>
      </c>
      <c r="AF120" s="99" t="s">
        <v>159</v>
      </c>
      <c r="AG120" s="97" t="s">
        <v>158</v>
      </c>
      <c r="AH120" s="99" t="s">
        <v>159</v>
      </c>
      <c r="AI120" s="100"/>
    </row>
    <row r="121" spans="1:35">
      <c r="A121" s="22" t="s">
        <v>160</v>
      </c>
      <c r="B121" s="22">
        <f>B9</f>
        <v>14333.33</v>
      </c>
      <c r="C121" s="36">
        <v>16412.5</v>
      </c>
      <c r="D121" s="22">
        <f>D3</f>
        <v>0</v>
      </c>
      <c r="E121" s="36">
        <f>D121</f>
        <v>0</v>
      </c>
      <c r="F121" s="22">
        <f>B11</f>
        <v>0</v>
      </c>
      <c r="G121" s="36">
        <f>F121</f>
        <v>0</v>
      </c>
      <c r="H121" s="101">
        <f>H3</f>
        <v>0</v>
      </c>
      <c r="J121" s="22" t="s">
        <v>160</v>
      </c>
      <c r="K121" s="22">
        <f>B3</f>
        <v>0</v>
      </c>
      <c r="L121" s="36">
        <v>28629.17</v>
      </c>
      <c r="M121" s="22">
        <f>D3</f>
        <v>0</v>
      </c>
      <c r="N121" s="36">
        <f>M121</f>
        <v>0</v>
      </c>
      <c r="O121" s="22" t="str">
        <f>F3</f>
        <v xml:space="preserve"> </v>
      </c>
      <c r="P121" s="36" t="str">
        <f>O121</f>
        <v xml:space="preserve"> </v>
      </c>
      <c r="Q121" s="101">
        <f>H3</f>
        <v>0</v>
      </c>
      <c r="S121" s="22" t="s">
        <v>160</v>
      </c>
      <c r="T121" s="22">
        <f>B3</f>
        <v>0</v>
      </c>
      <c r="U121" s="36">
        <f>T121</f>
        <v>0</v>
      </c>
      <c r="V121" s="22">
        <f>D3</f>
        <v>0</v>
      </c>
      <c r="W121" s="36">
        <f>V121</f>
        <v>0</v>
      </c>
      <c r="X121" s="22" t="str">
        <f>F3</f>
        <v xml:space="preserve"> </v>
      </c>
      <c r="Y121" s="36" t="str">
        <f>X121</f>
        <v xml:space="preserve"> </v>
      </c>
      <c r="Z121" s="101">
        <f>H3</f>
        <v>0</v>
      </c>
      <c r="AB121" s="22" t="s">
        <v>160</v>
      </c>
      <c r="AC121" s="22">
        <f>B3</f>
        <v>0</v>
      </c>
      <c r="AD121" s="36">
        <f>AC121</f>
        <v>0</v>
      </c>
      <c r="AE121" s="22">
        <f>D3</f>
        <v>0</v>
      </c>
      <c r="AF121" s="36">
        <f>AE121</f>
        <v>0</v>
      </c>
      <c r="AG121" s="22" t="str">
        <f>F3</f>
        <v xml:space="preserve"> </v>
      </c>
      <c r="AH121" s="36" t="str">
        <f>AG121</f>
        <v xml:space="preserve"> </v>
      </c>
      <c r="AI121" s="101">
        <f>H3</f>
        <v>0</v>
      </c>
    </row>
    <row r="122" spans="1:35">
      <c r="A122" s="27" t="s">
        <v>161</v>
      </c>
      <c r="B122" s="102">
        <v>0</v>
      </c>
      <c r="C122" s="103">
        <v>0</v>
      </c>
      <c r="D122" s="102">
        <v>0</v>
      </c>
      <c r="E122" s="103">
        <v>0</v>
      </c>
      <c r="F122" s="102">
        <v>0</v>
      </c>
      <c r="G122" s="296">
        <v>0</v>
      </c>
      <c r="H122" s="105"/>
      <c r="J122" s="27" t="s">
        <v>161</v>
      </c>
      <c r="K122" s="102">
        <f>B4</f>
        <v>17199.995999999999</v>
      </c>
      <c r="L122" s="103">
        <v>0</v>
      </c>
      <c r="M122" s="102">
        <f>D4</f>
        <v>0</v>
      </c>
      <c r="N122" s="103">
        <f>M122</f>
        <v>0</v>
      </c>
      <c r="O122" s="102" t="str">
        <f>F4</f>
        <v xml:space="preserve"> </v>
      </c>
      <c r="P122" s="296" t="str">
        <f>O122</f>
        <v xml:space="preserve"> </v>
      </c>
      <c r="Q122" s="105"/>
      <c r="S122" s="27" t="s">
        <v>161</v>
      </c>
      <c r="T122" s="102">
        <f>B4</f>
        <v>17199.995999999999</v>
      </c>
      <c r="U122" s="103">
        <v>0.25</v>
      </c>
      <c r="V122" s="102">
        <f>D4</f>
        <v>0</v>
      </c>
      <c r="W122" s="103">
        <f>V122</f>
        <v>0</v>
      </c>
      <c r="X122" s="102" t="str">
        <f>F4</f>
        <v xml:space="preserve"> </v>
      </c>
      <c r="Y122" s="296" t="str">
        <f>X122</f>
        <v xml:space="preserve"> </v>
      </c>
      <c r="Z122" s="105"/>
      <c r="AB122" s="27" t="s">
        <v>161</v>
      </c>
      <c r="AC122" s="102">
        <f>B4</f>
        <v>17199.995999999999</v>
      </c>
      <c r="AD122" s="103">
        <v>0.25</v>
      </c>
      <c r="AE122" s="102">
        <f>D4</f>
        <v>0</v>
      </c>
      <c r="AF122" s="103">
        <f>AE122</f>
        <v>0</v>
      </c>
      <c r="AG122" s="102" t="str">
        <f>F4</f>
        <v xml:space="preserve"> </v>
      </c>
      <c r="AH122" s="296" t="str">
        <f>AG122</f>
        <v xml:space="preserve"> </v>
      </c>
      <c r="AI122" s="105"/>
    </row>
    <row r="123" spans="1:35">
      <c r="A123" s="27" t="s">
        <v>162</v>
      </c>
      <c r="B123" s="27">
        <v>0</v>
      </c>
      <c r="C123" s="36">
        <v>0</v>
      </c>
      <c r="D123" s="27">
        <v>0</v>
      </c>
      <c r="E123" s="36">
        <v>0</v>
      </c>
      <c r="F123" s="27">
        <v>0</v>
      </c>
      <c r="G123" s="36">
        <v>0</v>
      </c>
      <c r="H123" s="29"/>
      <c r="J123" s="27" t="s">
        <v>162</v>
      </c>
      <c r="K123" s="27">
        <f>B5</f>
        <v>0</v>
      </c>
      <c r="L123" s="36">
        <v>0</v>
      </c>
      <c r="M123" s="27">
        <f>D5</f>
        <v>0</v>
      </c>
      <c r="N123" s="36">
        <f>M123</f>
        <v>0</v>
      </c>
      <c r="O123" s="27" t="str">
        <f>F5</f>
        <v xml:space="preserve"> </v>
      </c>
      <c r="P123" s="36" t="str">
        <f>O123</f>
        <v xml:space="preserve"> </v>
      </c>
      <c r="Q123" s="29"/>
      <c r="S123" s="27" t="s">
        <v>162</v>
      </c>
      <c r="T123" s="27">
        <f>B5</f>
        <v>0</v>
      </c>
      <c r="U123" s="36">
        <v>0</v>
      </c>
      <c r="V123" s="27">
        <f>D5</f>
        <v>0</v>
      </c>
      <c r="W123" s="36">
        <f>V123</f>
        <v>0</v>
      </c>
      <c r="X123" s="27" t="str">
        <f>F5</f>
        <v xml:space="preserve"> </v>
      </c>
      <c r="Y123" s="36" t="str">
        <f>X123</f>
        <v xml:space="preserve"> </v>
      </c>
      <c r="Z123" s="29"/>
      <c r="AB123" s="27" t="s">
        <v>162</v>
      </c>
      <c r="AC123" s="27">
        <f>B5</f>
        <v>0</v>
      </c>
      <c r="AD123" s="36">
        <v>0</v>
      </c>
      <c r="AE123" s="27">
        <f>D5</f>
        <v>0</v>
      </c>
      <c r="AF123" s="36">
        <f>AE123</f>
        <v>0</v>
      </c>
      <c r="AG123" s="27" t="str">
        <f>F5</f>
        <v xml:space="preserve"> </v>
      </c>
      <c r="AH123" s="36" t="str">
        <f>AG123</f>
        <v xml:space="preserve"> </v>
      </c>
      <c r="AI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  <c r="J124" s="27" t="s">
        <v>163</v>
      </c>
      <c r="K124" s="27">
        <f t="shared" ref="K124:P124" si="0">(K121*K122)+K123</f>
        <v>0</v>
      </c>
      <c r="L124" s="24">
        <f t="shared" si="0"/>
        <v>0</v>
      </c>
      <c r="M124" s="27">
        <f t="shared" si="0"/>
        <v>0</v>
      </c>
      <c r="N124" s="24">
        <f t="shared" si="0"/>
        <v>0</v>
      </c>
      <c r="O124" s="27" t="e">
        <f t="shared" si="0"/>
        <v>#VALUE!</v>
      </c>
      <c r="P124" s="24" t="e">
        <f t="shared" si="0"/>
        <v>#VALUE!</v>
      </c>
      <c r="Q124" s="29"/>
      <c r="S124" s="27" t="s">
        <v>163</v>
      </c>
      <c r="T124" s="27">
        <f t="shared" ref="T124:Y124" si="1">(T121*T122)+T123</f>
        <v>0</v>
      </c>
      <c r="U124" s="24">
        <f t="shared" si="1"/>
        <v>0</v>
      </c>
      <c r="V124" s="27">
        <f t="shared" si="1"/>
        <v>0</v>
      </c>
      <c r="W124" s="24">
        <f t="shared" si="1"/>
        <v>0</v>
      </c>
      <c r="X124" s="27" t="e">
        <f t="shared" si="1"/>
        <v>#VALUE!</v>
      </c>
      <c r="Y124" s="24" t="e">
        <f t="shared" si="1"/>
        <v>#VALUE!</v>
      </c>
      <c r="Z124" s="29"/>
      <c r="AB124" s="27" t="s">
        <v>163</v>
      </c>
      <c r="AC124" s="27">
        <f t="shared" ref="AC124:AH124" si="2">(AC121*AC122)+AC123</f>
        <v>0</v>
      </c>
      <c r="AD124" s="24">
        <f t="shared" si="2"/>
        <v>0</v>
      </c>
      <c r="AE124" s="27">
        <f t="shared" si="2"/>
        <v>0</v>
      </c>
      <c r="AF124" s="24">
        <f t="shared" si="2"/>
        <v>0</v>
      </c>
      <c r="AG124" s="27" t="e">
        <f t="shared" si="2"/>
        <v>#VALUE!</v>
      </c>
      <c r="AH124" s="24" t="e">
        <f t="shared" si="2"/>
        <v>#VALUE!</v>
      </c>
      <c r="AI124" s="29"/>
    </row>
    <row r="125" spans="1:35">
      <c r="A125" s="49" t="s">
        <v>164</v>
      </c>
      <c r="B125" s="49">
        <f t="shared" ref="B125:G125" si="3">B121-B124</f>
        <v>14333.33</v>
      </c>
      <c r="C125" s="57">
        <f t="shared" si="3"/>
        <v>16412.5</v>
      </c>
      <c r="D125" s="49">
        <f t="shared" si="3"/>
        <v>0</v>
      </c>
      <c r="E125" s="57">
        <f t="shared" si="3"/>
        <v>0</v>
      </c>
      <c r="F125" s="49">
        <f t="shared" si="3"/>
        <v>0</v>
      </c>
      <c r="G125" s="57">
        <f t="shared" si="3"/>
        <v>0</v>
      </c>
      <c r="H125" s="57"/>
      <c r="J125" s="49" t="s">
        <v>164</v>
      </c>
      <c r="K125" s="49">
        <f t="shared" ref="K125:P125" si="4">K121-K124</f>
        <v>0</v>
      </c>
      <c r="L125" s="57">
        <f t="shared" si="4"/>
        <v>28629.17</v>
      </c>
      <c r="M125" s="49">
        <f t="shared" si="4"/>
        <v>0</v>
      </c>
      <c r="N125" s="57">
        <f t="shared" si="4"/>
        <v>0</v>
      </c>
      <c r="O125" s="49" t="e">
        <f t="shared" si="4"/>
        <v>#VALUE!</v>
      </c>
      <c r="P125" s="57" t="e">
        <f t="shared" si="4"/>
        <v>#VALUE!</v>
      </c>
      <c r="Q125" s="57"/>
      <c r="S125" s="49" t="s">
        <v>164</v>
      </c>
      <c r="T125" s="49">
        <f t="shared" ref="T125:Y125" si="5">T121-T124</f>
        <v>0</v>
      </c>
      <c r="U125" s="57">
        <f t="shared" si="5"/>
        <v>0</v>
      </c>
      <c r="V125" s="49">
        <f t="shared" si="5"/>
        <v>0</v>
      </c>
      <c r="W125" s="57">
        <f t="shared" si="5"/>
        <v>0</v>
      </c>
      <c r="X125" s="49" t="e">
        <f t="shared" si="5"/>
        <v>#VALUE!</v>
      </c>
      <c r="Y125" s="57" t="e">
        <f t="shared" si="5"/>
        <v>#VALUE!</v>
      </c>
      <c r="Z125" s="57"/>
      <c r="AB125" s="49" t="s">
        <v>164</v>
      </c>
      <c r="AC125" s="49">
        <f t="shared" ref="AC125:AH125" si="6">AC121-AC124</f>
        <v>0</v>
      </c>
      <c r="AD125" s="57">
        <f t="shared" si="6"/>
        <v>0</v>
      </c>
      <c r="AE125" s="49">
        <f t="shared" si="6"/>
        <v>0</v>
      </c>
      <c r="AF125" s="57">
        <f t="shared" si="6"/>
        <v>0</v>
      </c>
      <c r="AG125" s="49" t="e">
        <f t="shared" si="6"/>
        <v>#VALUE!</v>
      </c>
      <c r="AH125" s="57" t="e">
        <f t="shared" si="6"/>
        <v>#VALUE!</v>
      </c>
      <c r="AI125" s="57"/>
    </row>
    <row r="126" spans="1:35">
      <c r="A126" s="27"/>
      <c r="B126" s="28"/>
      <c r="C126" s="28"/>
      <c r="D126" s="28"/>
      <c r="E126" s="28"/>
      <c r="F126" s="28"/>
      <c r="G126" s="28"/>
      <c r="H126" s="29"/>
      <c r="J126" s="27"/>
      <c r="K126" s="28"/>
      <c r="L126" s="28"/>
      <c r="M126" s="28"/>
      <c r="N126" s="28"/>
      <c r="O126" s="28"/>
      <c r="P126" s="28"/>
      <c r="Q126" s="29"/>
      <c r="S126" s="27"/>
      <c r="T126" s="28"/>
      <c r="U126" s="28"/>
      <c r="V126" s="28"/>
      <c r="W126" s="28"/>
      <c r="X126" s="28"/>
      <c r="Y126" s="28"/>
      <c r="Z126" s="29"/>
      <c r="AB126" s="27"/>
      <c r="AC126" s="28"/>
      <c r="AD126" s="28"/>
      <c r="AE126" s="28"/>
      <c r="AF126" s="28"/>
      <c r="AG126" s="28"/>
      <c r="AH126" s="28"/>
      <c r="AI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  <c r="J127" s="107"/>
      <c r="K127" s="108"/>
      <c r="L127" s="108"/>
      <c r="M127" s="108"/>
      <c r="N127" s="108"/>
      <c r="O127" s="108"/>
      <c r="P127" s="109" t="s">
        <v>158</v>
      </c>
      <c r="Q127" s="110" t="s">
        <v>159</v>
      </c>
      <c r="S127" s="107"/>
      <c r="T127" s="108"/>
      <c r="U127" s="108"/>
      <c r="V127" s="108"/>
      <c r="W127" s="108"/>
      <c r="X127" s="108"/>
      <c r="Y127" s="109" t="s">
        <v>158</v>
      </c>
      <c r="Z127" s="110" t="s">
        <v>159</v>
      </c>
      <c r="AB127" s="107"/>
      <c r="AC127" s="108"/>
      <c r="AD127" s="108"/>
      <c r="AE127" s="108"/>
      <c r="AF127" s="108"/>
      <c r="AG127" s="108"/>
      <c r="AH127" s="109" t="s">
        <v>158</v>
      </c>
      <c r="AI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  <c r="J128" s="111" t="s">
        <v>165</v>
      </c>
      <c r="K128" s="112"/>
      <c r="L128" s="112"/>
      <c r="M128" s="112"/>
      <c r="N128" s="112"/>
      <c r="O128" s="112"/>
      <c r="P128" s="113">
        <f>Q121</f>
        <v>0</v>
      </c>
      <c r="Q128" s="114">
        <f>SUM(Q131:Q133)</f>
        <v>0</v>
      </c>
      <c r="S128" s="111" t="s">
        <v>165</v>
      </c>
      <c r="T128" s="112"/>
      <c r="U128" s="112"/>
      <c r="V128" s="112"/>
      <c r="W128" s="112"/>
      <c r="X128" s="112"/>
      <c r="Y128" s="113">
        <f>Z121</f>
        <v>0</v>
      </c>
      <c r="Z128" s="114">
        <f>SUM(Z131:Z133)</f>
        <v>0</v>
      </c>
      <c r="AB128" s="111" t="s">
        <v>165</v>
      </c>
      <c r="AC128" s="112"/>
      <c r="AD128" s="112"/>
      <c r="AE128" s="112"/>
      <c r="AF128" s="112"/>
      <c r="AG128" s="112"/>
      <c r="AH128" s="113">
        <f>AI121</f>
        <v>0</v>
      </c>
      <c r="AI128" s="114">
        <f>SUM(AI131:AI133)</f>
        <v>0</v>
      </c>
    </row>
    <row r="129" spans="1:35">
      <c r="A129" s="27"/>
      <c r="B129" s="28"/>
      <c r="C129" s="28"/>
      <c r="D129" s="28"/>
      <c r="E129" s="28"/>
      <c r="F129" s="28"/>
      <c r="G129" s="115"/>
      <c r="H129" s="116"/>
      <c r="J129" s="27"/>
      <c r="K129" s="28"/>
      <c r="L129" s="28"/>
      <c r="M129" s="28"/>
      <c r="N129" s="28"/>
      <c r="O129" s="28"/>
      <c r="P129" s="115"/>
      <c r="Q129" s="116"/>
      <c r="S129" s="27"/>
      <c r="T129" s="28"/>
      <c r="U129" s="28"/>
      <c r="V129" s="28"/>
      <c r="W129" s="28"/>
      <c r="X129" s="28"/>
      <c r="Y129" s="115"/>
      <c r="Z129" s="116"/>
      <c r="AB129" s="27"/>
      <c r="AC129" s="28"/>
      <c r="AD129" s="28"/>
      <c r="AE129" s="28"/>
      <c r="AF129" s="28"/>
      <c r="AG129" s="28"/>
      <c r="AH129" s="115"/>
      <c r="AI129" s="116"/>
    </row>
    <row r="130" spans="1:35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J130" s="117" t="s">
        <v>166</v>
      </c>
      <c r="K130" s="352" t="s">
        <v>167</v>
      </c>
      <c r="L130" s="352"/>
      <c r="M130" s="352" t="s">
        <v>168</v>
      </c>
      <c r="N130" s="352"/>
      <c r="O130" s="352" t="s">
        <v>162</v>
      </c>
      <c r="P130" s="352"/>
      <c r="Q130" s="116" t="s">
        <v>159</v>
      </c>
      <c r="S130" s="117" t="s">
        <v>166</v>
      </c>
      <c r="T130" s="352" t="s">
        <v>167</v>
      </c>
      <c r="U130" s="352"/>
      <c r="V130" s="352" t="s">
        <v>168</v>
      </c>
      <c r="W130" s="352"/>
      <c r="X130" s="352" t="s">
        <v>162</v>
      </c>
      <c r="Y130" s="352"/>
      <c r="Z130" s="116" t="s">
        <v>159</v>
      </c>
      <c r="AB130" s="117" t="s">
        <v>166</v>
      </c>
      <c r="AC130" s="352" t="s">
        <v>167</v>
      </c>
      <c r="AD130" s="352"/>
      <c r="AE130" s="352" t="s">
        <v>168</v>
      </c>
      <c r="AF130" s="352"/>
      <c r="AG130" s="352" t="s">
        <v>162</v>
      </c>
      <c r="AH130" s="352"/>
      <c r="AI130" s="116" t="s">
        <v>159</v>
      </c>
    </row>
    <row r="131" spans="1:35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J131" s="27" t="s">
        <v>169</v>
      </c>
      <c r="K131" s="354">
        <f>P128</f>
        <v>0</v>
      </c>
      <c r="L131" s="354"/>
      <c r="M131" s="355">
        <v>0</v>
      </c>
      <c r="N131" s="355"/>
      <c r="O131" s="354">
        <v>0</v>
      </c>
      <c r="P131" s="354"/>
      <c r="Q131" s="119">
        <f>(K131-(K131*M131))-O131</f>
        <v>0</v>
      </c>
      <c r="S131" s="27" t="s">
        <v>169</v>
      </c>
      <c r="T131" s="354">
        <f>Y128</f>
        <v>0</v>
      </c>
      <c r="U131" s="354"/>
      <c r="V131" s="355">
        <v>0</v>
      </c>
      <c r="W131" s="355"/>
      <c r="X131" s="354">
        <v>0</v>
      </c>
      <c r="Y131" s="354"/>
      <c r="Z131" s="119">
        <f>(T131-(T131*V131))-X131</f>
        <v>0</v>
      </c>
      <c r="AB131" s="27" t="s">
        <v>169</v>
      </c>
      <c r="AC131" s="354">
        <f>AH128</f>
        <v>0</v>
      </c>
      <c r="AD131" s="354"/>
      <c r="AE131" s="355">
        <v>0</v>
      </c>
      <c r="AF131" s="355"/>
      <c r="AG131" s="354">
        <v>0</v>
      </c>
      <c r="AH131" s="354"/>
      <c r="AI131" s="119">
        <f>(AC131-(AC131*AE131))-AG131</f>
        <v>0</v>
      </c>
    </row>
    <row r="132" spans="1:35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J132" s="27" t="s">
        <v>170</v>
      </c>
      <c r="K132" s="354">
        <v>0</v>
      </c>
      <c r="L132" s="354"/>
      <c r="M132" s="355">
        <v>0</v>
      </c>
      <c r="N132" s="355"/>
      <c r="O132" s="354">
        <v>0</v>
      </c>
      <c r="P132" s="354"/>
      <c r="Q132" s="119">
        <f>(K132-(K132*M132))-O132</f>
        <v>0</v>
      </c>
      <c r="S132" s="27" t="s">
        <v>170</v>
      </c>
      <c r="T132" s="354">
        <v>0</v>
      </c>
      <c r="U132" s="354"/>
      <c r="V132" s="355">
        <v>0</v>
      </c>
      <c r="W132" s="355"/>
      <c r="X132" s="354">
        <v>0</v>
      </c>
      <c r="Y132" s="354"/>
      <c r="Z132" s="119">
        <f>(T132-(T132*V132))-X132</f>
        <v>0</v>
      </c>
      <c r="AB132" s="27" t="s">
        <v>170</v>
      </c>
      <c r="AC132" s="354">
        <v>0</v>
      </c>
      <c r="AD132" s="354"/>
      <c r="AE132" s="355">
        <v>0</v>
      </c>
      <c r="AF132" s="355"/>
      <c r="AG132" s="354">
        <v>0</v>
      </c>
      <c r="AH132" s="354"/>
      <c r="AI132" s="119">
        <f>(AC132-(AC132*AE132))-AG132</f>
        <v>0</v>
      </c>
    </row>
    <row r="133" spans="1:35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J133" s="27" t="s">
        <v>171</v>
      </c>
      <c r="K133" s="354">
        <v>0</v>
      </c>
      <c r="L133" s="354"/>
      <c r="M133" s="355">
        <v>0</v>
      </c>
      <c r="N133" s="355"/>
      <c r="O133" s="354">
        <v>0</v>
      </c>
      <c r="P133" s="354"/>
      <c r="Q133" s="119">
        <f>(K133-(K133*M133))-O133</f>
        <v>0</v>
      </c>
      <c r="S133" s="27" t="s">
        <v>171</v>
      </c>
      <c r="T133" s="354">
        <v>0</v>
      </c>
      <c r="U133" s="354"/>
      <c r="V133" s="355">
        <v>0</v>
      </c>
      <c r="W133" s="355"/>
      <c r="X133" s="354">
        <v>0</v>
      </c>
      <c r="Y133" s="354"/>
      <c r="Z133" s="119">
        <f>(T133-(T133*V133))-X133</f>
        <v>0</v>
      </c>
      <c r="AB133" s="27" t="s">
        <v>171</v>
      </c>
      <c r="AC133" s="354">
        <v>0</v>
      </c>
      <c r="AD133" s="354"/>
      <c r="AE133" s="355">
        <v>0</v>
      </c>
      <c r="AF133" s="355"/>
      <c r="AG133" s="354">
        <v>0</v>
      </c>
      <c r="AH133" s="354"/>
      <c r="AI133" s="119">
        <f>(AC133-(AC133*AE133))-AG133</f>
        <v>0</v>
      </c>
    </row>
    <row r="134" spans="1:35">
      <c r="A134" s="27"/>
      <c r="B134" s="28"/>
      <c r="C134" s="28"/>
      <c r="D134" s="28"/>
      <c r="E134" s="28"/>
      <c r="F134" s="28"/>
      <c r="G134" s="115"/>
      <c r="H134" s="116"/>
      <c r="J134" s="27"/>
      <c r="K134" s="28"/>
      <c r="L134" s="28"/>
      <c r="M134" s="28"/>
      <c r="N134" s="28"/>
      <c r="O134" s="28"/>
      <c r="P134" s="115"/>
      <c r="Q134" s="116"/>
      <c r="S134" s="27"/>
      <c r="T134" s="28"/>
      <c r="U134" s="28"/>
      <c r="V134" s="28"/>
      <c r="W134" s="28"/>
      <c r="X134" s="28"/>
      <c r="Y134" s="115"/>
      <c r="Z134" s="116"/>
      <c r="AB134" s="27"/>
      <c r="AC134" s="28"/>
      <c r="AD134" s="28"/>
      <c r="AE134" s="28"/>
      <c r="AF134" s="28"/>
      <c r="AG134" s="28"/>
      <c r="AH134" s="115"/>
      <c r="AI134" s="116"/>
    </row>
    <row r="135" spans="1:35" ht="21">
      <c r="A135" s="356" t="s">
        <v>172</v>
      </c>
      <c r="B135" s="356"/>
      <c r="C135" s="356"/>
      <c r="D135" s="356"/>
      <c r="E135" s="356"/>
      <c r="F135" s="356"/>
      <c r="G135" s="109">
        <f>B121</f>
        <v>14333.33</v>
      </c>
      <c r="H135" s="120">
        <f>C125+E125+G125+H128</f>
        <v>16412.5</v>
      </c>
      <c r="J135" s="356" t="s">
        <v>172</v>
      </c>
      <c r="K135" s="356"/>
      <c r="L135" s="356"/>
      <c r="M135" s="356"/>
      <c r="N135" s="356"/>
      <c r="O135" s="356"/>
      <c r="P135" s="109">
        <f t="shared" ref="P135:P142" si="7">H9</f>
        <v>0</v>
      </c>
      <c r="Q135" s="120" t="e">
        <f>L125+N125+P125+Q128</f>
        <v>#VALUE!</v>
      </c>
      <c r="S135" s="356" t="s">
        <v>172</v>
      </c>
      <c r="T135" s="356"/>
      <c r="U135" s="356"/>
      <c r="V135" s="356"/>
      <c r="W135" s="356"/>
      <c r="X135" s="356"/>
      <c r="Y135" s="109">
        <f t="shared" ref="Y135:Y142" si="8">H9</f>
        <v>0</v>
      </c>
      <c r="Z135" s="120" t="e">
        <f>U125+W125+Y125+Z128</f>
        <v>#VALUE!</v>
      </c>
      <c r="AB135" s="356" t="s">
        <v>172</v>
      </c>
      <c r="AC135" s="356"/>
      <c r="AD135" s="356"/>
      <c r="AE135" s="356"/>
      <c r="AF135" s="356"/>
      <c r="AG135" s="356"/>
      <c r="AH135" s="109">
        <f t="shared" ref="AH135:AH142" si="9">H9</f>
        <v>0</v>
      </c>
      <c r="AI135" s="120" t="e">
        <f>AD125+AF125+AH125+AI128</f>
        <v>#VALUE!</v>
      </c>
    </row>
    <row r="136" spans="1:35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57" t="s">
        <v>173</v>
      </c>
      <c r="K136" s="357"/>
      <c r="L136" s="357"/>
      <c r="M136" s="357"/>
      <c r="N136" s="357"/>
      <c r="O136" s="357"/>
      <c r="P136" s="121">
        <f t="shared" si="7"/>
        <v>0</v>
      </c>
      <c r="Q136" s="29">
        <f>P136</f>
        <v>0</v>
      </c>
      <c r="S136" s="357" t="s">
        <v>173</v>
      </c>
      <c r="T136" s="357"/>
      <c r="U136" s="357"/>
      <c r="V136" s="357"/>
      <c r="W136" s="357"/>
      <c r="X136" s="357"/>
      <c r="Y136" s="121">
        <f t="shared" si="8"/>
        <v>0</v>
      </c>
      <c r="Z136" s="29">
        <f>Y136</f>
        <v>0</v>
      </c>
      <c r="AB136" s="357" t="s">
        <v>173</v>
      </c>
      <c r="AC136" s="357"/>
      <c r="AD136" s="357"/>
      <c r="AE136" s="357"/>
      <c r="AF136" s="357"/>
      <c r="AG136" s="357"/>
      <c r="AH136" s="121">
        <f t="shared" si="9"/>
        <v>0</v>
      </c>
      <c r="AI136" s="29">
        <f>AH136</f>
        <v>0</v>
      </c>
    </row>
    <row r="137" spans="1:35">
      <c r="A137" s="357" t="s">
        <v>174</v>
      </c>
      <c r="B137" s="357"/>
      <c r="C137" s="357"/>
      <c r="D137" s="357"/>
      <c r="E137" s="357"/>
      <c r="F137" s="357"/>
      <c r="G137" s="29">
        <f>(G135+G136)*20%</f>
        <v>2866.6660000000002</v>
      </c>
      <c r="H137" s="29">
        <f>(H135+H136)*20%</f>
        <v>3282.5</v>
      </c>
      <c r="J137" s="357" t="s">
        <v>174</v>
      </c>
      <c r="K137" s="357"/>
      <c r="L137" s="357"/>
      <c r="M137" s="357"/>
      <c r="N137" s="357"/>
      <c r="O137" s="357"/>
      <c r="P137" s="121">
        <f t="shared" si="7"/>
        <v>0</v>
      </c>
      <c r="Q137" s="29" t="e">
        <f>(Q135+Q136)*20%</f>
        <v>#VALUE!</v>
      </c>
      <c r="S137" s="357" t="s">
        <v>174</v>
      </c>
      <c r="T137" s="357"/>
      <c r="U137" s="357"/>
      <c r="V137" s="357"/>
      <c r="W137" s="357"/>
      <c r="X137" s="357"/>
      <c r="Y137" s="121">
        <f t="shared" si="8"/>
        <v>0</v>
      </c>
      <c r="Z137" s="29" t="e">
        <f>(Z135+Z136)*20%</f>
        <v>#VALUE!</v>
      </c>
      <c r="AB137" s="357" t="s">
        <v>174</v>
      </c>
      <c r="AC137" s="357"/>
      <c r="AD137" s="357"/>
      <c r="AE137" s="357"/>
      <c r="AF137" s="357"/>
      <c r="AG137" s="357"/>
      <c r="AH137" s="121">
        <f t="shared" si="9"/>
        <v>0</v>
      </c>
      <c r="AI137" s="29" t="e">
        <f>(AI135+AI136)*20%</f>
        <v>#VALUE!</v>
      </c>
    </row>
    <row r="138" spans="1:35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57" t="s">
        <v>175</v>
      </c>
      <c r="K138" s="357"/>
      <c r="L138" s="357"/>
      <c r="M138" s="357"/>
      <c r="N138" s="357"/>
      <c r="O138" s="357"/>
      <c r="P138" s="121">
        <f t="shared" si="7"/>
        <v>0</v>
      </c>
      <c r="Q138" s="29">
        <f>P138</f>
        <v>0</v>
      </c>
      <c r="S138" s="357" t="s">
        <v>175</v>
      </c>
      <c r="T138" s="357"/>
      <c r="U138" s="357"/>
      <c r="V138" s="357"/>
      <c r="W138" s="357"/>
      <c r="X138" s="357"/>
      <c r="Y138" s="121">
        <f t="shared" si="8"/>
        <v>0</v>
      </c>
      <c r="Z138" s="29">
        <f>Y138</f>
        <v>0</v>
      </c>
      <c r="AB138" s="357" t="s">
        <v>175</v>
      </c>
      <c r="AC138" s="357"/>
      <c r="AD138" s="357"/>
      <c r="AE138" s="357"/>
      <c r="AF138" s="357"/>
      <c r="AG138" s="357"/>
      <c r="AH138" s="121">
        <f t="shared" si="9"/>
        <v>0</v>
      </c>
      <c r="AI138" s="29">
        <f>AH138</f>
        <v>0</v>
      </c>
    </row>
    <row r="139" spans="1:35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57" t="s">
        <v>176</v>
      </c>
      <c r="K139" s="357"/>
      <c r="L139" s="357"/>
      <c r="M139" s="357"/>
      <c r="N139" s="357"/>
      <c r="O139" s="357"/>
      <c r="P139" s="121">
        <f t="shared" si="7"/>
        <v>0</v>
      </c>
      <c r="Q139" s="29">
        <f>P139</f>
        <v>0</v>
      </c>
      <c r="S139" s="357" t="s">
        <v>176</v>
      </c>
      <c r="T139" s="357"/>
      <c r="U139" s="357"/>
      <c r="V139" s="357"/>
      <c r="W139" s="357"/>
      <c r="X139" s="357"/>
      <c r="Y139" s="121">
        <f t="shared" si="8"/>
        <v>0</v>
      </c>
      <c r="Z139" s="29">
        <f>Y139</f>
        <v>0</v>
      </c>
      <c r="AB139" s="357" t="s">
        <v>176</v>
      </c>
      <c r="AC139" s="357"/>
      <c r="AD139" s="357"/>
      <c r="AE139" s="357"/>
      <c r="AF139" s="357"/>
      <c r="AG139" s="357"/>
      <c r="AH139" s="121">
        <f t="shared" si="9"/>
        <v>0</v>
      </c>
      <c r="AI139" s="29">
        <f>AH139</f>
        <v>0</v>
      </c>
    </row>
    <row r="140" spans="1:35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57" t="s">
        <v>177</v>
      </c>
      <c r="K140" s="357"/>
      <c r="L140" s="357"/>
      <c r="M140" s="357"/>
      <c r="N140" s="357"/>
      <c r="O140" s="357"/>
      <c r="P140" s="121">
        <f t="shared" si="7"/>
        <v>0</v>
      </c>
      <c r="Q140" s="29">
        <v>55</v>
      </c>
      <c r="S140" s="357" t="s">
        <v>177</v>
      </c>
      <c r="T140" s="357"/>
      <c r="U140" s="357"/>
      <c r="V140" s="357"/>
      <c r="W140" s="357"/>
      <c r="X140" s="357"/>
      <c r="Y140" s="121">
        <f t="shared" si="8"/>
        <v>0</v>
      </c>
      <c r="Z140" s="29">
        <v>55</v>
      </c>
      <c r="AB140" s="357" t="s">
        <v>177</v>
      </c>
      <c r="AC140" s="357"/>
      <c r="AD140" s="357"/>
      <c r="AE140" s="357"/>
      <c r="AF140" s="357"/>
      <c r="AG140" s="357"/>
      <c r="AH140" s="121">
        <f t="shared" si="9"/>
        <v>0</v>
      </c>
      <c r="AI140" s="29">
        <v>55</v>
      </c>
    </row>
    <row r="141" spans="1:35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17199.995999999999</v>
      </c>
      <c r="H141" s="122">
        <f>(H135+H136+H139+H140+H137)-H138</f>
        <v>19695</v>
      </c>
      <c r="J141" s="357" t="s">
        <v>178</v>
      </c>
      <c r="K141" s="357"/>
      <c r="L141" s="357"/>
      <c r="M141" s="357"/>
      <c r="N141" s="357"/>
      <c r="O141" s="357"/>
      <c r="P141" s="123">
        <f t="shared" si="7"/>
        <v>0</v>
      </c>
      <c r="Q141" s="122" t="e">
        <f>(Q135+Q136+Q139+Q140+Q137)-Q138</f>
        <v>#VALUE!</v>
      </c>
      <c r="S141" s="357" t="s">
        <v>178</v>
      </c>
      <c r="T141" s="357"/>
      <c r="U141" s="357"/>
      <c r="V141" s="357"/>
      <c r="W141" s="357"/>
      <c r="X141" s="357"/>
      <c r="Y141" s="123">
        <f t="shared" si="8"/>
        <v>0</v>
      </c>
      <c r="Z141" s="122" t="e">
        <f>(Z135+Z136+Z139+Z140+Z137)-Z138</f>
        <v>#VALUE!</v>
      </c>
      <c r="AB141" s="357" t="s">
        <v>178</v>
      </c>
      <c r="AC141" s="357"/>
      <c r="AD141" s="357"/>
      <c r="AE141" s="357"/>
      <c r="AF141" s="357"/>
      <c r="AG141" s="357"/>
      <c r="AH141" s="123">
        <f t="shared" si="9"/>
        <v>0</v>
      </c>
      <c r="AI141" s="122" t="e">
        <f>(AI135+AI136+AI139+AI140+AI137)-AI138</f>
        <v>#VALUE!</v>
      </c>
    </row>
    <row r="142" spans="1:35">
      <c r="A142" s="357" t="s">
        <v>179</v>
      </c>
      <c r="B142" s="357"/>
      <c r="C142" s="357"/>
      <c r="D142" s="357"/>
      <c r="E142" s="357"/>
      <c r="F142" s="357"/>
      <c r="G142" s="121">
        <f>H16</f>
        <v>0</v>
      </c>
      <c r="H142" s="36">
        <f>G142</f>
        <v>0</v>
      </c>
      <c r="J142" s="357" t="s">
        <v>179</v>
      </c>
      <c r="K142" s="357"/>
      <c r="L142" s="357"/>
      <c r="M142" s="357"/>
      <c r="N142" s="357"/>
      <c r="O142" s="357"/>
      <c r="P142" s="121">
        <f t="shared" si="7"/>
        <v>0</v>
      </c>
      <c r="Q142" s="36">
        <f>P142</f>
        <v>0</v>
      </c>
      <c r="S142" s="357" t="s">
        <v>179</v>
      </c>
      <c r="T142" s="357"/>
      <c r="U142" s="357"/>
      <c r="V142" s="357"/>
      <c r="W142" s="357"/>
      <c r="X142" s="357"/>
      <c r="Y142" s="121">
        <f t="shared" si="8"/>
        <v>0</v>
      </c>
      <c r="Z142" s="36">
        <f>Y142</f>
        <v>0</v>
      </c>
      <c r="AB142" s="357" t="s">
        <v>179</v>
      </c>
      <c r="AC142" s="357"/>
      <c r="AD142" s="357"/>
      <c r="AE142" s="357"/>
      <c r="AF142" s="357"/>
      <c r="AG142" s="357"/>
      <c r="AH142" s="121">
        <f t="shared" si="9"/>
        <v>0</v>
      </c>
      <c r="AI142" s="36">
        <f>AH142</f>
        <v>0</v>
      </c>
    </row>
    <row r="143" spans="1:35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58" t="s">
        <v>180</v>
      </c>
      <c r="K143" s="358"/>
      <c r="L143" s="358"/>
      <c r="M143" s="358"/>
      <c r="N143" s="358"/>
      <c r="O143" s="358"/>
      <c r="P143" s="34"/>
      <c r="Q143" s="29"/>
      <c r="S143" s="358" t="s">
        <v>180</v>
      </c>
      <c r="T143" s="358"/>
      <c r="U143" s="358"/>
      <c r="V143" s="358"/>
      <c r="W143" s="358"/>
      <c r="X143" s="358"/>
      <c r="Y143" s="34"/>
      <c r="Z143" s="29"/>
      <c r="AB143" s="358" t="s">
        <v>180</v>
      </c>
      <c r="AC143" s="358"/>
      <c r="AD143" s="358"/>
      <c r="AE143" s="358"/>
      <c r="AF143" s="358"/>
      <c r="AG143" s="358"/>
      <c r="AH143" s="34"/>
      <c r="AI143" s="29"/>
    </row>
    <row r="144" spans="1:35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J144" s="124" t="s">
        <v>26</v>
      </c>
      <c r="K144" s="360" t="s">
        <v>181</v>
      </c>
      <c r="L144" s="360"/>
      <c r="M144" s="360"/>
      <c r="N144" s="360"/>
      <c r="O144" s="360"/>
      <c r="P144" s="121">
        <f>H18</f>
        <v>0</v>
      </c>
      <c r="Q144" s="36">
        <f>P144</f>
        <v>0</v>
      </c>
      <c r="S144" s="124" t="s">
        <v>26</v>
      </c>
      <c r="T144" s="360" t="s">
        <v>181</v>
      </c>
      <c r="U144" s="360"/>
      <c r="V144" s="360"/>
      <c r="W144" s="360"/>
      <c r="X144" s="360"/>
      <c r="Y144" s="121">
        <f>H18</f>
        <v>0</v>
      </c>
      <c r="Z144" s="36">
        <f>Y144</f>
        <v>0</v>
      </c>
      <c r="AB144" s="124" t="s">
        <v>26</v>
      </c>
      <c r="AC144" s="360" t="s">
        <v>181</v>
      </c>
      <c r="AD144" s="360"/>
      <c r="AE144" s="360"/>
      <c r="AF144" s="360"/>
      <c r="AG144" s="360"/>
      <c r="AH144" s="121">
        <f>H18</f>
        <v>0</v>
      </c>
      <c r="AI144" s="36">
        <f>AH144</f>
        <v>0</v>
      </c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J145" s="124" t="s">
        <v>28</v>
      </c>
      <c r="K145" s="360" t="s">
        <v>181</v>
      </c>
      <c r="L145" s="360"/>
      <c r="M145" s="360"/>
      <c r="N145" s="360"/>
      <c r="O145" s="360"/>
      <c r="P145" s="121">
        <f>H19</f>
        <v>0</v>
      </c>
      <c r="Q145" s="36">
        <f>P145</f>
        <v>0</v>
      </c>
      <c r="S145" s="124" t="s">
        <v>28</v>
      </c>
      <c r="T145" s="360" t="s">
        <v>181</v>
      </c>
      <c r="U145" s="360"/>
      <c r="V145" s="360"/>
      <c r="W145" s="360"/>
      <c r="X145" s="360"/>
      <c r="Y145" s="121">
        <f>H19</f>
        <v>0</v>
      </c>
      <c r="Z145" s="36">
        <f>Y145</f>
        <v>0</v>
      </c>
      <c r="AB145" s="124" t="s">
        <v>28</v>
      </c>
      <c r="AC145" s="360" t="s">
        <v>181</v>
      </c>
      <c r="AD145" s="360"/>
      <c r="AE145" s="360"/>
      <c r="AF145" s="360"/>
      <c r="AG145" s="360"/>
      <c r="AH145" s="121">
        <f>H19</f>
        <v>0</v>
      </c>
      <c r="AI145" s="36">
        <f>AH145</f>
        <v>0</v>
      </c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J146" s="125" t="s">
        <v>29</v>
      </c>
      <c r="K146" s="361" t="s">
        <v>181</v>
      </c>
      <c r="L146" s="361"/>
      <c r="M146" s="361"/>
      <c r="N146" s="361"/>
      <c r="O146" s="361"/>
      <c r="P146" s="121">
        <f>H20</f>
        <v>0</v>
      </c>
      <c r="Q146" s="36">
        <f>P146</f>
        <v>0</v>
      </c>
      <c r="S146" s="125" t="s">
        <v>29</v>
      </c>
      <c r="T146" s="361" t="s">
        <v>181</v>
      </c>
      <c r="U146" s="361"/>
      <c r="V146" s="361"/>
      <c r="W146" s="361"/>
      <c r="X146" s="361"/>
      <c r="Y146" s="121">
        <f>H20</f>
        <v>0</v>
      </c>
      <c r="Z146" s="36">
        <f>Y146</f>
        <v>0</v>
      </c>
      <c r="AB146" s="125" t="s">
        <v>29</v>
      </c>
      <c r="AC146" s="361" t="s">
        <v>181</v>
      </c>
      <c r="AD146" s="361"/>
      <c r="AE146" s="361"/>
      <c r="AF146" s="361"/>
      <c r="AG146" s="361"/>
      <c r="AH146" s="121">
        <f>H20</f>
        <v>0</v>
      </c>
      <c r="AI146" s="36">
        <f>AH146</f>
        <v>0</v>
      </c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17199.995999999999</v>
      </c>
      <c r="H147" s="126">
        <f>H141-((H144*1.2)+(H145*1.2)+(H146*1.2)+(H142*1.2))</f>
        <v>19695</v>
      </c>
      <c r="J147" s="357" t="s">
        <v>182</v>
      </c>
      <c r="K147" s="357"/>
      <c r="L147" s="357"/>
      <c r="M147" s="357"/>
      <c r="N147" s="357"/>
      <c r="O147" s="357"/>
      <c r="P147" s="123">
        <f>P141-((P144*1.2)+(P145*1.2)+(P146*1.2)+(P142*1.2))</f>
        <v>0</v>
      </c>
      <c r="Q147" s="126" t="e">
        <f>Q141-((Q144*1.2)+(Q145*1.2)+(Q146*1.2)+(Q142*1.2))</f>
        <v>#VALUE!</v>
      </c>
      <c r="S147" s="357" t="s">
        <v>182</v>
      </c>
      <c r="T147" s="357"/>
      <c r="U147" s="357"/>
      <c r="V147" s="357"/>
      <c r="W147" s="357"/>
      <c r="X147" s="357"/>
      <c r="Y147" s="123">
        <f>Y141-((Y144*1.2)+(Y145*1.2)+(Y146*1.2)+(Y142*1.2))</f>
        <v>0</v>
      </c>
      <c r="Z147" s="126" t="e">
        <f>Z141-((Z144*1.2)+(Z145*1.2)+(Z146*1.2)+(Z142*1.2))</f>
        <v>#VALUE!</v>
      </c>
      <c r="AB147" s="357" t="s">
        <v>182</v>
      </c>
      <c r="AC147" s="357"/>
      <c r="AD147" s="357"/>
      <c r="AE147" s="357"/>
      <c r="AF147" s="357"/>
      <c r="AG147" s="357"/>
      <c r="AH147" s="123">
        <f>AH141-((AH144*1.2)+(AH145*1.2)+(AH146*1.2)+(AH142*1.2))</f>
        <v>0</v>
      </c>
      <c r="AI147" s="126" t="e">
        <f>AI141-((AI144*1.2)+(AI145*1.2)+(AI146*1.2)+(AI142*1.2))</f>
        <v>#VALUE!</v>
      </c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2079.170000000001</v>
      </c>
      <c r="I148" s="4">
        <f>(H148-G81)/1.2</f>
        <v>-14196.525</v>
      </c>
      <c r="J148" s="357" t="s">
        <v>183</v>
      </c>
      <c r="K148" s="357"/>
      <c r="L148" s="357"/>
      <c r="M148" s="357"/>
      <c r="N148" s="357"/>
      <c r="O148" s="357"/>
      <c r="P148" s="121"/>
      <c r="Q148" s="36" t="e">
        <f>Q147-P147</f>
        <v>#VALUE!</v>
      </c>
      <c r="S148" s="357" t="s">
        <v>183</v>
      </c>
      <c r="T148" s="357"/>
      <c r="U148" s="357"/>
      <c r="V148" s="357"/>
      <c r="W148" s="357"/>
      <c r="X148" s="357"/>
      <c r="Y148" s="121"/>
      <c r="Z148" s="36" t="e">
        <f>Z147-Y147</f>
        <v>#VALUE!</v>
      </c>
      <c r="AB148" s="357" t="s">
        <v>183</v>
      </c>
      <c r="AC148" s="357"/>
      <c r="AD148" s="357"/>
      <c r="AE148" s="357"/>
      <c r="AF148" s="357"/>
      <c r="AG148" s="357"/>
      <c r="AH148" s="121"/>
      <c r="AI148" s="36" t="e">
        <f>AI147-AH147</f>
        <v>#VALUE!</v>
      </c>
    </row>
    <row r="149" spans="1:35">
      <c r="A149" s="27"/>
      <c r="B149" s="28"/>
      <c r="C149" s="28"/>
      <c r="D149" s="28"/>
      <c r="E149" s="21"/>
      <c r="F149" s="21"/>
      <c r="G149" s="21"/>
      <c r="H149" s="29"/>
      <c r="J149" s="27"/>
      <c r="K149" s="28"/>
      <c r="L149" s="28"/>
      <c r="M149" s="28"/>
      <c r="N149" s="21"/>
      <c r="O149" s="21"/>
      <c r="P149" s="21"/>
      <c r="Q149" s="29"/>
      <c r="S149" s="27"/>
      <c r="T149" s="28"/>
      <c r="U149" s="28"/>
      <c r="V149" s="28"/>
      <c r="W149" s="21"/>
      <c r="X149" s="21"/>
      <c r="Y149" s="21"/>
      <c r="Z149" s="29"/>
      <c r="AB149" s="27"/>
      <c r="AC149" s="28"/>
      <c r="AD149" s="28"/>
      <c r="AE149" s="28"/>
      <c r="AF149" s="21"/>
      <c r="AG149" s="21"/>
      <c r="AH149" s="21"/>
      <c r="AI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35" t="s">
        <v>184</v>
      </c>
      <c r="K150" s="335"/>
      <c r="L150" s="335"/>
      <c r="M150" s="335"/>
      <c r="N150" s="335"/>
      <c r="O150" s="335"/>
      <c r="P150" s="335"/>
      <c r="Q150" s="335"/>
      <c r="S150" s="335" t="s">
        <v>184</v>
      </c>
      <c r="T150" s="335"/>
      <c r="U150" s="335"/>
      <c r="V150" s="335"/>
      <c r="W150" s="335"/>
      <c r="X150" s="335"/>
      <c r="Y150" s="335"/>
      <c r="Z150" s="335"/>
      <c r="AB150" s="335" t="s">
        <v>184</v>
      </c>
      <c r="AC150" s="335"/>
      <c r="AD150" s="335"/>
      <c r="AE150" s="335"/>
      <c r="AF150" s="335"/>
      <c r="AG150" s="335"/>
      <c r="AH150" s="335"/>
      <c r="AI150" s="335"/>
    </row>
    <row r="151" spans="1:35">
      <c r="A151" s="27"/>
      <c r="B151" s="28"/>
      <c r="C151" s="28"/>
      <c r="D151" s="28"/>
      <c r="E151" s="21"/>
      <c r="F151" s="21"/>
      <c r="G151" s="21"/>
      <c r="H151" s="29"/>
      <c r="J151" s="27"/>
      <c r="K151" s="28"/>
      <c r="L151" s="28"/>
      <c r="M151" s="28"/>
      <c r="N151" s="21"/>
      <c r="O151" s="21"/>
      <c r="P151" s="21"/>
      <c r="Q151" s="29"/>
      <c r="S151" s="27"/>
      <c r="T151" s="28"/>
      <c r="U151" s="28"/>
      <c r="V151" s="28"/>
      <c r="W151" s="21"/>
      <c r="X151" s="21"/>
      <c r="Y151" s="21"/>
      <c r="Z151" s="29"/>
      <c r="AB151" s="27"/>
      <c r="AC151" s="28"/>
      <c r="AD151" s="28"/>
      <c r="AE151" s="28"/>
      <c r="AF151" s="21"/>
      <c r="AG151" s="21"/>
      <c r="AH151" s="21"/>
      <c r="AI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J152" s="27" t="s">
        <v>185</v>
      </c>
      <c r="K152" s="28"/>
      <c r="L152" s="28"/>
      <c r="M152" s="21"/>
      <c r="N152" s="348">
        <v>10000</v>
      </c>
      <c r="O152" s="348"/>
      <c r="P152" s="348">
        <v>5000</v>
      </c>
      <c r="Q152" s="348"/>
      <c r="S152" s="27" t="s">
        <v>185</v>
      </c>
      <c r="T152" s="28"/>
      <c r="U152" s="28"/>
      <c r="V152" s="21"/>
      <c r="W152" s="348">
        <v>10000</v>
      </c>
      <c r="X152" s="348"/>
      <c r="Y152" s="348">
        <v>5000</v>
      </c>
      <c r="Z152" s="348"/>
      <c r="AB152" s="27" t="s">
        <v>185</v>
      </c>
      <c r="AC152" s="28"/>
      <c r="AD152" s="28"/>
      <c r="AE152" s="21"/>
      <c r="AF152" s="348">
        <v>10000</v>
      </c>
      <c r="AG152" s="348"/>
      <c r="AH152" s="348">
        <v>5000</v>
      </c>
      <c r="AI152" s="348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J153" s="27" t="s">
        <v>186</v>
      </c>
      <c r="K153" s="28"/>
      <c r="L153" s="28"/>
      <c r="M153" s="21"/>
      <c r="N153" s="363">
        <f>P153</f>
        <v>7000</v>
      </c>
      <c r="O153" s="363"/>
      <c r="P153" s="348">
        <v>7000</v>
      </c>
      <c r="Q153" s="348"/>
      <c r="S153" s="27" t="s">
        <v>186</v>
      </c>
      <c r="T153" s="28"/>
      <c r="U153" s="28"/>
      <c r="V153" s="21"/>
      <c r="W153" s="363">
        <f>Y153</f>
        <v>7000</v>
      </c>
      <c r="X153" s="363"/>
      <c r="Y153" s="348">
        <v>7000</v>
      </c>
      <c r="Z153" s="348"/>
      <c r="AB153" s="27" t="s">
        <v>186</v>
      </c>
      <c r="AC153" s="28"/>
      <c r="AD153" s="28"/>
      <c r="AE153" s="21"/>
      <c r="AF153" s="363">
        <f>AH153</f>
        <v>7000</v>
      </c>
      <c r="AG153" s="363"/>
      <c r="AH153" s="348">
        <v>7000</v>
      </c>
      <c r="AI153" s="348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J154" s="27" t="s">
        <v>187</v>
      </c>
      <c r="K154" s="28"/>
      <c r="L154" s="28"/>
      <c r="M154" s="21"/>
      <c r="N154" s="363">
        <f>N152-N153</f>
        <v>3000</v>
      </c>
      <c r="O154" s="363"/>
      <c r="P154" s="364">
        <f>P152-P153</f>
        <v>-2000</v>
      </c>
      <c r="Q154" s="364"/>
      <c r="S154" s="27" t="s">
        <v>187</v>
      </c>
      <c r="T154" s="28"/>
      <c r="U154" s="28"/>
      <c r="V154" s="21"/>
      <c r="W154" s="363">
        <f>W152-W153</f>
        <v>3000</v>
      </c>
      <c r="X154" s="363"/>
      <c r="Y154" s="364">
        <f>Y152-Y153</f>
        <v>-2000</v>
      </c>
      <c r="Z154" s="364"/>
      <c r="AB154" s="27" t="s">
        <v>187</v>
      </c>
      <c r="AC154" s="28"/>
      <c r="AD154" s="28"/>
      <c r="AE154" s="21"/>
      <c r="AF154" s="363">
        <f>AF152-AF153</f>
        <v>3000</v>
      </c>
      <c r="AG154" s="363"/>
      <c r="AH154" s="364">
        <f>AH152-AH153</f>
        <v>-2000</v>
      </c>
      <c r="AI154" s="364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J155" s="27" t="s">
        <v>188</v>
      </c>
      <c r="K155" s="28"/>
      <c r="L155" s="28"/>
      <c r="M155" s="21"/>
      <c r="N155" s="363">
        <f>N154-P154</f>
        <v>5000</v>
      </c>
      <c r="O155" s="363"/>
      <c r="P155" s="21"/>
      <c r="Q155" s="29"/>
      <c r="S155" s="27" t="s">
        <v>188</v>
      </c>
      <c r="T155" s="28"/>
      <c r="U155" s="28"/>
      <c r="V155" s="21"/>
      <c r="W155" s="363">
        <f>W154-Y154</f>
        <v>5000</v>
      </c>
      <c r="X155" s="363"/>
      <c r="Y155" s="21"/>
      <c r="Z155" s="29"/>
      <c r="AB155" s="27" t="s">
        <v>188</v>
      </c>
      <c r="AC155" s="28"/>
      <c r="AD155" s="28"/>
      <c r="AE155" s="21"/>
      <c r="AF155" s="363">
        <f>AF154-AH154</f>
        <v>5000</v>
      </c>
      <c r="AG155" s="363"/>
      <c r="AH155" s="21"/>
      <c r="AI155" s="29"/>
    </row>
    <row r="156" spans="1:35">
      <c r="A156" s="27" t="s">
        <v>189</v>
      </c>
      <c r="B156" s="28"/>
      <c r="C156" s="28"/>
      <c r="D156" s="21"/>
      <c r="E156" s="28"/>
      <c r="F156" s="21"/>
      <c r="G156" s="21"/>
      <c r="H156" s="36">
        <v>1420</v>
      </c>
      <c r="J156" s="27"/>
      <c r="K156" s="28"/>
      <c r="L156" s="28"/>
      <c r="M156" s="21"/>
      <c r="N156" s="28"/>
      <c r="O156" s="21"/>
      <c r="P156" s="21"/>
      <c r="Q156" s="29"/>
      <c r="S156" s="27"/>
      <c r="T156" s="28"/>
      <c r="U156" s="28"/>
      <c r="V156" s="21"/>
      <c r="W156" s="28"/>
      <c r="X156" s="21"/>
      <c r="Y156" s="21"/>
      <c r="Z156" s="29"/>
      <c r="AB156" s="27"/>
      <c r="AC156" s="28"/>
      <c r="AD156" s="28"/>
      <c r="AE156" s="21"/>
      <c r="AF156" s="28"/>
      <c r="AG156" s="21"/>
      <c r="AH156" s="21"/>
      <c r="AI156" s="29"/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2000</v>
      </c>
      <c r="H157" s="365"/>
      <c r="J157" s="22" t="s">
        <v>190</v>
      </c>
      <c r="K157" s="23"/>
      <c r="L157" s="23"/>
      <c r="M157" s="63"/>
      <c r="N157" s="23"/>
      <c r="O157" s="63"/>
      <c r="P157" s="365">
        <f>J114</f>
        <v>1000</v>
      </c>
      <c r="Q157" s="365"/>
      <c r="S157" s="22" t="s">
        <v>190</v>
      </c>
      <c r="T157" s="23"/>
      <c r="U157" s="23"/>
      <c r="V157" s="63"/>
      <c r="W157" s="23"/>
      <c r="X157" s="63"/>
      <c r="Y157" s="365">
        <f>S114</f>
        <v>1000</v>
      </c>
      <c r="Z157" s="365"/>
      <c r="AB157" s="22" t="s">
        <v>190</v>
      </c>
      <c r="AC157" s="23"/>
      <c r="AD157" s="23"/>
      <c r="AE157" s="63"/>
      <c r="AF157" s="23"/>
      <c r="AG157" s="63"/>
      <c r="AH157" s="365">
        <f>AB114</f>
        <v>1000</v>
      </c>
      <c r="AI157" s="365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19115</v>
      </c>
      <c r="H158" s="366"/>
      <c r="J158" s="129" t="s">
        <v>191</v>
      </c>
      <c r="K158" s="28"/>
      <c r="L158" s="28"/>
      <c r="M158" s="21"/>
      <c r="N158" s="28"/>
      <c r="O158" s="21"/>
      <c r="P158" s="366" t="e">
        <f>Q147-P154-P157</f>
        <v>#VALUE!</v>
      </c>
      <c r="Q158" s="366"/>
      <c r="S158" s="129" t="s">
        <v>191</v>
      </c>
      <c r="T158" s="28"/>
      <c r="U158" s="28"/>
      <c r="V158" s="21"/>
      <c r="W158" s="28"/>
      <c r="X158" s="21"/>
      <c r="Y158" s="366" t="e">
        <f>Z147-Y154-Y157</f>
        <v>#VALUE!</v>
      </c>
      <c r="Z158" s="366"/>
      <c r="AB158" s="129" t="s">
        <v>191</v>
      </c>
      <c r="AC158" s="28"/>
      <c r="AD158" s="28"/>
      <c r="AE158" s="21"/>
      <c r="AF158" s="28"/>
      <c r="AG158" s="21"/>
      <c r="AH158" s="366" t="e">
        <f>AI147-AH154-AH157</f>
        <v>#VALUE!</v>
      </c>
      <c r="AI158" s="366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833.33333333333337</v>
      </c>
      <c r="H159" s="367"/>
      <c r="J159" s="49" t="s">
        <v>66</v>
      </c>
      <c r="K159" s="50"/>
      <c r="L159" s="50"/>
      <c r="M159" s="85"/>
      <c r="N159" s="50"/>
      <c r="O159" s="85"/>
      <c r="P159" s="367">
        <f>K114</f>
        <v>239.99</v>
      </c>
      <c r="Q159" s="367"/>
      <c r="S159" s="49" t="s">
        <v>66</v>
      </c>
      <c r="T159" s="50"/>
      <c r="U159" s="50"/>
      <c r="V159" s="85"/>
      <c r="W159" s="50"/>
      <c r="X159" s="85"/>
      <c r="Y159" s="367">
        <f>T114</f>
        <v>199.99</v>
      </c>
      <c r="Z159" s="367"/>
      <c r="AB159" s="49" t="s">
        <v>66</v>
      </c>
      <c r="AC159" s="50"/>
      <c r="AD159" s="50"/>
      <c r="AE159" s="85"/>
      <c r="AF159" s="50"/>
      <c r="AG159" s="85"/>
      <c r="AH159" s="367">
        <f>AC114</f>
        <v>239.99</v>
      </c>
      <c r="AI159" s="367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/>
      <c r="B161" s="28"/>
      <c r="C161" s="28"/>
      <c r="D161" s="28"/>
      <c r="E161" s="21"/>
      <c r="F161" s="21"/>
      <c r="G161" s="21"/>
      <c r="H161" s="29"/>
      <c r="J161" s="27"/>
      <c r="K161" s="28"/>
      <c r="L161" s="28"/>
      <c r="M161" s="28"/>
      <c r="N161" s="21"/>
      <c r="O161" s="21"/>
      <c r="P161" s="21"/>
      <c r="Q161" s="29"/>
      <c r="S161" s="27"/>
      <c r="T161" s="28"/>
      <c r="U161" s="28"/>
      <c r="V161" s="28"/>
      <c r="W161" s="21"/>
      <c r="X161" s="21"/>
      <c r="Y161" s="21"/>
      <c r="Z161" s="29"/>
      <c r="AB161" s="27"/>
      <c r="AC161" s="28"/>
      <c r="AD161" s="28"/>
      <c r="AE161" s="28"/>
      <c r="AF161" s="21"/>
      <c r="AG161" s="21"/>
      <c r="AH161" s="21"/>
      <c r="AI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35" t="s">
        <v>192</v>
      </c>
      <c r="K162" s="335"/>
      <c r="L162" s="335"/>
      <c r="M162" s="335"/>
      <c r="N162" s="335"/>
      <c r="O162" s="335"/>
      <c r="P162" s="335"/>
      <c r="Q162" s="335"/>
      <c r="S162" s="335" t="s">
        <v>192</v>
      </c>
      <c r="T162" s="335"/>
      <c r="U162" s="335"/>
      <c r="V162" s="335"/>
      <c r="W162" s="335"/>
      <c r="X162" s="335"/>
      <c r="Y162" s="335"/>
      <c r="Z162" s="335"/>
      <c r="AB162" s="335" t="s">
        <v>192</v>
      </c>
      <c r="AC162" s="335"/>
      <c r="AD162" s="335"/>
      <c r="AE162" s="335"/>
      <c r="AF162" s="335"/>
      <c r="AG162" s="335"/>
      <c r="AH162" s="335"/>
      <c r="AI162" s="335"/>
    </row>
    <row r="163" spans="1:35">
      <c r="A163" s="27"/>
      <c r="B163" s="28"/>
      <c r="C163" s="28"/>
      <c r="D163" s="28"/>
      <c r="E163" s="21"/>
      <c r="F163" s="21"/>
      <c r="G163" s="21"/>
      <c r="H163" s="29"/>
      <c r="J163" s="27"/>
      <c r="K163" s="28"/>
      <c r="L163" s="28"/>
      <c r="M163" s="28"/>
      <c r="N163" s="21"/>
      <c r="O163" s="21"/>
      <c r="P163" s="21"/>
      <c r="Q163" s="29"/>
      <c r="S163" s="27"/>
      <c r="T163" s="28"/>
      <c r="U163" s="28"/>
      <c r="V163" s="28"/>
      <c r="W163" s="21"/>
      <c r="X163" s="21"/>
      <c r="Y163" s="21"/>
      <c r="Z163" s="29"/>
      <c r="AB163" s="27"/>
      <c r="AC163" s="28"/>
      <c r="AD163" s="28"/>
      <c r="AE163" s="28"/>
      <c r="AF163" s="21"/>
      <c r="AG163" s="21"/>
      <c r="AH163" s="21"/>
      <c r="AI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J164" s="27" t="s">
        <v>193</v>
      </c>
      <c r="K164" s="368">
        <v>0</v>
      </c>
      <c r="L164" s="368"/>
      <c r="M164" s="28"/>
      <c r="N164" s="21"/>
      <c r="O164" s="21"/>
      <c r="P164" s="21"/>
      <c r="Q164" s="29"/>
      <c r="S164" s="27" t="s">
        <v>193</v>
      </c>
      <c r="T164" s="368">
        <v>0</v>
      </c>
      <c r="U164" s="368"/>
      <c r="V164" s="28"/>
      <c r="W164" s="21"/>
      <c r="X164" s="21"/>
      <c r="Y164" s="21"/>
      <c r="Z164" s="29"/>
      <c r="AB164" s="27" t="s">
        <v>193</v>
      </c>
      <c r="AC164" s="368">
        <v>0</v>
      </c>
      <c r="AD164" s="368"/>
      <c r="AE164" s="28"/>
      <c r="AF164" s="21"/>
      <c r="AG164" s="21"/>
      <c r="AH164" s="21"/>
      <c r="AI164" s="29"/>
    </row>
    <row r="165" spans="1:35">
      <c r="A165" s="27"/>
      <c r="B165" s="28"/>
      <c r="C165" s="28"/>
      <c r="D165" s="28"/>
      <c r="E165" s="21"/>
      <c r="F165" s="21"/>
      <c r="G165" s="21"/>
      <c r="H165" s="29"/>
      <c r="J165" s="27"/>
      <c r="K165" s="28"/>
      <c r="L165" s="28"/>
      <c r="M165" s="28"/>
      <c r="N165" s="21"/>
      <c r="O165" s="21"/>
      <c r="P165" s="21"/>
      <c r="Q165" s="29"/>
      <c r="S165" s="27"/>
      <c r="T165" s="28"/>
      <c r="U165" s="28"/>
      <c r="V165" s="28"/>
      <c r="W165" s="21"/>
      <c r="X165" s="21"/>
      <c r="Y165" s="21"/>
      <c r="Z165" s="29"/>
      <c r="AB165" s="27"/>
      <c r="AC165" s="28"/>
      <c r="AD165" s="28"/>
      <c r="AE165" s="28"/>
      <c r="AF165" s="21"/>
      <c r="AG165" s="21"/>
      <c r="AH165" s="21"/>
      <c r="AI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  <c r="J166" s="130" t="s">
        <v>194</v>
      </c>
      <c r="K166" s="131" t="s">
        <v>195</v>
      </c>
      <c r="L166" s="131"/>
      <c r="M166" s="131"/>
      <c r="N166" s="131" t="s">
        <v>196</v>
      </c>
      <c r="O166" s="21"/>
      <c r="P166" s="21"/>
      <c r="Q166" s="29"/>
      <c r="S166" s="130" t="s">
        <v>194</v>
      </c>
      <c r="T166" s="131" t="s">
        <v>195</v>
      </c>
      <c r="U166" s="131"/>
      <c r="V166" s="131"/>
      <c r="W166" s="131" t="s">
        <v>196</v>
      </c>
      <c r="X166" s="21"/>
      <c r="Y166" s="21"/>
      <c r="Z166" s="29"/>
      <c r="AB166" s="130" t="s">
        <v>194</v>
      </c>
      <c r="AC166" s="131" t="s">
        <v>195</v>
      </c>
      <c r="AD166" s="131"/>
      <c r="AE166" s="131"/>
      <c r="AF166" s="131" t="s">
        <v>196</v>
      </c>
      <c r="AG166" s="21"/>
      <c r="AH166" s="21"/>
      <c r="AI166" s="29"/>
    </row>
    <row r="167" spans="1:35">
      <c r="A167" s="189">
        <f>B95</f>
        <v>1707.7481618630288</v>
      </c>
      <c r="B167" s="133">
        <f>B94</f>
        <v>46.800000000000004</v>
      </c>
      <c r="C167" s="131"/>
      <c r="D167" s="131"/>
      <c r="E167" s="133">
        <f>B96</f>
        <v>1754.5481618630288</v>
      </c>
      <c r="F167" s="21"/>
      <c r="G167" s="21">
        <f>ROUND(G95,2)</f>
        <v>1653.96</v>
      </c>
      <c r="H167" s="29"/>
      <c r="J167" s="132" t="e">
        <f>K95</f>
        <v>#VALUE!</v>
      </c>
      <c r="K167" s="133">
        <f>K94</f>
        <v>56.160000000000004</v>
      </c>
      <c r="L167" s="131"/>
      <c r="M167" s="131"/>
      <c r="N167" s="133" t="e">
        <f>K96</f>
        <v>#VALUE!</v>
      </c>
      <c r="O167" s="21"/>
      <c r="P167" s="21"/>
      <c r="Q167" s="29"/>
      <c r="S167" s="132" t="e">
        <f>T95</f>
        <v>#VALUE!</v>
      </c>
      <c r="T167" s="133">
        <f>T94</f>
        <v>47.127272727272725</v>
      </c>
      <c r="U167" s="131"/>
      <c r="V167" s="131"/>
      <c r="W167" s="133" t="e">
        <f>T96</f>
        <v>#VALUE!</v>
      </c>
      <c r="X167" s="21"/>
      <c r="Y167" s="21"/>
      <c r="Z167" s="29"/>
      <c r="AB167" s="132" t="e">
        <f>AC95</f>
        <v>#VALUE!</v>
      </c>
      <c r="AC167" s="133">
        <f>AC94</f>
        <v>56.552727272727267</v>
      </c>
      <c r="AD167" s="131"/>
      <c r="AE167" s="131"/>
      <c r="AF167" s="133" t="e">
        <f>AC96</f>
        <v>#VALUE!</v>
      </c>
      <c r="AG167" s="21"/>
      <c r="AH167" s="21"/>
      <c r="AI167" s="29"/>
    </row>
    <row r="168" spans="1:35">
      <c r="A168" s="27"/>
      <c r="B168" s="28"/>
      <c r="C168" s="28"/>
      <c r="D168" s="28"/>
      <c r="E168" s="21"/>
      <c r="F168" s="21"/>
      <c r="G168" s="21"/>
      <c r="H168" s="29"/>
      <c r="J168" s="27"/>
      <c r="K168" s="28"/>
      <c r="L168" s="28"/>
      <c r="M168" s="28"/>
      <c r="N168" s="21"/>
      <c r="O168" s="21"/>
      <c r="P168" s="21"/>
      <c r="Q168" s="29"/>
      <c r="S168" s="27"/>
      <c r="T168" s="28"/>
      <c r="U168" s="28"/>
      <c r="V168" s="28"/>
      <c r="W168" s="21"/>
      <c r="X168" s="21"/>
      <c r="Y168" s="21"/>
      <c r="Z168" s="29"/>
      <c r="AB168" s="27"/>
      <c r="AC168" s="28"/>
      <c r="AD168" s="28"/>
      <c r="AE168" s="28"/>
      <c r="AF168" s="21"/>
      <c r="AG168" s="21"/>
      <c r="AH168" s="21"/>
      <c r="AI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  <c r="J169" s="27" t="s">
        <v>94</v>
      </c>
      <c r="K169" s="28" t="s">
        <v>95</v>
      </c>
      <c r="L169" s="28"/>
      <c r="M169" s="21"/>
      <c r="N169" s="28" t="s">
        <v>198</v>
      </c>
      <c r="O169" s="21"/>
      <c r="P169" s="21"/>
      <c r="Q169" s="29"/>
      <c r="S169" s="27" t="s">
        <v>94</v>
      </c>
      <c r="T169" s="28" t="s">
        <v>95</v>
      </c>
      <c r="U169" s="28"/>
      <c r="V169" s="21"/>
      <c r="W169" s="28" t="s">
        <v>198</v>
      </c>
      <c r="X169" s="21"/>
      <c r="Y169" s="21"/>
      <c r="Z169" s="29"/>
      <c r="AB169" s="27" t="s">
        <v>94</v>
      </c>
      <c r="AC169" s="28" t="s">
        <v>95</v>
      </c>
      <c r="AD169" s="28"/>
      <c r="AE169" s="21"/>
      <c r="AF169" s="28" t="s">
        <v>198</v>
      </c>
      <c r="AG169" s="21"/>
      <c r="AH169" s="21"/>
      <c r="AI169" s="29"/>
    </row>
    <row r="170" spans="1:35">
      <c r="A170" s="134">
        <f>K29</f>
        <v>12</v>
      </c>
      <c r="B170" s="170">
        <f>K30</f>
        <v>10000</v>
      </c>
      <c r="C170" s="136"/>
      <c r="D170" s="21"/>
      <c r="E170" s="137">
        <f>IF(A111="YES",A40,0)</f>
        <v>0</v>
      </c>
      <c r="F170" s="21"/>
      <c r="G170" s="21"/>
      <c r="H170" s="29"/>
      <c r="J170" s="134">
        <f>K29</f>
        <v>12</v>
      </c>
      <c r="K170" s="135">
        <f>K30</f>
        <v>10000</v>
      </c>
      <c r="L170" s="136"/>
      <c r="M170" s="21"/>
      <c r="N170" s="137">
        <f>IF(A111="YES",A40,0)</f>
        <v>0</v>
      </c>
      <c r="O170" s="21"/>
      <c r="P170" s="21"/>
      <c r="Q170" s="29"/>
      <c r="S170" s="134">
        <f>K29</f>
        <v>12</v>
      </c>
      <c r="T170" s="135">
        <f>K30</f>
        <v>10000</v>
      </c>
      <c r="U170" s="136"/>
      <c r="V170" s="21"/>
      <c r="W170" s="137">
        <f>IF(A111="YES",A40,0)</f>
        <v>0</v>
      </c>
      <c r="X170" s="21"/>
      <c r="Y170" s="21"/>
      <c r="Z170" s="29"/>
      <c r="AB170" s="134">
        <f>K29</f>
        <v>12</v>
      </c>
      <c r="AC170" s="135">
        <f>K30</f>
        <v>10000</v>
      </c>
      <c r="AD170" s="136"/>
      <c r="AE170" s="21"/>
      <c r="AF170" s="137">
        <f>IF(A111="YES",A40,0)</f>
        <v>0</v>
      </c>
      <c r="AG170" s="21"/>
      <c r="AH170" s="21"/>
      <c r="AI170" s="29"/>
    </row>
    <row r="171" spans="1:35">
      <c r="A171" s="27"/>
      <c r="B171" s="28"/>
      <c r="C171" s="28"/>
      <c r="D171" s="21"/>
      <c r="E171" s="28"/>
      <c r="F171" s="21"/>
      <c r="G171" s="21"/>
      <c r="H171" s="29"/>
      <c r="J171" s="27"/>
      <c r="K171" s="28"/>
      <c r="L171" s="28"/>
      <c r="M171" s="21"/>
      <c r="N171" s="28"/>
      <c r="O171" s="21"/>
      <c r="P171" s="21"/>
      <c r="Q171" s="29"/>
      <c r="S171" s="27"/>
      <c r="T171" s="28"/>
      <c r="U171" s="28"/>
      <c r="V171" s="21"/>
      <c r="W171" s="28"/>
      <c r="X171" s="21"/>
      <c r="Y171" s="21"/>
      <c r="Z171" s="29"/>
      <c r="AB171" s="27"/>
      <c r="AC171" s="28"/>
      <c r="AD171" s="28"/>
      <c r="AE171" s="21"/>
      <c r="AF171" s="28"/>
      <c r="AG171" s="21"/>
      <c r="AH171" s="21"/>
      <c r="AI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  <c r="J172" s="27" t="s">
        <v>199</v>
      </c>
      <c r="K172" s="28" t="s">
        <v>200</v>
      </c>
      <c r="L172" s="28"/>
      <c r="M172" s="21"/>
      <c r="N172" s="28" t="s">
        <v>201</v>
      </c>
      <c r="O172" s="21"/>
      <c r="P172" s="21"/>
      <c r="Q172" s="29"/>
      <c r="S172" s="27" t="s">
        <v>199</v>
      </c>
      <c r="T172" s="28" t="s">
        <v>200</v>
      </c>
      <c r="U172" s="28"/>
      <c r="V172" s="21"/>
      <c r="W172" s="28" t="s">
        <v>201</v>
      </c>
      <c r="X172" s="21"/>
      <c r="Y172" s="21"/>
      <c r="Z172" s="29"/>
      <c r="AB172" s="27" t="s">
        <v>199</v>
      </c>
      <c r="AC172" s="28" t="s">
        <v>200</v>
      </c>
      <c r="AD172" s="28"/>
      <c r="AE172" s="21"/>
      <c r="AF172" s="28" t="s">
        <v>201</v>
      </c>
      <c r="AG172" s="21"/>
      <c r="AH172" s="21"/>
      <c r="AI172" s="29"/>
    </row>
    <row r="173" spans="1:35">
      <c r="A173" s="138">
        <f>H141-H137-H139-H140</f>
        <v>16412.5</v>
      </c>
      <c r="B173" s="34">
        <f>H137</f>
        <v>3282.5</v>
      </c>
      <c r="C173" s="38"/>
      <c r="D173" s="21"/>
      <c r="E173" s="137">
        <f>H139+H140</f>
        <v>0</v>
      </c>
      <c r="F173" s="21"/>
      <c r="G173" s="21"/>
      <c r="H173" s="29"/>
      <c r="J173" s="138" t="e">
        <f>Q141-Q137-Q139-Q140</f>
        <v>#VALUE!</v>
      </c>
      <c r="K173" s="34" t="e">
        <f>Q137</f>
        <v>#VALUE!</v>
      </c>
      <c r="L173" s="38"/>
      <c r="M173" s="21"/>
      <c r="N173" s="137">
        <f>Q139+Q140</f>
        <v>55</v>
      </c>
      <c r="O173" s="21"/>
      <c r="P173" s="21"/>
      <c r="Q173" s="29"/>
      <c r="S173" s="138" t="e">
        <f>Z141-Z137-Z139-Z140</f>
        <v>#VALUE!</v>
      </c>
      <c r="T173" s="34" t="e">
        <f>Z137</f>
        <v>#VALUE!</v>
      </c>
      <c r="U173" s="38"/>
      <c r="V173" s="21"/>
      <c r="W173" s="137">
        <f>Z139+Z140</f>
        <v>55</v>
      </c>
      <c r="X173" s="21"/>
      <c r="Y173" s="21"/>
      <c r="Z173" s="29"/>
      <c r="AB173" s="138" t="e">
        <f>AI141-AI137-AI139-AI140</f>
        <v>#VALUE!</v>
      </c>
      <c r="AC173" s="34" t="e">
        <f>AI137</f>
        <v>#VALUE!</v>
      </c>
      <c r="AD173" s="38"/>
      <c r="AE173" s="21"/>
      <c r="AF173" s="137">
        <f>AI139+AI140</f>
        <v>55</v>
      </c>
      <c r="AG173" s="21"/>
      <c r="AH173" s="21"/>
      <c r="AI173" s="29"/>
    </row>
    <row r="174" spans="1:35">
      <c r="A174" s="27"/>
      <c r="B174" s="28"/>
      <c r="C174" s="28"/>
      <c r="D174" s="21"/>
      <c r="E174" s="28"/>
      <c r="F174" s="21"/>
      <c r="G174" s="21"/>
      <c r="H174" s="29"/>
      <c r="J174" s="27"/>
      <c r="K174" s="28"/>
      <c r="L174" s="28"/>
      <c r="M174" s="21"/>
      <c r="N174" s="28"/>
      <c r="O174" s="21"/>
      <c r="P174" s="21"/>
      <c r="Q174" s="29"/>
      <c r="S174" s="27"/>
      <c r="T174" s="28"/>
      <c r="U174" s="28"/>
      <c r="V174" s="21"/>
      <c r="W174" s="28"/>
      <c r="X174" s="21"/>
      <c r="Y174" s="21"/>
      <c r="Z174" s="29"/>
      <c r="AB174" s="27"/>
      <c r="AC174" s="28"/>
      <c r="AD174" s="28"/>
      <c r="AE174" s="21"/>
      <c r="AF174" s="28"/>
      <c r="AG174" s="21"/>
      <c r="AH174" s="21"/>
      <c r="AI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  <c r="J175" s="27" t="s">
        <v>202</v>
      </c>
      <c r="K175" s="28" t="s">
        <v>148</v>
      </c>
      <c r="L175" s="28"/>
      <c r="M175" s="21"/>
      <c r="N175" s="28" t="s">
        <v>149</v>
      </c>
      <c r="O175" s="21"/>
      <c r="P175" s="21"/>
      <c r="Q175" s="29"/>
      <c r="S175" s="27" t="s">
        <v>202</v>
      </c>
      <c r="T175" s="28" t="s">
        <v>148</v>
      </c>
      <c r="U175" s="28"/>
      <c r="V175" s="21"/>
      <c r="W175" s="28" t="s">
        <v>149</v>
      </c>
      <c r="X175" s="21"/>
      <c r="Y175" s="21"/>
      <c r="Z175" s="29"/>
      <c r="AB175" s="27" t="s">
        <v>202</v>
      </c>
      <c r="AC175" s="28" t="s">
        <v>148</v>
      </c>
      <c r="AD175" s="28"/>
      <c r="AE175" s="21"/>
      <c r="AF175" s="28" t="s">
        <v>149</v>
      </c>
      <c r="AG175" s="21"/>
      <c r="AH175" s="21"/>
      <c r="AI175" s="29"/>
    </row>
    <row r="176" spans="1:35">
      <c r="A176" s="138">
        <f>H147</f>
        <v>19695</v>
      </c>
      <c r="B176" s="34">
        <f>B111</f>
        <v>1000</v>
      </c>
      <c r="C176" s="34"/>
      <c r="D176" s="21"/>
      <c r="E176" s="34">
        <f>E111</f>
        <v>1000</v>
      </c>
      <c r="F176" s="21"/>
      <c r="G176" s="21"/>
      <c r="H176" s="90"/>
      <c r="J176" s="138" t="e">
        <f>Q141</f>
        <v>#VALUE!</v>
      </c>
      <c r="K176" s="34">
        <f>K111</f>
        <v>1000</v>
      </c>
      <c r="L176" s="34"/>
      <c r="M176" s="21"/>
      <c r="N176" s="34">
        <f>N111</f>
        <v>0</v>
      </c>
      <c r="O176" s="21"/>
      <c r="P176" s="21"/>
      <c r="Q176" s="90"/>
      <c r="S176" s="138" t="e">
        <f>Z141</f>
        <v>#VALUE!</v>
      </c>
      <c r="T176" s="34">
        <f>T111</f>
        <v>1000</v>
      </c>
      <c r="U176" s="34"/>
      <c r="V176" s="21"/>
      <c r="W176" s="34">
        <f>W111</f>
        <v>0</v>
      </c>
      <c r="X176" s="21"/>
      <c r="Y176" s="21"/>
      <c r="Z176" s="90"/>
      <c r="AB176" s="138" t="e">
        <f>AI141</f>
        <v>#VALUE!</v>
      </c>
      <c r="AC176" s="34">
        <f>AC111</f>
        <v>1000</v>
      </c>
      <c r="AD176" s="34"/>
      <c r="AE176" s="21"/>
      <c r="AF176" s="34">
        <f>AF111</f>
        <v>0</v>
      </c>
      <c r="AG176" s="21"/>
      <c r="AH176" s="21"/>
      <c r="AI176" s="90"/>
    </row>
    <row r="177" spans="1:35">
      <c r="A177" s="27"/>
      <c r="B177" s="28"/>
      <c r="C177" s="28"/>
      <c r="D177" s="21"/>
      <c r="E177" s="28"/>
      <c r="F177" s="21"/>
      <c r="G177" s="21"/>
      <c r="H177" s="29"/>
      <c r="J177" s="27"/>
      <c r="K177" s="28"/>
      <c r="L177" s="28"/>
      <c r="M177" s="21"/>
      <c r="N177" s="28"/>
      <c r="O177" s="21"/>
      <c r="P177" s="21"/>
      <c r="Q177" s="29"/>
      <c r="S177" s="27"/>
      <c r="T177" s="28"/>
      <c r="U177" s="28"/>
      <c r="V177" s="21"/>
      <c r="W177" s="28"/>
      <c r="X177" s="21"/>
      <c r="Y177" s="21"/>
      <c r="Z177" s="29"/>
      <c r="AB177" s="27"/>
      <c r="AC177" s="28"/>
      <c r="AD177" s="28"/>
      <c r="AE177" s="21"/>
      <c r="AF177" s="28"/>
      <c r="AG177" s="21"/>
      <c r="AH177" s="21"/>
      <c r="AI177" s="29"/>
    </row>
    <row r="178" spans="1:35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  <c r="J178" s="27" t="s">
        <v>150</v>
      </c>
      <c r="K178" s="28" t="s">
        <v>185</v>
      </c>
      <c r="L178" s="28"/>
      <c r="M178" s="21"/>
      <c r="N178" s="28" t="s">
        <v>191</v>
      </c>
      <c r="O178" s="21"/>
      <c r="P178" s="21"/>
      <c r="Q178" s="29"/>
      <c r="S178" s="27" t="s">
        <v>150</v>
      </c>
      <c r="T178" s="28" t="s">
        <v>185</v>
      </c>
      <c r="U178" s="28"/>
      <c r="V178" s="21"/>
      <c r="W178" s="28" t="s">
        <v>191</v>
      </c>
      <c r="X178" s="21"/>
      <c r="Y178" s="21"/>
      <c r="Z178" s="29"/>
      <c r="AB178" s="27" t="s">
        <v>150</v>
      </c>
      <c r="AC178" s="28" t="s">
        <v>185</v>
      </c>
      <c r="AD178" s="28"/>
      <c r="AE178" s="21"/>
      <c r="AF178" s="28" t="s">
        <v>191</v>
      </c>
      <c r="AG178" s="21"/>
      <c r="AH178" s="21"/>
      <c r="AI178" s="29"/>
    </row>
    <row r="179" spans="1:35">
      <c r="A179" s="94">
        <f>B176+E176</f>
        <v>2000</v>
      </c>
      <c r="B179" s="34">
        <f>G154</f>
        <v>0</v>
      </c>
      <c r="C179" s="34"/>
      <c r="D179" s="21"/>
      <c r="E179" s="34">
        <f>G158</f>
        <v>19115</v>
      </c>
      <c r="F179" s="21"/>
      <c r="G179" s="21"/>
      <c r="H179" s="90"/>
      <c r="J179" s="94">
        <f>K176+N176</f>
        <v>1000</v>
      </c>
      <c r="K179" s="34">
        <f>P154</f>
        <v>-2000</v>
      </c>
      <c r="L179" s="34"/>
      <c r="M179" s="21"/>
      <c r="N179" s="34" t="e">
        <f>J176-J179-K179</f>
        <v>#VALUE!</v>
      </c>
      <c r="O179" s="21"/>
      <c r="P179" s="21"/>
      <c r="Q179" s="90"/>
      <c r="S179" s="94">
        <f>T176+W176</f>
        <v>1000</v>
      </c>
      <c r="T179" s="34">
        <f>Y154</f>
        <v>-2000</v>
      </c>
      <c r="U179" s="34"/>
      <c r="V179" s="21"/>
      <c r="W179" s="34" t="e">
        <f>S176-S179-T179</f>
        <v>#VALUE!</v>
      </c>
      <c r="X179" s="21"/>
      <c r="Y179" s="21"/>
      <c r="Z179" s="90"/>
      <c r="AB179" s="94">
        <f>AC176+AF176</f>
        <v>1000</v>
      </c>
      <c r="AC179" s="34">
        <f>AH154</f>
        <v>-2000</v>
      </c>
      <c r="AD179" s="34"/>
      <c r="AE179" s="21"/>
      <c r="AF179" s="34" t="e">
        <f>AB176-AB179-AC179</f>
        <v>#VALUE!</v>
      </c>
      <c r="AG179" s="21"/>
      <c r="AH179" s="21"/>
      <c r="AI179" s="90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  <c r="J181" s="27" t="s">
        <v>203</v>
      </c>
      <c r="K181" s="28" t="s">
        <v>66</v>
      </c>
      <c r="L181" s="28"/>
      <c r="M181" s="21"/>
      <c r="N181" s="28" t="s">
        <v>204</v>
      </c>
      <c r="O181" s="21"/>
      <c r="P181" s="21"/>
      <c r="Q181" s="29"/>
      <c r="S181" s="27" t="s">
        <v>203</v>
      </c>
      <c r="T181" s="28" t="s">
        <v>66</v>
      </c>
      <c r="U181" s="28"/>
      <c r="V181" s="21"/>
      <c r="W181" s="28" t="s">
        <v>204</v>
      </c>
      <c r="X181" s="21"/>
      <c r="Y181" s="21"/>
      <c r="Z181" s="29"/>
      <c r="AB181" s="27" t="s">
        <v>203</v>
      </c>
      <c r="AC181" s="28" t="s">
        <v>66</v>
      </c>
      <c r="AD181" s="28"/>
      <c r="AE181" s="21"/>
      <c r="AF181" s="28" t="s">
        <v>204</v>
      </c>
      <c r="AG181" s="21"/>
      <c r="AH181" s="21"/>
      <c r="AI181" s="29"/>
    </row>
    <row r="182" spans="1:35">
      <c r="A182" s="94">
        <f>(A167*B59)+E185-E179-A185</f>
        <v>1424.7779423563479</v>
      </c>
      <c r="B182" s="34">
        <f>B114</f>
        <v>833.33333333333337</v>
      </c>
      <c r="C182" s="34"/>
      <c r="D182" s="21"/>
      <c r="E182" s="34">
        <f>E179+A182+(B182*1.2)+A185</f>
        <v>21549.777942356348</v>
      </c>
      <c r="F182" s="21"/>
      <c r="G182" s="21"/>
      <c r="H182" s="90"/>
      <c r="J182" s="94" t="e">
        <f>(J167*K59)+N185-N179-J185</f>
        <v>#VALUE!</v>
      </c>
      <c r="K182" s="34">
        <f>K114</f>
        <v>239.99</v>
      </c>
      <c r="L182" s="34"/>
      <c r="M182" s="21"/>
      <c r="N182" s="34" t="e">
        <f>N179+J182+K182+J185</f>
        <v>#VALUE!</v>
      </c>
      <c r="O182" s="21"/>
      <c r="P182" s="21"/>
      <c r="Q182" s="90"/>
      <c r="S182" s="94" t="e">
        <f>(S167*T59)+W185-W179-S185</f>
        <v>#VALUE!</v>
      </c>
      <c r="T182" s="34">
        <f>T114</f>
        <v>199.99</v>
      </c>
      <c r="U182" s="34"/>
      <c r="V182" s="21"/>
      <c r="W182" s="34" t="e">
        <f>W179+S182+T182+S185</f>
        <v>#VALUE!</v>
      </c>
      <c r="X182" s="21"/>
      <c r="Y182" s="21"/>
      <c r="Z182" s="90"/>
      <c r="AB182" s="94" t="e">
        <f>(AB167*AC59)+AF185-AF179-AB185</f>
        <v>#VALUE!</v>
      </c>
      <c r="AC182" s="34">
        <f>AC114</f>
        <v>239.99</v>
      </c>
      <c r="AD182" s="34"/>
      <c r="AE182" s="21"/>
      <c r="AF182" s="34" t="e">
        <f>AF179+AB182+AC182+AB185</f>
        <v>#VALUE!</v>
      </c>
      <c r="AG182" s="21"/>
      <c r="AH182" s="21"/>
      <c r="AI182" s="90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  <c r="J184" s="27" t="s">
        <v>205</v>
      </c>
      <c r="K184" s="28" t="s">
        <v>206</v>
      </c>
      <c r="L184" s="28"/>
      <c r="M184" s="21"/>
      <c r="N184" s="28" t="s">
        <v>207</v>
      </c>
      <c r="O184" s="21"/>
      <c r="P184" s="21"/>
      <c r="Q184" s="29"/>
      <c r="S184" s="27" t="s">
        <v>205</v>
      </c>
      <c r="T184" s="28" t="s">
        <v>206</v>
      </c>
      <c r="U184" s="28"/>
      <c r="V184" s="21"/>
      <c r="W184" s="28" t="s">
        <v>207</v>
      </c>
      <c r="X184" s="21"/>
      <c r="Y184" s="21"/>
      <c r="Z184" s="29"/>
      <c r="AB184" s="27" t="s">
        <v>205</v>
      </c>
      <c r="AC184" s="28" t="s">
        <v>206</v>
      </c>
      <c r="AD184" s="28"/>
      <c r="AE184" s="21"/>
      <c r="AF184" s="28" t="s">
        <v>207</v>
      </c>
      <c r="AG184" s="21"/>
      <c r="AH184" s="21"/>
      <c r="AI184" s="29"/>
    </row>
    <row r="185" spans="1:35">
      <c r="A185" s="94">
        <f>B60</f>
        <v>10</v>
      </c>
      <c r="B185" s="34">
        <f>A179+(B182*1.2)</f>
        <v>3000</v>
      </c>
      <c r="C185" s="34"/>
      <c r="D185" s="21"/>
      <c r="E185" s="34">
        <f>IF( E170=0, A185+E167, E170+A185)</f>
        <v>1764.5481618630288</v>
      </c>
      <c r="F185" s="21"/>
      <c r="G185" s="21"/>
      <c r="H185" s="90"/>
      <c r="J185" s="94">
        <f>K60</f>
        <v>20</v>
      </c>
      <c r="K185" s="34">
        <f>J179+K182</f>
        <v>1239.99</v>
      </c>
      <c r="L185" s="34"/>
      <c r="M185" s="21"/>
      <c r="N185" s="34">
        <f>N170+J185</f>
        <v>20</v>
      </c>
      <c r="O185" s="21"/>
      <c r="P185" s="21"/>
      <c r="Q185" s="90"/>
      <c r="S185" s="94">
        <f>T60</f>
        <v>10</v>
      </c>
      <c r="T185" s="34">
        <f>S179+T182</f>
        <v>1199.99</v>
      </c>
      <c r="U185" s="34"/>
      <c r="V185" s="21"/>
      <c r="W185" s="34">
        <f>W170+S185</f>
        <v>10</v>
      </c>
      <c r="X185" s="21"/>
      <c r="Y185" s="21"/>
      <c r="Z185" s="90"/>
      <c r="AB185" s="94">
        <f>AC60</f>
        <v>10</v>
      </c>
      <c r="AC185" s="34">
        <f>AB179+AC182</f>
        <v>1239.99</v>
      </c>
      <c r="AD185" s="34"/>
      <c r="AE185" s="21"/>
      <c r="AF185" s="34">
        <f>AF170+AB185</f>
        <v>10</v>
      </c>
      <c r="AG185" s="21"/>
      <c r="AH185" s="21"/>
      <c r="AI185" s="90"/>
    </row>
    <row r="186" spans="1:35">
      <c r="A186" s="27"/>
      <c r="B186" s="28"/>
      <c r="C186" s="28"/>
      <c r="D186" s="28"/>
      <c r="E186" s="21"/>
      <c r="F186" s="21"/>
      <c r="G186" s="21"/>
      <c r="H186" s="29"/>
      <c r="J186" s="27"/>
      <c r="K186" s="28"/>
      <c r="L186" s="28"/>
      <c r="M186" s="28"/>
      <c r="N186" s="21"/>
      <c r="O186" s="21"/>
      <c r="P186" s="21"/>
      <c r="Q186" s="29"/>
      <c r="S186" s="27"/>
      <c r="T186" s="28"/>
      <c r="U186" s="28"/>
      <c r="V186" s="28"/>
      <c r="W186" s="21"/>
      <c r="X186" s="28"/>
      <c r="Y186" s="28"/>
      <c r="Z186" s="29"/>
      <c r="AB186" s="27"/>
      <c r="AC186" s="28"/>
      <c r="AD186" s="28"/>
      <c r="AE186" s="28"/>
      <c r="AF186" s="21"/>
      <c r="AG186" s="21"/>
      <c r="AH186" s="21"/>
      <c r="AI186" s="29"/>
    </row>
    <row r="187" spans="1:35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  <c r="J187" s="27" t="s">
        <v>208</v>
      </c>
      <c r="K187" s="28" t="s">
        <v>209</v>
      </c>
      <c r="L187" s="28"/>
      <c r="M187" s="28"/>
      <c r="N187" s="35" t="s">
        <v>210</v>
      </c>
      <c r="O187" s="21"/>
      <c r="P187" s="21"/>
      <c r="Q187" s="29"/>
      <c r="S187" s="27" t="s">
        <v>208</v>
      </c>
      <c r="T187" s="28" t="s">
        <v>209</v>
      </c>
      <c r="U187" s="28"/>
      <c r="V187" s="28"/>
      <c r="W187" s="35" t="s">
        <v>210</v>
      </c>
      <c r="X187" s="28"/>
      <c r="Y187" s="28"/>
      <c r="Z187" s="29"/>
      <c r="AB187" s="27" t="s">
        <v>208</v>
      </c>
      <c r="AC187" s="28" t="s">
        <v>209</v>
      </c>
      <c r="AD187" s="28"/>
      <c r="AE187" s="28"/>
      <c r="AF187" s="35" t="s">
        <v>210</v>
      </c>
      <c r="AG187" s="28"/>
      <c r="AH187" s="28"/>
      <c r="AI187" s="29"/>
    </row>
    <row r="188" spans="1:35">
      <c r="A188" s="94">
        <f>IF(E105="YES",J18*0.000002,0)*100</f>
        <v>8.1052</v>
      </c>
      <c r="B188" s="34">
        <f>(G158*B67)</f>
        <v>955.75</v>
      </c>
      <c r="C188" s="28"/>
      <c r="D188" s="28"/>
      <c r="E188" s="34">
        <f>(E40*A108)*0.1*(C45/100)</f>
        <v>12.96</v>
      </c>
      <c r="F188" s="21"/>
      <c r="G188" s="21"/>
      <c r="H188" s="29"/>
      <c r="J188" s="94">
        <f>IF(N105="YES",H15*0.000002,0)</f>
        <v>0</v>
      </c>
      <c r="K188" s="34" t="e">
        <f>(P158*K67)/1.2</f>
        <v>#VALUE!</v>
      </c>
      <c r="L188" s="28"/>
      <c r="M188" s="28"/>
      <c r="N188" s="34">
        <f>(E40*J108)*0.1</f>
        <v>12.96</v>
      </c>
      <c r="O188" s="21"/>
      <c r="P188" s="21"/>
      <c r="Q188" s="29"/>
      <c r="S188" s="94">
        <f>IF(W105="YES",Z15*0.000002,0)</f>
        <v>0</v>
      </c>
      <c r="T188" s="34" t="e">
        <f>(Y158*T67)/1.2</f>
        <v>#VALUE!</v>
      </c>
      <c r="U188" s="28"/>
      <c r="V188" s="28"/>
      <c r="W188" s="34">
        <f>(E40*S108)*0.1</f>
        <v>8.64</v>
      </c>
      <c r="X188" s="28"/>
      <c r="Y188" s="28"/>
      <c r="Z188" s="29"/>
      <c r="AB188" s="94">
        <f>IF(AF105="YES",AI15*0.000002,0)</f>
        <v>0</v>
      </c>
      <c r="AC188" s="34" t="e">
        <f>(AH158*AC67)/1.2</f>
        <v>#VALUE!</v>
      </c>
      <c r="AD188" s="28"/>
      <c r="AE188" s="28"/>
      <c r="AF188" s="34">
        <f>(E40*AB108)*0.1</f>
        <v>8.64</v>
      </c>
      <c r="AG188" s="28"/>
      <c r="AH188" s="28"/>
      <c r="AI188" s="29"/>
    </row>
    <row r="189" spans="1:35">
      <c r="A189" s="94"/>
      <c r="B189" s="34"/>
      <c r="C189" s="28"/>
      <c r="D189" s="28"/>
      <c r="E189" s="21"/>
      <c r="F189" s="21"/>
      <c r="G189" s="21"/>
      <c r="H189" s="29"/>
      <c r="J189" s="94"/>
      <c r="K189" s="34"/>
      <c r="L189" s="28"/>
      <c r="M189" s="28"/>
      <c r="N189" s="21"/>
      <c r="O189" s="21"/>
      <c r="P189" s="21"/>
      <c r="Q189" s="29"/>
      <c r="S189" s="94"/>
      <c r="T189" s="34"/>
      <c r="U189" s="28"/>
      <c r="V189" s="28"/>
      <c r="W189" s="21"/>
      <c r="X189" s="28"/>
      <c r="Y189" s="28"/>
      <c r="Z189" s="29"/>
      <c r="AB189" s="94"/>
      <c r="AC189" s="34"/>
      <c r="AD189" s="28"/>
      <c r="AE189" s="28"/>
      <c r="AF189" s="21"/>
      <c r="AG189" s="28"/>
      <c r="AH189" s="28"/>
      <c r="AI189" s="29"/>
    </row>
    <row r="190" spans="1:35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  <c r="J190" s="53" t="s">
        <v>211</v>
      </c>
      <c r="K190" s="35" t="s">
        <v>212</v>
      </c>
      <c r="L190" s="28"/>
      <c r="M190" s="28"/>
      <c r="N190" s="35" t="s">
        <v>213</v>
      </c>
      <c r="O190" s="21"/>
      <c r="P190" s="21"/>
      <c r="Q190" s="29"/>
      <c r="S190" s="53" t="s">
        <v>211</v>
      </c>
      <c r="T190" s="35" t="s">
        <v>212</v>
      </c>
      <c r="U190" s="28"/>
      <c r="V190" s="28"/>
      <c r="W190" s="35" t="s">
        <v>213</v>
      </c>
      <c r="X190" s="28"/>
      <c r="Y190" s="28"/>
      <c r="Z190" s="29"/>
      <c r="AB190" s="53" t="s">
        <v>211</v>
      </c>
      <c r="AC190" s="35" t="s">
        <v>212</v>
      </c>
      <c r="AD190" s="28"/>
      <c r="AE190" s="28"/>
      <c r="AF190" s="35" t="s">
        <v>213</v>
      </c>
      <c r="AG190" s="28"/>
      <c r="AH190" s="28"/>
      <c r="AI190" s="29"/>
    </row>
    <row r="191" spans="1:35">
      <c r="A191" s="94">
        <v>10</v>
      </c>
      <c r="B191" s="34">
        <f>B188+E188+A191</f>
        <v>978.71</v>
      </c>
      <c r="C191" s="28"/>
      <c r="D191" s="28"/>
      <c r="E191" s="34">
        <f>H148</f>
        <v>2079.170000000001</v>
      </c>
      <c r="F191" s="21"/>
      <c r="G191" s="21"/>
      <c r="H191" s="29"/>
      <c r="J191" s="94">
        <f>K185-100</f>
        <v>1139.99</v>
      </c>
      <c r="K191" s="34" t="e">
        <f>K188+N188+J191</f>
        <v>#VALUE!</v>
      </c>
      <c r="L191" s="28"/>
      <c r="M191" s="28"/>
      <c r="N191" s="34" t="e">
        <f>Q148</f>
        <v>#VALUE!</v>
      </c>
      <c r="O191" s="21"/>
      <c r="P191" s="21"/>
      <c r="Q191" s="29"/>
      <c r="S191" s="94">
        <f>T185-100</f>
        <v>1099.99</v>
      </c>
      <c r="T191" s="34" t="e">
        <f>T188+W188+S191</f>
        <v>#VALUE!</v>
      </c>
      <c r="U191" s="28"/>
      <c r="V191" s="28"/>
      <c r="W191" s="34" t="e">
        <f>Z148</f>
        <v>#VALUE!</v>
      </c>
      <c r="X191" s="28"/>
      <c r="Y191" s="28"/>
      <c r="Z191" s="29"/>
      <c r="AB191" s="94">
        <f>AC185-100</f>
        <v>1139.99</v>
      </c>
      <c r="AC191" s="34" t="e">
        <f>AC188+AF188+AB191</f>
        <v>#VALUE!</v>
      </c>
      <c r="AD191" s="28"/>
      <c r="AE191" s="28"/>
      <c r="AF191" s="34" t="e">
        <f>AI148</f>
        <v>#VALUE!</v>
      </c>
      <c r="AG191" s="28"/>
      <c r="AH191" s="28"/>
      <c r="AI191" s="29"/>
    </row>
    <row r="192" spans="1:35">
      <c r="A192" s="27"/>
      <c r="B192" s="28"/>
      <c r="C192" s="28"/>
      <c r="D192" s="28"/>
      <c r="E192" s="21"/>
      <c r="F192" s="21"/>
      <c r="G192" s="21"/>
      <c r="H192" s="29"/>
      <c r="J192" s="27"/>
      <c r="K192" s="28"/>
      <c r="L192" s="28"/>
      <c r="M192" s="28"/>
      <c r="N192" s="21"/>
      <c r="O192" s="21"/>
      <c r="P192" s="21"/>
      <c r="Q192" s="29"/>
      <c r="S192" s="27"/>
      <c r="T192" s="28"/>
      <c r="U192" s="28"/>
      <c r="V192" s="28"/>
      <c r="W192" s="21"/>
      <c r="X192" s="21"/>
      <c r="Y192" s="21"/>
      <c r="Z192" s="29"/>
      <c r="AB192" s="27"/>
      <c r="AC192" s="28"/>
      <c r="AD192" s="28"/>
      <c r="AE192" s="28"/>
      <c r="AF192" s="21"/>
      <c r="AG192" s="21"/>
      <c r="AH192" s="21"/>
      <c r="AI192" s="29"/>
    </row>
    <row r="193" spans="1:35">
      <c r="A193" s="58" t="s">
        <v>214</v>
      </c>
      <c r="B193" s="28"/>
      <c r="C193" s="28"/>
      <c r="D193" s="59"/>
      <c r="E193" s="59"/>
      <c r="F193" s="59"/>
      <c r="G193" s="59"/>
      <c r="H193" s="60"/>
      <c r="J193" s="58" t="s">
        <v>214</v>
      </c>
      <c r="K193" s="28"/>
      <c r="L193" s="28"/>
      <c r="M193" s="59"/>
      <c r="N193" s="59"/>
      <c r="O193" s="59"/>
      <c r="P193" s="59"/>
      <c r="Q193" s="60"/>
      <c r="S193" s="58" t="s">
        <v>214</v>
      </c>
      <c r="T193" s="28"/>
      <c r="U193" s="28"/>
      <c r="V193" s="59"/>
      <c r="W193" s="59"/>
      <c r="X193" s="59"/>
      <c r="Y193" s="59"/>
      <c r="Z193" s="60"/>
      <c r="AB193" s="58" t="s">
        <v>214</v>
      </c>
      <c r="AC193" s="28"/>
      <c r="AD193" s="28"/>
      <c r="AE193" s="59"/>
      <c r="AF193" s="59"/>
      <c r="AG193" s="59"/>
      <c r="AH193" s="59"/>
      <c r="AI193" s="60"/>
    </row>
    <row r="194" spans="1:35">
      <c r="A194" s="27"/>
      <c r="B194" s="61"/>
      <c r="C194" s="61"/>
      <c r="D194" s="28"/>
      <c r="E194" s="21"/>
      <c r="F194" s="21"/>
      <c r="G194" s="21"/>
      <c r="H194" s="29"/>
      <c r="J194" s="27"/>
      <c r="K194" s="61"/>
      <c r="L194" s="61"/>
      <c r="M194" s="28"/>
      <c r="N194" s="21"/>
      <c r="O194" s="21"/>
      <c r="P194" s="21"/>
      <c r="Q194" s="29"/>
      <c r="S194" s="27"/>
      <c r="T194" s="61"/>
      <c r="U194" s="61"/>
      <c r="V194" s="28"/>
      <c r="W194" s="21"/>
      <c r="X194" s="21"/>
      <c r="Y194" s="21"/>
      <c r="Z194" s="29"/>
      <c r="AB194" s="27"/>
      <c r="AC194" s="61"/>
      <c r="AD194" s="61"/>
      <c r="AE194" s="28"/>
      <c r="AF194" s="21"/>
      <c r="AG194" s="21"/>
      <c r="AH194" s="21"/>
      <c r="AI194" s="29"/>
    </row>
    <row r="195" spans="1:35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69" t="s">
        <v>94</v>
      </c>
      <c r="K195" s="341" t="s">
        <v>95</v>
      </c>
      <c r="L195" s="341"/>
      <c r="M195" s="341"/>
      <c r="N195" s="21"/>
      <c r="O195" s="21"/>
      <c r="P195" s="21"/>
      <c r="Q195" s="29"/>
      <c r="S195" s="369" t="s">
        <v>94</v>
      </c>
      <c r="T195" s="341" t="s">
        <v>95</v>
      </c>
      <c r="U195" s="341"/>
      <c r="V195" s="341"/>
      <c r="W195" s="21"/>
      <c r="X195" s="21"/>
      <c r="Y195" s="21"/>
      <c r="Z195" s="29"/>
      <c r="AB195" s="369" t="s">
        <v>94</v>
      </c>
      <c r="AC195" s="341" t="s">
        <v>95</v>
      </c>
      <c r="AD195" s="341"/>
      <c r="AE195" s="341"/>
      <c r="AF195" s="21"/>
      <c r="AG195" s="21"/>
      <c r="AH195" s="21"/>
      <c r="AI195" s="29"/>
    </row>
    <row r="196" spans="1:35" ht="19.5" customHeight="1">
      <c r="A196" s="369"/>
      <c r="B196" s="342">
        <f>K30</f>
        <v>10000</v>
      </c>
      <c r="C196" s="342"/>
      <c r="D196" s="342"/>
      <c r="E196" s="21"/>
      <c r="F196" s="21"/>
      <c r="G196" s="21"/>
      <c r="H196" s="29"/>
      <c r="J196" s="369"/>
      <c r="K196" s="342">
        <f>K30</f>
        <v>10000</v>
      </c>
      <c r="L196" s="342"/>
      <c r="M196" s="342"/>
      <c r="N196" s="21"/>
      <c r="O196" s="21"/>
      <c r="P196" s="21"/>
      <c r="Q196" s="29"/>
      <c r="S196" s="369"/>
      <c r="T196" s="342">
        <f>K30</f>
        <v>10000</v>
      </c>
      <c r="U196" s="342"/>
      <c r="V196" s="342"/>
      <c r="W196" s="21"/>
      <c r="X196" s="21"/>
      <c r="Y196" s="21"/>
      <c r="Z196" s="29"/>
      <c r="AB196" s="369"/>
      <c r="AC196" s="342">
        <f>K30</f>
        <v>10000</v>
      </c>
      <c r="AD196" s="342"/>
      <c r="AE196" s="342"/>
      <c r="AF196" s="21"/>
      <c r="AG196" s="21"/>
      <c r="AH196" s="21"/>
      <c r="AI196" s="29"/>
    </row>
    <row r="197" spans="1:35">
      <c r="A197" s="62">
        <f>K29</f>
        <v>12</v>
      </c>
      <c r="B197" s="343">
        <f>B96</f>
        <v>1754.5481618630288</v>
      </c>
      <c r="C197" s="343"/>
      <c r="D197" s="343"/>
      <c r="E197" s="21"/>
      <c r="F197" s="21"/>
      <c r="G197" s="21"/>
      <c r="H197" s="29"/>
      <c r="J197" s="62">
        <f>K29</f>
        <v>12</v>
      </c>
      <c r="K197" s="343" t="e">
        <f>K96</f>
        <v>#VALUE!</v>
      </c>
      <c r="L197" s="343"/>
      <c r="M197" s="343"/>
      <c r="N197" s="21"/>
      <c r="O197" s="21"/>
      <c r="P197" s="21"/>
      <c r="Q197" s="29"/>
      <c r="S197" s="62">
        <f>K29</f>
        <v>12</v>
      </c>
      <c r="T197" s="343" t="e">
        <f>T96</f>
        <v>#VALUE!</v>
      </c>
      <c r="U197" s="343"/>
      <c r="V197" s="343"/>
      <c r="W197" s="21"/>
      <c r="X197" s="21"/>
      <c r="Y197" s="21"/>
      <c r="Z197" s="29"/>
      <c r="AB197" s="62">
        <f>K29</f>
        <v>12</v>
      </c>
      <c r="AC197" s="343" t="e">
        <f>AC96</f>
        <v>#VALUE!</v>
      </c>
      <c r="AD197" s="343"/>
      <c r="AE197" s="343"/>
      <c r="AF197" s="21"/>
      <c r="AG197" s="21"/>
      <c r="AH197" s="21"/>
      <c r="AI197" s="29"/>
    </row>
    <row r="198" spans="1:35">
      <c r="A198" s="27"/>
      <c r="B198" s="28"/>
      <c r="C198" s="28"/>
      <c r="D198" s="28"/>
      <c r="E198" s="21"/>
      <c r="F198" s="21"/>
      <c r="G198" s="21"/>
      <c r="H198" s="29"/>
      <c r="J198" s="27"/>
      <c r="K198" s="28"/>
      <c r="L198" s="28"/>
      <c r="M198" s="28"/>
      <c r="N198" s="21"/>
      <c r="O198" s="21"/>
      <c r="P198" s="21"/>
      <c r="Q198" s="29"/>
      <c r="S198" s="27"/>
      <c r="T198" s="28"/>
      <c r="U198" s="28"/>
      <c r="V198" s="28"/>
      <c r="W198" s="21"/>
      <c r="X198" s="21"/>
      <c r="Y198" s="21"/>
      <c r="Z198" s="29"/>
      <c r="AB198" s="27"/>
      <c r="AC198" s="28"/>
      <c r="AD198" s="28"/>
      <c r="AE198" s="28"/>
      <c r="AF198" s="21"/>
      <c r="AG198" s="21"/>
      <c r="AH198" s="21"/>
      <c r="AI198" s="29"/>
    </row>
    <row r="199" spans="1:35">
      <c r="A199" s="27"/>
      <c r="B199" s="28"/>
      <c r="C199" s="28"/>
      <c r="D199" s="28"/>
      <c r="E199" s="21"/>
      <c r="F199" s="21"/>
      <c r="G199" s="21"/>
      <c r="H199" s="29"/>
      <c r="J199" s="27"/>
      <c r="K199" s="28"/>
      <c r="L199" s="28"/>
      <c r="M199" s="28"/>
      <c r="N199" s="21"/>
      <c r="O199" s="21"/>
      <c r="P199" s="21"/>
      <c r="Q199" s="29"/>
      <c r="S199" s="27"/>
      <c r="T199" s="28"/>
      <c r="U199" s="28"/>
      <c r="V199" s="28"/>
      <c r="W199" s="21"/>
      <c r="X199" s="21"/>
      <c r="Y199" s="21"/>
      <c r="Z199" s="29"/>
      <c r="AB199" s="27"/>
      <c r="AC199" s="28"/>
      <c r="AD199" s="28"/>
      <c r="AE199" s="28"/>
      <c r="AF199" s="21"/>
      <c r="AG199" s="21"/>
      <c r="AH199" s="21"/>
      <c r="AI199" s="29"/>
    </row>
    <row r="200" spans="1:35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  <c r="J200" s="27"/>
      <c r="K200" s="28"/>
      <c r="L200" s="28"/>
      <c r="M200" s="28"/>
      <c r="N200" s="21"/>
      <c r="O200" s="21"/>
      <c r="P200" s="21"/>
      <c r="Q200" s="29"/>
      <c r="S200" s="27"/>
      <c r="T200" s="28"/>
      <c r="U200" s="28"/>
      <c r="V200" s="28"/>
      <c r="W200" s="21"/>
      <c r="X200" s="21"/>
      <c r="Y200" s="21"/>
      <c r="Z200" s="29"/>
      <c r="AB200" s="27"/>
      <c r="AC200" s="28"/>
      <c r="AD200" s="28"/>
      <c r="AE200" s="28"/>
      <c r="AF200" s="21"/>
      <c r="AG200" s="21"/>
      <c r="AH200" s="21"/>
      <c r="AI200" s="29"/>
    </row>
    <row r="201" spans="1:35">
      <c r="A201" s="32">
        <f>IF(A40=0,((G167*(B59+1))-E179),((G167*B59)+E185-E179-A185))</f>
        <v>732.52000000000044</v>
      </c>
      <c r="B201" s="38">
        <f>E179+A201+(B182*1.2)+A185</f>
        <v>20857.52</v>
      </c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49"/>
      <c r="B202" s="50"/>
      <c r="C202" s="50"/>
      <c r="D202" s="50"/>
      <c r="E202" s="50"/>
      <c r="F202" s="50"/>
      <c r="G202" s="50"/>
      <c r="H202" s="57"/>
      <c r="J202" s="49"/>
      <c r="K202" s="50"/>
      <c r="L202" s="50"/>
      <c r="M202" s="50"/>
      <c r="N202" s="50"/>
      <c r="O202" s="50"/>
      <c r="P202" s="50"/>
      <c r="Q202" s="57"/>
      <c r="S202" s="49"/>
      <c r="T202" s="50"/>
      <c r="U202" s="50"/>
      <c r="V202" s="50"/>
      <c r="W202" s="50"/>
      <c r="X202" s="50"/>
      <c r="Y202" s="50"/>
      <c r="Z202" s="57"/>
      <c r="AB202" s="49"/>
      <c r="AC202" s="50"/>
      <c r="AD202" s="50"/>
      <c r="AE202" s="50"/>
      <c r="AF202" s="50"/>
      <c r="AG202" s="50"/>
      <c r="AH202" s="50"/>
      <c r="AI202" s="57"/>
    </row>
    <row r="206" spans="1:35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5">
      <c r="A207" s="27"/>
      <c r="B207" s="28"/>
      <c r="C207" s="28"/>
      <c r="D207" s="28"/>
      <c r="E207" s="21"/>
      <c r="F207" s="21"/>
      <c r="G207" s="21"/>
      <c r="H207" s="29"/>
    </row>
    <row r="208" spans="1:35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30" t="s">
        <v>279</v>
      </c>
      <c r="B209" s="131">
        <f>A197</f>
        <v>12</v>
      </c>
      <c r="C209" s="131"/>
      <c r="D209" s="131"/>
      <c r="E209" s="131">
        <f>B196</f>
        <v>10000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1707.7481618630288</v>
      </c>
      <c r="B212" s="133">
        <f>B167</f>
        <v>46.800000000000004</v>
      </c>
      <c r="C212" s="131"/>
      <c r="D212" s="131"/>
      <c r="E212" s="133">
        <f>E167</f>
        <v>1754.5481618630288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16412.5</v>
      </c>
      <c r="B215" s="34">
        <f>B173</f>
        <v>3282.5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19695</v>
      </c>
      <c r="B218" s="34">
        <f>B176</f>
        <v>1000</v>
      </c>
      <c r="C218" s="34"/>
      <c r="D218" s="21"/>
      <c r="E218" s="34">
        <f>E176</f>
        <v>1000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2000</v>
      </c>
      <c r="B221" s="34">
        <f>B179</f>
        <v>0</v>
      </c>
      <c r="C221" s="34"/>
      <c r="D221" s="21"/>
      <c r="E221" s="34">
        <f>E179</f>
        <v>19115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1424.7779423563479</v>
      </c>
      <c r="B224" s="34">
        <f>B182</f>
        <v>833.33333333333337</v>
      </c>
      <c r="C224" s="34"/>
      <c r="D224" s="21"/>
      <c r="E224" s="34">
        <f>E182</f>
        <v>21549.777942356348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3000</v>
      </c>
      <c r="C227" s="34"/>
      <c r="D227" s="21"/>
      <c r="E227" s="34">
        <f>B59</f>
        <v>11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1707.7481618630288</v>
      </c>
      <c r="B230" s="34">
        <f>B167</f>
        <v>46.800000000000004</v>
      </c>
      <c r="C230" s="38"/>
      <c r="D230" s="38"/>
      <c r="E230" s="34">
        <f>E167</f>
        <v>1754.5481618630288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198</v>
      </c>
      <c r="B232" s="28" t="s">
        <v>220</v>
      </c>
      <c r="C232" s="28"/>
      <c r="D232" s="28"/>
      <c r="E232" s="28" t="s">
        <v>221</v>
      </c>
      <c r="F232" s="21"/>
      <c r="G232" s="21"/>
      <c r="H232" s="29"/>
    </row>
    <row r="233" spans="1:8">
      <c r="A233" s="94">
        <f>E170</f>
        <v>0</v>
      </c>
      <c r="B233" s="34">
        <f>E185</f>
        <v>1764.5481618630288</v>
      </c>
      <c r="C233" s="28"/>
      <c r="D233" s="28"/>
      <c r="E233" s="34">
        <f>A188</f>
        <v>8.1052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142</v>
      </c>
      <c r="B235" s="34"/>
      <c r="C235" s="28"/>
      <c r="D235" s="28"/>
      <c r="E235" s="34"/>
      <c r="F235" s="21"/>
      <c r="G235" s="21"/>
      <c r="H235" s="29"/>
    </row>
    <row r="236" spans="1:8">
      <c r="A236" s="94"/>
      <c r="B236" s="34"/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2079.170000000001</v>
      </c>
      <c r="B240" s="34">
        <f>B68</f>
        <v>955.75</v>
      </c>
      <c r="C240" s="28"/>
      <c r="D240" s="28"/>
      <c r="E240" s="34">
        <f>E188</f>
        <v>12.96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B240+E240+A243+A240-H156-H156</f>
        <v>217.88000000000102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K35</f>
        <v>7.0000000000000007E-2</v>
      </c>
      <c r="C253" s="144"/>
      <c r="D253" s="374" t="s">
        <v>226</v>
      </c>
      <c r="E253" s="374"/>
      <c r="F253" s="143">
        <f>B83</f>
        <v>0.1305</v>
      </c>
      <c r="G253" s="21"/>
      <c r="H253" s="29"/>
    </row>
    <row r="254" spans="1:8">
      <c r="A254" s="139" t="s">
        <v>227</v>
      </c>
      <c r="B254" s="145">
        <f>(E182-B182)-(B201-B182-A185)</f>
        <v>702.25794235634748</v>
      </c>
      <c r="C254" s="144"/>
      <c r="D254" s="374" t="s">
        <v>228</v>
      </c>
      <c r="E254" s="374"/>
      <c r="F254" s="146">
        <f>F261+F267+F269+B270+B271</f>
        <v>955.75</v>
      </c>
      <c r="G254" s="21"/>
      <c r="H254" s="29"/>
    </row>
    <row r="255" spans="1:8">
      <c r="A255" s="139" t="s">
        <v>229</v>
      </c>
      <c r="B255" s="146">
        <f>F262+B263</f>
        <v>139.60000000000002</v>
      </c>
      <c r="C255" s="144"/>
      <c r="D255" s="374" t="s">
        <v>230</v>
      </c>
      <c r="E255" s="374"/>
      <c r="F255" s="146">
        <f>(B254-F254)+B255</f>
        <v>-113.89205764365249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10">
      <c r="A257" s="27" t="s">
        <v>225</v>
      </c>
      <c r="B257" s="151">
        <f>B253</f>
        <v>7.0000000000000007E-2</v>
      </c>
      <c r="C257" s="144"/>
      <c r="D257" s="144"/>
      <c r="E257" s="144"/>
      <c r="F257" s="144"/>
      <c r="G257" s="21"/>
      <c r="H257" s="29"/>
    </row>
    <row r="258" spans="1:10">
      <c r="A258" s="152"/>
      <c r="B258" s="153"/>
      <c r="C258" s="154"/>
      <c r="D258" s="154"/>
      <c r="E258" s="149"/>
      <c r="F258" s="149"/>
      <c r="G258" s="149"/>
      <c r="H258" s="150"/>
    </row>
    <row r="259" spans="1:10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10">
      <c r="A260" s="93" t="s">
        <v>226</v>
      </c>
      <c r="B260" s="155">
        <f>B83</f>
        <v>0.1305</v>
      </c>
      <c r="C260" s="38"/>
      <c r="D260" s="363" t="s">
        <v>227</v>
      </c>
      <c r="E260" s="363"/>
      <c r="F260" s="115">
        <f>B254</f>
        <v>702.25794235634748</v>
      </c>
      <c r="G260" s="21"/>
      <c r="H260" s="29"/>
    </row>
    <row r="261" spans="1:10">
      <c r="A261" s="27" t="s">
        <v>233</v>
      </c>
      <c r="B261" s="155">
        <f>B67</f>
        <v>0.05</v>
      </c>
      <c r="C261" s="28"/>
      <c r="D261" s="363" t="s">
        <v>233</v>
      </c>
      <c r="E261" s="363"/>
      <c r="F261" s="119">
        <f>B68</f>
        <v>955.75</v>
      </c>
      <c r="G261" s="21"/>
      <c r="H261" s="29"/>
    </row>
    <row r="262" spans="1:10">
      <c r="A262" s="27" t="s">
        <v>234</v>
      </c>
      <c r="B262" s="151">
        <f>A108</f>
        <v>0.3</v>
      </c>
      <c r="C262" s="28"/>
      <c r="D262" s="363" t="s">
        <v>234</v>
      </c>
      <c r="E262" s="363"/>
      <c r="F262" s="115">
        <f>E240*10</f>
        <v>129.60000000000002</v>
      </c>
      <c r="G262" s="21"/>
      <c r="H262" s="29"/>
    </row>
    <row r="263" spans="1:10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-113.89205764365249</v>
      </c>
      <c r="G263" s="21"/>
      <c r="H263" s="29"/>
    </row>
    <row r="264" spans="1:10">
      <c r="A264" s="94"/>
      <c r="B264" s="34"/>
      <c r="C264" s="28"/>
      <c r="D264" s="28"/>
      <c r="E264" s="34"/>
      <c r="F264" s="21"/>
      <c r="G264" s="21"/>
      <c r="H264" s="29"/>
    </row>
    <row r="265" spans="1:10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10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10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10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10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10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10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  <c r="J271" s="4">
        <v>4</v>
      </c>
    </row>
    <row r="272" spans="1:10">
      <c r="A272" s="49"/>
      <c r="B272" s="50"/>
      <c r="C272" s="50"/>
      <c r="D272" s="50"/>
      <c r="E272" s="50"/>
      <c r="F272" s="50"/>
      <c r="G272" s="50"/>
      <c r="H272" s="57"/>
    </row>
  </sheetData>
  <mergeCells count="260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E36:G36"/>
    <mergeCell ref="J38:K38"/>
    <mergeCell ref="B40:D40"/>
    <mergeCell ref="C45:E45"/>
    <mergeCell ref="A50:A51"/>
    <mergeCell ref="B50:D50"/>
    <mergeCell ref="B51:D51"/>
    <mergeCell ref="B52:D52"/>
    <mergeCell ref="A100:H100"/>
    <mergeCell ref="J100:Q100"/>
    <mergeCell ref="A1:F1"/>
    <mergeCell ref="D7:E18"/>
    <mergeCell ref="A16:C18"/>
    <mergeCell ref="A19:D19"/>
    <mergeCell ref="A21:D21"/>
    <mergeCell ref="A24:H24"/>
    <mergeCell ref="A28:H28"/>
    <mergeCell ref="B30:D30"/>
    <mergeCell ref="E33:G33"/>
  </mergeCells>
  <dataValidations count="1">
    <dataValidation type="list" allowBlank="1" showInputMessage="1" showErrorMessage="1" sqref="B105 K105 N105 T105 W105 AC105 AF105 B108:D108 K108:M108 T108:V108 AC108:AE108 J111 S111 AB111 A144:A146 J144:J146 S144:S146 AB144:AB146" xr:uid="{00000000-0002-0000-1500-000002000000}">
      <formula1>#REF!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500-000000000000}">
          <x14:formula1>
            <xm:f>HirePurchaseNonRegulated!$K$9:$K$10</xm:f>
          </x14:formula1>
          <x14:formula2>
            <xm:f>0</xm:f>
          </x14:formula2>
          <xm:sqref>B26 E105 A111</xm:sqref>
        </x14:dataValidation>
        <x14:dataValidation type="list" allowBlank="1" showErrorMessage="1" xr:uid="{00000000-0002-0000-1500-000001000000}">
          <x14:formula1>
            <xm:f>HirePurchaseNonRegulated!$K$9:$K$10</xm:f>
          </x14:formula1>
          <x14:formula2>
            <xm:f>0</xm:f>
          </x14:formula2>
          <xm:sqref>B70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C1002"/>
  <sheetViews>
    <sheetView topLeftCell="A208" zoomScale="110" zoomScaleNormal="110" workbookViewId="0">
      <selection activeCell="D201" sqref="D201"/>
    </sheetView>
  </sheetViews>
  <sheetFormatPr defaultColWidth="10.875" defaultRowHeight="14.25"/>
  <cols>
    <col min="1" max="1" customWidth="true" width="56.0"/>
    <col min="2" max="2" customWidth="true" width="18.125"/>
    <col min="3" max="3" customWidth="true" width="25.125"/>
    <col min="4" max="4" customWidth="true" width="18.125"/>
    <col min="5" max="5" customWidth="true" width="24.0"/>
    <col min="7" max="7" customWidth="true" width="53.5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38.2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>
        <v>25000</v>
      </c>
      <c r="H3" s="55"/>
      <c r="I3" s="55" t="s">
        <v>31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 t="s">
        <v>32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297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>
      <c r="A8" s="196"/>
      <c r="B8" s="55"/>
      <c r="C8" s="55"/>
      <c r="D8" s="392"/>
      <c r="E8" s="392"/>
      <c r="F8" s="55"/>
      <c r="G8" s="298" t="e">
        <f>G9*100/B3</f>
        <v>#DIV/0!</v>
      </c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297">
        <f>E9-G11</f>
        <v>-152558.33333333334</v>
      </c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297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297">
        <f>G13/1.2</f>
        <v>152558.33333333334</v>
      </c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297">
        <f>G15-E14-E13-E12</f>
        <v>183070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v>183070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299">
        <f>(B3+C3+E10)*1.2</f>
        <v>0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17">
        <f>(B3+C3+D3+E3+E10)*1.2</f>
        <v>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354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162" t="s">
        <v>138</v>
      </c>
      <c r="B26" s="164" t="s">
        <v>385</v>
      </c>
      <c r="C26" s="158"/>
      <c r="D26" s="158"/>
      <c r="E26" s="159"/>
      <c r="F26" s="55"/>
      <c r="G26" s="160" t="s">
        <v>36</v>
      </c>
      <c r="H26" s="160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38</v>
      </c>
      <c r="H27" s="161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377" t="s">
        <v>192</v>
      </c>
      <c r="B28" s="377"/>
      <c r="C28" s="377"/>
      <c r="D28" s="377"/>
      <c r="E28" s="377"/>
      <c r="F28" s="55"/>
      <c r="G28" s="161" t="s">
        <v>40</v>
      </c>
      <c r="H28" s="16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57"/>
      <c r="B29" s="158"/>
      <c r="C29" s="158"/>
      <c r="D29" s="158"/>
      <c r="E29" s="159"/>
      <c r="F29" s="55"/>
      <c r="G29" s="160" t="s">
        <v>41</v>
      </c>
      <c r="H29" s="300">
        <v>35</v>
      </c>
      <c r="I29" s="273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 t="s">
        <v>193</v>
      </c>
      <c r="B30" s="368" t="s">
        <v>387</v>
      </c>
      <c r="C30" s="368"/>
      <c r="D30" s="158"/>
      <c r="E30" s="159"/>
      <c r="F30" s="55"/>
      <c r="G30" s="160" t="s">
        <v>45</v>
      </c>
      <c r="H30" s="300">
        <v>35000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57"/>
      <c r="B31" s="158"/>
      <c r="C31" s="158"/>
      <c r="D31" s="158"/>
      <c r="E31" s="159"/>
      <c r="F31" s="55"/>
      <c r="G31" s="160" t="s">
        <v>48</v>
      </c>
      <c r="H31" s="37">
        <v>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57" t="s">
        <v>94</v>
      </c>
      <c r="B32" s="158" t="s">
        <v>95</v>
      </c>
      <c r="C32" s="158"/>
      <c r="D32" s="301" t="s">
        <v>355</v>
      </c>
      <c r="E32" s="159"/>
      <c r="F32" s="55"/>
      <c r="G32" s="160" t="s">
        <v>49</v>
      </c>
      <c r="I32" s="37">
        <v>0</v>
      </c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31.7" customHeight="1">
      <c r="A33" s="169">
        <f>A52</f>
        <v>35</v>
      </c>
      <c r="B33" s="170">
        <v>10000</v>
      </c>
      <c r="C33" s="171"/>
      <c r="D33" s="302">
        <f>H48</f>
        <v>450.67382589595121</v>
      </c>
      <c r="E33" s="159"/>
      <c r="F33" s="55"/>
      <c r="G33" s="161" t="s">
        <v>356</v>
      </c>
      <c r="H33" s="43">
        <f>E21-E11</f>
        <v>14333.33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57"/>
      <c r="B34" s="158"/>
      <c r="C34" s="158"/>
      <c r="D34" s="158"/>
      <c r="E34" s="159"/>
      <c r="F34" s="55"/>
      <c r="G34" s="55" t="s">
        <v>372</v>
      </c>
      <c r="H34" s="55">
        <f>H29</f>
        <v>35</v>
      </c>
      <c r="I34" s="55">
        <v>43957.29</v>
      </c>
      <c r="J34" s="55">
        <v>841.24</v>
      </c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57" t="s">
        <v>357</v>
      </c>
      <c r="B35" s="158" t="s">
        <v>358</v>
      </c>
      <c r="C35" s="158"/>
      <c r="D35" s="158" t="s">
        <v>359</v>
      </c>
      <c r="E35" s="159"/>
      <c r="F35" s="55"/>
      <c r="G35" s="46" t="s">
        <v>59</v>
      </c>
      <c r="H35" s="174">
        <v>6.5000000000000002E-2</v>
      </c>
      <c r="I35" s="55">
        <v>46215.83</v>
      </c>
      <c r="J35" s="55">
        <v>909.69</v>
      </c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38">
        <f>H47</f>
        <v>450.67382589595121</v>
      </c>
      <c r="B36" s="34">
        <f>IF(B26="YES",H42,"")</f>
        <v>0</v>
      </c>
      <c r="C36" s="163"/>
      <c r="D36" s="137">
        <f>H31</f>
        <v>0</v>
      </c>
      <c r="E36" s="159"/>
      <c r="F36" s="55"/>
      <c r="G36" s="55"/>
      <c r="H36" s="55"/>
      <c r="I36" s="55">
        <f>I35-I34</f>
        <v>2258.5400000000009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94"/>
      <c r="B37" s="34"/>
      <c r="C37" s="163"/>
      <c r="D37" s="34"/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57"/>
      <c r="B38" s="158"/>
      <c r="C38" s="158"/>
      <c r="D38" s="158"/>
      <c r="E38" s="159"/>
      <c r="F38" s="55"/>
      <c r="G38" s="384" t="s">
        <v>65</v>
      </c>
      <c r="H38" s="384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57" t="s">
        <v>360</v>
      </c>
      <c r="B39" s="158" t="s">
        <v>361</v>
      </c>
      <c r="C39" s="158"/>
      <c r="D39" s="158" t="s">
        <v>362</v>
      </c>
      <c r="E39" s="159"/>
      <c r="F39" s="55"/>
      <c r="G39" s="55" t="s">
        <v>96</v>
      </c>
      <c r="H39" s="5">
        <f>H33</f>
        <v>14333.33</v>
      </c>
      <c r="I39" s="5">
        <f>(I48*H46)+H44</f>
        <v>44525.909531371071</v>
      </c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92">
        <f>D36*A45/100</f>
        <v>0</v>
      </c>
      <c r="B40" s="348">
        <f>IF(B26="YES",H42,"0")</f>
        <v>0</v>
      </c>
      <c r="C40" s="348"/>
      <c r="D40" s="137">
        <f>I32</f>
        <v>0</v>
      </c>
      <c r="E40" s="159"/>
      <c r="F40" s="55"/>
      <c r="G40" s="55" t="s">
        <v>118</v>
      </c>
      <c r="H40" s="5">
        <f>A40/1.2</f>
        <v>0</v>
      </c>
      <c r="I40" s="5">
        <f>H39-I39</f>
        <v>-30192.57953137107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157"/>
      <c r="B41" s="158"/>
      <c r="C41" s="158"/>
      <c r="D41" s="158"/>
      <c r="E41" s="159"/>
      <c r="F41" s="55"/>
      <c r="G41" s="55" t="s">
        <v>363</v>
      </c>
      <c r="H41" s="180">
        <f>H35/12</f>
        <v>5.4166666666666669E-3</v>
      </c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57"/>
      <c r="B42" s="158"/>
      <c r="C42" s="158"/>
      <c r="D42" s="158"/>
      <c r="E42" s="159"/>
      <c r="F42" s="55"/>
      <c r="G42" s="55" t="s">
        <v>364</v>
      </c>
      <c r="H42" s="5">
        <f>(I32/H34)*(C45/100)</f>
        <v>0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209"/>
      <c r="B43" s="210"/>
      <c r="C43" s="210"/>
      <c r="D43" s="210"/>
      <c r="E43" s="211"/>
      <c r="F43" s="55"/>
      <c r="G43" s="55" t="s">
        <v>365</v>
      </c>
      <c r="H43" s="55"/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303" t="s">
        <v>89</v>
      </c>
      <c r="B44" s="158"/>
      <c r="C44" s="404" t="s">
        <v>90</v>
      </c>
      <c r="D44" s="404"/>
      <c r="E44" s="159"/>
      <c r="F44" s="55"/>
      <c r="G44" s="55" t="s">
        <v>373</v>
      </c>
      <c r="H44" s="5">
        <f>(H40/(1+H41)^(H34+1))</f>
        <v>0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304">
        <v>100</v>
      </c>
      <c r="B45" s="158"/>
      <c r="C45" s="405">
        <v>100</v>
      </c>
      <c r="D45" s="405"/>
      <c r="E45" s="159"/>
      <c r="F45" s="55"/>
      <c r="G45" s="55" t="s">
        <v>374</v>
      </c>
      <c r="H45" s="5">
        <f>(H39-H44)</f>
        <v>14333.33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6"/>
      <c r="B46" s="207"/>
      <c r="C46" s="207"/>
      <c r="D46" s="207"/>
      <c r="E46" s="208"/>
      <c r="F46" s="55"/>
      <c r="G46" s="55" t="s">
        <v>375</v>
      </c>
      <c r="H46" s="5">
        <f>((1-(1/((1+H41)^H34)))/H41)</f>
        <v>31.804221093836478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57"/>
      <c r="B47" s="158"/>
      <c r="C47" s="158"/>
      <c r="D47" s="158"/>
      <c r="E47" s="159"/>
      <c r="F47" s="55"/>
      <c r="G47" s="55" t="s">
        <v>369</v>
      </c>
      <c r="H47" s="5">
        <f>H45/H46</f>
        <v>450.67382589595121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305" t="s">
        <v>370</v>
      </c>
      <c r="H48" s="5">
        <f>IF(B26="YES",H47+H42,H47)</f>
        <v>450.67382589595121</v>
      </c>
      <c r="I48" s="5">
        <f>I49-H42</f>
        <v>1400</v>
      </c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 t="s">
        <v>371</v>
      </c>
      <c r="H49" s="205"/>
      <c r="I49" s="5">
        <v>1400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35000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35</v>
      </c>
      <c r="B52" s="343">
        <f>H48</f>
        <v>450.67382589595121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158"/>
      <c r="N55" s="158"/>
      <c r="O55" s="158"/>
      <c r="P55" s="158"/>
      <c r="Q55" s="158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209"/>
      <c r="N56" s="210"/>
      <c r="O56" s="210"/>
      <c r="P56" s="210"/>
      <c r="Q56" s="211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IF(B99=Y97,1,IF(B99=Y98,1,IF(B99=Y99,3,IF(B99=Y100,6,IF(B99=Y101,9,IF(B99=Y102,12,IF(B99=Y103,3,IF(B99=Y104,6,IF(B99=Y105,9,0)))))))))</f>
        <v>1</v>
      </c>
      <c r="C57" s="158"/>
      <c r="D57" s="158"/>
      <c r="E57" s="159"/>
      <c r="F57" s="55"/>
      <c r="G57" s="157" t="s">
        <v>96</v>
      </c>
      <c r="H57" s="158">
        <f>IF(H99=Y97,1,IF(H99=Y98,1,IF(H99=Y99,3,IF(H99=Y100,6,IF(H99=Y101,9,IF(H99=Y102,12,IF(H99=Y103,3,IF(H99=Y104,6,IF(H99=Y105,9,0)))))))))</f>
        <v>6</v>
      </c>
      <c r="I57" s="158"/>
      <c r="J57" s="158"/>
      <c r="K57" s="159"/>
      <c r="L57" s="55"/>
      <c r="M57" s="157" t="s">
        <v>96</v>
      </c>
      <c r="N57" s="158">
        <f>IF(N99=Y97,1,IF(N99=Y98,1,IF(N99=Y99,3,IF(N99=Y100,6,IF(N99=Y101,9,IF(N99=Y102,12,IF(N99=Y103,3,IF(N99=Y104,6,IF(N99=Y105,9,0)))))))))</f>
        <v>6</v>
      </c>
      <c r="O57" s="158"/>
      <c r="P57" s="158"/>
      <c r="Q57" s="159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IF(B99=Y97,H29-B57,IF(B99=Y98,H29-B57,IF(B99=Y99,H29-1,IF(B99=Y100,H29-1,IF(B99=Y101,H29-1,IF(B99=Y102,H29-1,IF(B99=Y103,H29-B57,IF(B99=Y104,H29-B57,IF(B99=Y105,H29-B57,0)))))))))</f>
        <v>34</v>
      </c>
      <c r="C58" s="158"/>
      <c r="D58" s="158"/>
      <c r="E58" s="159"/>
      <c r="F58" s="55"/>
      <c r="G58" s="157" t="s">
        <v>97</v>
      </c>
      <c r="H58" s="158">
        <f>IF(H99=Y97,H29-H57,IF(H99=Y98,H29-H57,IF(H99=Y99,H29-1,IF(H99=Y100,H29-1,IF(H99=Y101,H29-1,IF(H99=Y102,H29-1,IF(H99=Y103,H29-H57,IF(H99=Y104,H29-H57,IF(H99=Y105,H29-H57,0)))))))))</f>
        <v>34</v>
      </c>
      <c r="I58" s="158"/>
      <c r="J58" s="158"/>
      <c r="K58" s="159"/>
      <c r="L58" s="55"/>
      <c r="M58" s="157" t="s">
        <v>97</v>
      </c>
      <c r="N58" s="158">
        <f>IF(N99=Y97,H29-N57,IF(N99=Y98,H29-N57,IF(N99=Y99,H29-1,IF(N99=Y100,H29-1,IF(N99=Y101,H29-1,IF(N99=Y102,H29-1,IF(N99=Y103,H29-N57,IF(N99=Y104,H29-N57,IF(N99=Y105,H29-N57,0)))))))))</f>
        <v>34</v>
      </c>
      <c r="O58" s="158"/>
      <c r="P58" s="158"/>
      <c r="Q58" s="159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157"/>
      <c r="N59" s="158"/>
      <c r="O59" s="158"/>
      <c r="P59" s="158"/>
      <c r="Q59" s="159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 t="s">
        <v>376</v>
      </c>
      <c r="B60" s="158">
        <f>E19</f>
        <v>17199.995999999999</v>
      </c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157"/>
      <c r="N60" s="158"/>
      <c r="O60" s="158"/>
      <c r="P60" s="158"/>
      <c r="Q60" s="159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v>40526</v>
      </c>
      <c r="C61" s="158"/>
      <c r="D61" s="158"/>
      <c r="E61" s="159"/>
      <c r="F61" s="55"/>
      <c r="G61" s="157" t="s">
        <v>27</v>
      </c>
      <c r="H61" s="28">
        <f>G18</f>
        <v>0</v>
      </c>
      <c r="I61" s="158"/>
      <c r="J61" s="158"/>
      <c r="K61" s="159"/>
      <c r="L61" s="55"/>
      <c r="M61" s="157" t="s">
        <v>27</v>
      </c>
      <c r="N61" s="28">
        <f>G18</f>
        <v>0</v>
      </c>
      <c r="O61" s="158"/>
      <c r="P61" s="158"/>
      <c r="Q61" s="159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212" t="s">
        <v>283</v>
      </c>
      <c r="N62" s="213">
        <v>7.0000000000000007E-2</v>
      </c>
      <c r="O62" s="158"/>
      <c r="P62" s="158"/>
      <c r="Q62" s="159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0.10349999999999999</v>
      </c>
      <c r="C63" s="158"/>
      <c r="D63" s="158"/>
      <c r="E63" s="159"/>
      <c r="F63" s="55"/>
      <c r="G63" s="157" t="s">
        <v>284</v>
      </c>
      <c r="H63" s="214">
        <f>H62+(H62*0.25*(H29/12-1))</f>
        <v>0.10354166666666667</v>
      </c>
      <c r="I63" s="158"/>
      <c r="J63" s="158"/>
      <c r="K63" s="159"/>
      <c r="L63" s="55"/>
      <c r="M63" s="157" t="s">
        <v>284</v>
      </c>
      <c r="N63" s="214">
        <f>N62+(N62*0.25*(H29/12-1))</f>
        <v>0.10354166666666667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B60*B63</f>
        <v>1780.1995859999997</v>
      </c>
      <c r="C64" s="306">
        <v>10000</v>
      </c>
      <c r="D64" s="28">
        <f>B64</f>
        <v>1780.1995859999997</v>
      </c>
      <c r="E64" s="307">
        <f>D64/(B58+B57)</f>
        <v>50.862845314285707</v>
      </c>
      <c r="F64" s="55"/>
      <c r="G64" s="206" t="s">
        <v>102</v>
      </c>
      <c r="H64" s="57">
        <f>H61*H63</f>
        <v>0</v>
      </c>
      <c r="I64" s="158"/>
      <c r="J64" s="28">
        <f>H64-G145</f>
        <v>0</v>
      </c>
      <c r="K64" s="159"/>
      <c r="L64" s="55"/>
      <c r="M64" s="206" t="s">
        <v>102</v>
      </c>
      <c r="N64" s="57">
        <f>N61*N63</f>
        <v>0</v>
      </c>
      <c r="O64" s="158"/>
      <c r="P64" s="28">
        <f>N64-M145</f>
        <v>0</v>
      </c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>
        <v>300</v>
      </c>
      <c r="C65" s="158"/>
      <c r="D65" s="28"/>
      <c r="E65" s="159"/>
      <c r="F65" s="55"/>
      <c r="G65" s="212" t="s">
        <v>103</v>
      </c>
      <c r="H65" s="213">
        <v>0.01</v>
      </c>
      <c r="I65" s="158"/>
      <c r="J65" s="158"/>
      <c r="K65" s="159"/>
      <c r="L65" s="55"/>
      <c r="M65" s="212" t="s">
        <v>103</v>
      </c>
      <c r="N65" s="213">
        <v>0.01</v>
      </c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308" t="s">
        <v>233</v>
      </c>
      <c r="D66" s="158"/>
      <c r="E66" s="159"/>
      <c r="F66" s="55"/>
      <c r="G66" s="157" t="s">
        <v>104</v>
      </c>
      <c r="H66" s="214">
        <f>H65+(H65*0.5*(H29/12-1))</f>
        <v>1.9583333333333335E-2</v>
      </c>
      <c r="I66" s="158"/>
      <c r="J66" s="158"/>
      <c r="K66" s="159"/>
      <c r="L66" s="55"/>
      <c r="M66" s="157" t="s">
        <v>104</v>
      </c>
      <c r="N66" s="214">
        <f>N65+(N65*0.5*(H29/12-1))</f>
        <v>1.9583333333333335E-2</v>
      </c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300</v>
      </c>
      <c r="C67" s="309" t="s">
        <v>233</v>
      </c>
      <c r="D67" s="310"/>
      <c r="E67" s="159"/>
      <c r="F67" s="55"/>
      <c r="G67" s="206" t="s">
        <v>105</v>
      </c>
      <c r="H67" s="57">
        <f>(H61*H66)/1.2</f>
        <v>0</v>
      </c>
      <c r="I67" s="158"/>
      <c r="J67" s="28"/>
      <c r="K67" s="159"/>
      <c r="L67" s="55"/>
      <c r="M67" s="206" t="s">
        <v>105</v>
      </c>
      <c r="N67" s="57">
        <f>(N61*N66)/1.2</f>
        <v>0</v>
      </c>
      <c r="O67" s="158"/>
      <c r="P67" s="2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311"/>
      <c r="D68" s="2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212" t="s">
        <v>106</v>
      </c>
      <c r="N68" s="213">
        <v>7.4999999999999997E-3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216" t="s">
        <v>107</v>
      </c>
      <c r="N69" s="217">
        <v>0.12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206" t="s">
        <v>108</v>
      </c>
      <c r="N70" s="312">
        <f>N68*(1+N69)</f>
        <v>8.4000000000000012E-3</v>
      </c>
      <c r="O70" s="158"/>
      <c r="P70" s="158"/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200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212" t="s">
        <v>109</v>
      </c>
      <c r="N71" s="74">
        <v>160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216" t="s">
        <v>110</v>
      </c>
      <c r="N72" s="65">
        <v>4.5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175</v>
      </c>
      <c r="C73" s="158"/>
      <c r="D73" s="313">
        <f>B73+B71</f>
        <v>375</v>
      </c>
      <c r="E73" s="159" t="s">
        <v>239</v>
      </c>
      <c r="F73" s="55"/>
      <c r="G73" s="206" t="s">
        <v>111</v>
      </c>
      <c r="H73" s="57">
        <f>H72*H29</f>
        <v>157.5</v>
      </c>
      <c r="I73" s="158"/>
      <c r="J73" s="28">
        <f>H73+H71</f>
        <v>317.5</v>
      </c>
      <c r="K73" s="159"/>
      <c r="L73" s="55"/>
      <c r="M73" s="206" t="s">
        <v>111</v>
      </c>
      <c r="N73" s="57">
        <f>N72*H29</f>
        <v>157.5</v>
      </c>
      <c r="O73" s="158"/>
      <c r="P73" s="28">
        <f>N73+N71</f>
        <v>317.5</v>
      </c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0</v>
      </c>
      <c r="C74" s="158"/>
      <c r="D74" s="158"/>
      <c r="E74" s="159"/>
      <c r="F74" s="55"/>
      <c r="G74" s="212" t="s">
        <v>285</v>
      </c>
      <c r="H74" s="74">
        <v>165</v>
      </c>
      <c r="I74" s="158"/>
      <c r="J74" s="158"/>
      <c r="K74" s="159"/>
      <c r="L74" s="55"/>
      <c r="M74" s="277" t="s">
        <v>285</v>
      </c>
      <c r="N74" s="278">
        <v>0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0</v>
      </c>
      <c r="C75" s="158"/>
      <c r="D75" s="158"/>
      <c r="E75" s="159"/>
      <c r="F75" s="55"/>
      <c r="G75" s="216" t="s">
        <v>286</v>
      </c>
      <c r="H75" s="65">
        <v>0</v>
      </c>
      <c r="I75" s="158"/>
      <c r="J75" s="158"/>
      <c r="K75" s="159"/>
      <c r="L75" s="55"/>
      <c r="M75" s="279" t="s">
        <v>286</v>
      </c>
      <c r="N75" s="280">
        <v>0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((B74+B75)/12)*(H29+1)</f>
        <v>0</v>
      </c>
      <c r="C76" s="158"/>
      <c r="D76" s="28">
        <f>B76</f>
        <v>0</v>
      </c>
      <c r="E76" s="159"/>
      <c r="F76" s="55"/>
      <c r="G76" s="206" t="s">
        <v>287</v>
      </c>
      <c r="H76" s="57">
        <f>((H74+H75)/12)*(H29-11)</f>
        <v>330</v>
      </c>
      <c r="I76" s="158"/>
      <c r="J76" s="28">
        <f>H76</f>
        <v>330</v>
      </c>
      <c r="K76" s="159"/>
      <c r="L76" s="55"/>
      <c r="M76" s="281" t="s">
        <v>287</v>
      </c>
      <c r="N76" s="282">
        <f>((N74+N75)/12)*(H29-11)</f>
        <v>0</v>
      </c>
      <c r="O76" s="158"/>
      <c r="P76" s="28">
        <f>N76</f>
        <v>0</v>
      </c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09" t="s">
        <v>288</v>
      </c>
      <c r="B77" s="24">
        <f>B102/(1-0.1)</f>
        <v>444.44444444444446</v>
      </c>
      <c r="C77" s="252"/>
      <c r="D77" s="28">
        <f>B77</f>
        <v>444.44444444444446</v>
      </c>
      <c r="E77" s="307">
        <f>D77/(B58+B57)</f>
        <v>12.698412698412699</v>
      </c>
      <c r="F77" s="55"/>
      <c r="G77" s="212" t="s">
        <v>288</v>
      </c>
      <c r="H77" s="74">
        <v>0</v>
      </c>
      <c r="I77" s="158"/>
      <c r="J77" s="28">
        <f>H77</f>
        <v>0</v>
      </c>
      <c r="K77" s="159"/>
      <c r="L77" s="55"/>
      <c r="M77" s="212" t="s">
        <v>288</v>
      </c>
      <c r="N77" s="74">
        <v>0</v>
      </c>
      <c r="O77" s="158"/>
      <c r="P77" s="28">
        <f>N77</f>
        <v>0</v>
      </c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252"/>
      <c r="D78" s="28">
        <f>B78</f>
        <v>222.22222222222223</v>
      </c>
      <c r="E78" s="307"/>
      <c r="F78" s="55"/>
      <c r="G78" s="157" t="s">
        <v>289</v>
      </c>
      <c r="H78" s="29">
        <v>0</v>
      </c>
      <c r="I78" s="158"/>
      <c r="J78" s="28">
        <f>H78</f>
        <v>0</v>
      </c>
      <c r="K78" s="159"/>
      <c r="L78" s="55"/>
      <c r="M78" s="157" t="s">
        <v>289</v>
      </c>
      <c r="N78" s="29">
        <v>0</v>
      </c>
      <c r="O78" s="158"/>
      <c r="P78" s="28">
        <f>N78</f>
        <v>0</v>
      </c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200</v>
      </c>
      <c r="C79" s="252"/>
      <c r="D79" s="28">
        <f>B79</f>
        <v>200</v>
      </c>
      <c r="E79" s="307"/>
      <c r="F79" s="55"/>
      <c r="G79" s="216" t="s">
        <v>112</v>
      </c>
      <c r="H79" s="65">
        <v>200</v>
      </c>
      <c r="I79" s="158"/>
      <c r="J79" s="28">
        <f>H79</f>
        <v>200</v>
      </c>
      <c r="K79" s="159"/>
      <c r="L79" s="55"/>
      <c r="M79" s="216" t="s">
        <v>112</v>
      </c>
      <c r="N79" s="65">
        <v>200</v>
      </c>
      <c r="O79" s="158"/>
      <c r="P79" s="28">
        <f>N79</f>
        <v>200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200</v>
      </c>
      <c r="C80" s="252"/>
      <c r="D80" s="28">
        <f>B80</f>
        <v>200</v>
      </c>
      <c r="E80" s="307">
        <f>(D73+D76+D79+D80)/(B58+B57)</f>
        <v>22.142857142857142</v>
      </c>
      <c r="F80" s="55"/>
      <c r="G80" s="219" t="s">
        <v>113</v>
      </c>
      <c r="H80" s="75">
        <v>200</v>
      </c>
      <c r="I80" s="158"/>
      <c r="J80" s="28">
        <f>H80</f>
        <v>200</v>
      </c>
      <c r="K80" s="159"/>
      <c r="L80" s="55"/>
      <c r="M80" s="219" t="s">
        <v>113</v>
      </c>
      <c r="N80" s="75">
        <v>200</v>
      </c>
      <c r="O80" s="158"/>
      <c r="P80" s="28">
        <f>N80</f>
        <v>200</v>
      </c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3221.8662526666662</v>
      </c>
      <c r="C81" s="252"/>
      <c r="D81" s="314"/>
      <c r="E81" s="307"/>
      <c r="F81" s="55"/>
      <c r="G81" s="220" t="s">
        <v>114</v>
      </c>
      <c r="H81" s="221">
        <f>SUM(J64:J80)</f>
        <v>1047.5</v>
      </c>
      <c r="I81" s="158"/>
      <c r="J81" s="158"/>
      <c r="K81" s="159"/>
      <c r="L81" s="55"/>
      <c r="M81" s="220" t="s">
        <v>114</v>
      </c>
      <c r="N81" s="221">
        <f>SUM(P64:P80)</f>
        <v>717.5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92.053321504761897</v>
      </c>
      <c r="C82" s="252"/>
      <c r="D82" s="158"/>
      <c r="E82" s="307"/>
      <c r="F82" s="55"/>
      <c r="G82" s="157" t="s">
        <v>115</v>
      </c>
      <c r="H82" s="29">
        <f>H81/H29</f>
        <v>29.928571428571427</v>
      </c>
      <c r="I82" s="158"/>
      <c r="J82" s="158"/>
      <c r="K82" s="159"/>
      <c r="L82" s="55"/>
      <c r="M82" s="157" t="s">
        <v>115</v>
      </c>
      <c r="N82" s="29">
        <f>N81/H29</f>
        <v>20.5</v>
      </c>
      <c r="O82" s="158"/>
      <c r="P82" s="158"/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H47</f>
        <v>450.67382589595121</v>
      </c>
      <c r="C83" s="252"/>
      <c r="D83" s="158"/>
      <c r="E83" s="307">
        <f>B83+E80+E77+E64</f>
        <v>536.37794105150681</v>
      </c>
      <c r="F83" s="55"/>
      <c r="G83" s="222" t="s">
        <v>116</v>
      </c>
      <c r="H83" s="52">
        <f>H47</f>
        <v>450.67382589595121</v>
      </c>
      <c r="I83" s="158"/>
      <c r="J83" s="158"/>
      <c r="K83" s="159"/>
      <c r="L83" s="55"/>
      <c r="M83" s="222" t="s">
        <v>116</v>
      </c>
      <c r="N83" s="52">
        <f>H47</f>
        <v>450.67382589595121</v>
      </c>
      <c r="O83" s="158"/>
      <c r="P83" s="158"/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252"/>
      <c r="D84" s="252"/>
      <c r="E84" s="307"/>
      <c r="F84" s="55"/>
      <c r="G84" s="157"/>
      <c r="H84" s="28"/>
      <c r="I84" s="158"/>
      <c r="J84" s="158"/>
      <c r="K84" s="159"/>
      <c r="L84" s="55"/>
      <c r="M84" s="157"/>
      <c r="N84" s="28"/>
      <c r="O84" s="158"/>
      <c r="P84" s="158"/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((B83*H29)+B81)</f>
        <v>18995.450159024957</v>
      </c>
      <c r="C85" s="252"/>
      <c r="D85" s="252"/>
      <c r="E85" s="307">
        <f>B85/(B58+B57)</f>
        <v>542.72714740071308</v>
      </c>
      <c r="F85" s="55"/>
      <c r="G85" s="209" t="s">
        <v>126</v>
      </c>
      <c r="H85" s="24">
        <f>((H83*H29)+H81)*1.2</f>
        <v>20185.300687629948</v>
      </c>
      <c r="I85" s="158"/>
      <c r="J85" s="158"/>
      <c r="K85" s="159"/>
      <c r="L85" s="55"/>
      <c r="M85" s="209" t="s">
        <v>126</v>
      </c>
      <c r="N85" s="24">
        <f>((N83*H29)+N81)</f>
        <v>16491.08390635829</v>
      </c>
      <c r="O85" s="158"/>
      <c r="P85" s="158"/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(((B83*H29)+B81)/(1-B70))*B70</f>
        <v>160.91345435236954</v>
      </c>
      <c r="C86" s="252" t="s">
        <v>242</v>
      </c>
      <c r="D86" s="158"/>
      <c r="E86" s="307">
        <f>B86/(B58+B57)</f>
        <v>4.597527267210558</v>
      </c>
      <c r="F86" s="55"/>
      <c r="G86" s="157" t="s">
        <v>127</v>
      </c>
      <c r="H86" s="29">
        <f>((((H83*H29)+H81))/(1-H70))*H70</f>
        <v>142.49405487435422</v>
      </c>
      <c r="I86" s="158"/>
      <c r="J86" s="158"/>
      <c r="K86" s="159"/>
      <c r="L86" s="55"/>
      <c r="M86" s="157" t="s">
        <v>127</v>
      </c>
      <c r="N86" s="29">
        <f>(N85/(1-N70))*N70</f>
        <v>139.69857282514081</v>
      </c>
      <c r="O86" s="158"/>
      <c r="P86" s="158"/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19156.363613377325</v>
      </c>
      <c r="C87" s="252"/>
      <c r="D87" s="315"/>
      <c r="E87" s="307">
        <f>E86+E85</f>
        <v>547.32467466792366</v>
      </c>
      <c r="F87" s="55"/>
      <c r="G87" s="206" t="s">
        <v>128</v>
      </c>
      <c r="H87" s="57">
        <f>IF(H110="YES",((H85+H86)-K114),(H85+H86))</f>
        <v>20327.794742504302</v>
      </c>
      <c r="I87" s="158"/>
      <c r="J87" s="158"/>
      <c r="K87" s="159"/>
      <c r="L87" s="55"/>
      <c r="M87" s="206" t="s">
        <v>128</v>
      </c>
      <c r="N87" s="57">
        <f>IF(N110="YES",((N85+N86)-Q114),(N85+N86))</f>
        <v>16630.782479183432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252"/>
      <c r="D88" s="158"/>
      <c r="E88" s="307"/>
      <c r="F88" s="55"/>
      <c r="G88" s="157"/>
      <c r="H88" s="28"/>
      <c r="I88" s="158"/>
      <c r="J88" s="158"/>
      <c r="K88" s="159"/>
      <c r="L88" s="55"/>
      <c r="M88" s="157"/>
      <c r="N88" s="28"/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1">
        <f>IF(B99=Y98,(I32+(I32*B105))/(B58),(I32+(I32*B105))/(B57+B58))*(C45/100)</f>
        <v>0</v>
      </c>
      <c r="C89" s="252"/>
      <c r="D89" s="158"/>
      <c r="E89" s="159"/>
      <c r="F89" s="55"/>
      <c r="G89" s="220" t="s">
        <v>129</v>
      </c>
      <c r="H89" s="221">
        <f>IF(H99=Y98,(D40+(D40*H105))/(H58),(D40+(D40*H105))/(H57+H58))*1.2</f>
        <v>0</v>
      </c>
      <c r="I89" s="158"/>
      <c r="J89" s="158"/>
      <c r="K89" s="159"/>
      <c r="L89" s="55"/>
      <c r="M89" s="220" t="s">
        <v>129</v>
      </c>
      <c r="N89" s="221">
        <f>IF(N99=Y98,(D40+(D40*N105))/(N58),(D40+(D40*N105))/(N57+N58))</f>
        <v>0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IF(B99=Y98,(B87-D105)/(B58),B87/(B57+B58))</f>
        <v>547.32467466792355</v>
      </c>
      <c r="C90" s="252"/>
      <c r="D90" s="158"/>
      <c r="E90" s="316"/>
      <c r="F90" s="55"/>
      <c r="G90" s="224" t="s">
        <v>130</v>
      </c>
      <c r="H90" s="225">
        <f>IF(H99=Y98,(H87-J105)/(H58),H87/(H57+H58))</f>
        <v>508.19486856260755</v>
      </c>
      <c r="I90" s="158"/>
      <c r="J90" s="158"/>
      <c r="K90" s="159"/>
      <c r="L90" s="55"/>
      <c r="M90" s="224" t="s">
        <v>130</v>
      </c>
      <c r="N90" s="225">
        <f>IF(N99=Y98,(N87-P105)/(N58),N87/(N57+N58))</f>
        <v>415.76956197958577</v>
      </c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547.32467466792355</v>
      </c>
      <c r="C91" s="252"/>
      <c r="D91" s="317"/>
      <c r="E91" s="274"/>
      <c r="F91" s="55"/>
      <c r="G91" s="226" t="s">
        <v>131</v>
      </c>
      <c r="H91" s="227">
        <f>IF(G105="YES",H90+H89,H90)</f>
        <v>508.19486856260755</v>
      </c>
      <c r="I91" s="158"/>
      <c r="J91" s="158"/>
      <c r="K91" s="159"/>
      <c r="L91" s="55"/>
      <c r="M91" s="226" t="s">
        <v>131</v>
      </c>
      <c r="N91" s="227">
        <f>IF(M105="YES",N90+N89,N90)</f>
        <v>415.76956197958577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50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206"/>
      <c r="N92" s="207"/>
      <c r="O92" s="207"/>
      <c r="P92" s="207"/>
      <c r="Q92" s="208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158"/>
      <c r="N93" s="158"/>
      <c r="O93" s="158"/>
      <c r="P93" s="158"/>
      <c r="Q93" s="158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56.25" customHeight="1">
      <c r="A94" s="376" t="s">
        <v>338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376" t="s">
        <v>345</v>
      </c>
      <c r="N94" s="376"/>
      <c r="O94" s="376"/>
      <c r="P94" s="376"/>
      <c r="Q94" s="376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 t="s">
        <v>377</v>
      </c>
      <c r="F95" s="55"/>
      <c r="G95" s="157"/>
      <c r="H95" s="158"/>
      <c r="I95" s="158"/>
      <c r="J95" s="158"/>
      <c r="K95" s="159"/>
      <c r="L95" s="55"/>
      <c r="M95" s="157"/>
      <c r="N95" s="158"/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377" t="s">
        <v>136</v>
      </c>
      <c r="N96" s="377"/>
      <c r="O96" s="377"/>
      <c r="P96" s="377"/>
      <c r="Q96" s="377"/>
      <c r="R96" s="55"/>
      <c r="S96" s="55"/>
      <c r="T96" s="55"/>
      <c r="U96" s="55"/>
      <c r="V96" s="55"/>
      <c r="W96" s="55"/>
      <c r="X96" s="55"/>
      <c r="Y96" s="55"/>
      <c r="Z96" s="55"/>
    </row>
    <row r="97" spans="1:29" ht="18.75" customHeight="1">
      <c r="A97" s="157"/>
      <c r="B97" s="406"/>
      <c r="C97" s="406"/>
      <c r="D97" s="158"/>
      <c r="E97" s="159"/>
      <c r="F97" s="55"/>
      <c r="G97" s="157"/>
      <c r="H97" s="158"/>
      <c r="I97" s="158"/>
      <c r="J97" s="158"/>
      <c r="K97" s="159"/>
      <c r="L97" s="55"/>
      <c r="M97" s="157"/>
      <c r="N97" s="158"/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 t="s">
        <v>140</v>
      </c>
      <c r="Z97" s="55"/>
      <c r="AC97" s="55"/>
    </row>
    <row r="98" spans="1:29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157" t="s">
        <v>137</v>
      </c>
      <c r="N98" s="158" t="s">
        <v>36</v>
      </c>
      <c r="O98" s="158"/>
      <c r="P98" s="158" t="s">
        <v>291</v>
      </c>
      <c r="Q98" s="159"/>
      <c r="R98" s="55"/>
      <c r="S98" s="55"/>
      <c r="T98" s="55"/>
      <c r="U98" s="55"/>
      <c r="V98" s="55"/>
      <c r="W98" s="55"/>
      <c r="X98" s="55"/>
      <c r="Y98" s="55" t="s">
        <v>270</v>
      </c>
      <c r="Z98" s="55"/>
    </row>
    <row r="99" spans="1:29" ht="18.75" customHeight="1">
      <c r="A99" s="162" t="s">
        <v>292</v>
      </c>
      <c r="B99" s="395" t="s">
        <v>140</v>
      </c>
      <c r="C99" s="395"/>
      <c r="D99" s="348">
        <v>1000</v>
      </c>
      <c r="E99" s="348"/>
      <c r="F99" s="55"/>
      <c r="G99" s="162" t="s">
        <v>292</v>
      </c>
      <c r="H99" s="395" t="s">
        <v>272</v>
      </c>
      <c r="I99" s="395"/>
      <c r="J99" s="348">
        <v>0</v>
      </c>
      <c r="K99" s="348"/>
      <c r="L99" s="55"/>
      <c r="M99" s="162" t="s">
        <v>292</v>
      </c>
      <c r="N99" s="395" t="s">
        <v>272</v>
      </c>
      <c r="O99" s="395"/>
      <c r="P99" s="348">
        <v>0</v>
      </c>
      <c r="Q99" s="348"/>
      <c r="R99" s="55"/>
      <c r="S99" s="55"/>
      <c r="T99" s="55"/>
      <c r="U99" s="55"/>
      <c r="V99" s="55"/>
      <c r="W99" s="55"/>
      <c r="X99" s="55"/>
      <c r="Y99" s="55" t="s">
        <v>271</v>
      </c>
      <c r="Z99" s="55"/>
    </row>
    <row r="100" spans="1:29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157"/>
      <c r="N100" s="158"/>
      <c r="O100" s="158"/>
      <c r="P100" s="158"/>
      <c r="Q100" s="159"/>
      <c r="R100" s="55"/>
      <c r="S100" s="55"/>
      <c r="T100" s="55"/>
      <c r="U100" s="55"/>
      <c r="V100" s="55"/>
      <c r="W100" s="55"/>
      <c r="X100" s="55"/>
      <c r="Y100" s="55" t="s">
        <v>272</v>
      </c>
      <c r="Z100" s="55"/>
    </row>
    <row r="101" spans="1:29" ht="18.75" customHeight="1">
      <c r="A101" s="157" t="s">
        <v>293</v>
      </c>
      <c r="B101" s="158" t="s">
        <v>294</v>
      </c>
      <c r="C101" s="158"/>
      <c r="D101" s="158" t="s">
        <v>378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157" t="s">
        <v>293</v>
      </c>
      <c r="N101" s="158" t="s">
        <v>294</v>
      </c>
      <c r="O101" s="158"/>
      <c r="P101" s="158" t="s">
        <v>295</v>
      </c>
      <c r="Q101" s="159"/>
      <c r="R101" s="55"/>
      <c r="S101" s="55"/>
      <c r="T101" s="55"/>
      <c r="U101" s="55"/>
      <c r="V101" s="55"/>
      <c r="W101" s="55"/>
      <c r="X101" s="55"/>
      <c r="Y101" s="55" t="s">
        <v>273</v>
      </c>
      <c r="Z101" s="55"/>
    </row>
    <row r="102" spans="1:29" ht="18.75" customHeight="1">
      <c r="A102" s="228">
        <v>750</v>
      </c>
      <c r="B102" s="348">
        <v>400</v>
      </c>
      <c r="C102" s="348"/>
      <c r="D102" s="348">
        <v>200</v>
      </c>
      <c r="E102" s="348"/>
      <c r="F102" s="55"/>
      <c r="G102" s="228">
        <v>199.99</v>
      </c>
      <c r="H102" s="348">
        <v>0</v>
      </c>
      <c r="I102" s="348"/>
      <c r="J102" s="348">
        <v>0</v>
      </c>
      <c r="K102" s="348"/>
      <c r="L102" s="55"/>
      <c r="M102" s="228">
        <v>199.99</v>
      </c>
      <c r="N102" s="348">
        <v>0</v>
      </c>
      <c r="O102" s="348"/>
      <c r="P102" s="348">
        <v>0</v>
      </c>
      <c r="Q102" s="348"/>
      <c r="R102" s="55"/>
      <c r="S102" s="55"/>
      <c r="T102" s="55"/>
      <c r="U102" s="55"/>
      <c r="V102" s="55"/>
      <c r="W102" s="55"/>
      <c r="X102" s="55"/>
      <c r="Y102" s="55" t="s">
        <v>274</v>
      </c>
      <c r="Z102" s="55"/>
    </row>
    <row r="103" spans="1:29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 t="s">
        <v>275</v>
      </c>
      <c r="Z103" s="55"/>
    </row>
    <row r="104" spans="1:29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162" t="s">
        <v>138</v>
      </c>
      <c r="N104" s="55" t="s">
        <v>141</v>
      </c>
      <c r="O104" s="158"/>
      <c r="P104" s="158" t="s">
        <v>152</v>
      </c>
      <c r="Q104" s="159"/>
      <c r="R104" s="55"/>
      <c r="S104" s="55"/>
      <c r="T104" s="55"/>
      <c r="U104" s="55"/>
      <c r="V104" s="55"/>
      <c r="W104" s="55"/>
      <c r="X104" s="55"/>
      <c r="Y104" s="55" t="s">
        <v>276</v>
      </c>
      <c r="Z104" s="55"/>
    </row>
    <row r="105" spans="1:29" ht="18.75" customHeight="1">
      <c r="A105" s="164" t="s">
        <v>385</v>
      </c>
      <c r="B105" s="396">
        <v>0.2</v>
      </c>
      <c r="C105" s="396"/>
      <c r="D105" s="348">
        <v>200</v>
      </c>
      <c r="E105" s="348"/>
      <c r="F105" s="55"/>
      <c r="G105" s="164" t="s">
        <v>31</v>
      </c>
      <c r="H105" s="396">
        <v>0.2</v>
      </c>
      <c r="I105" s="396"/>
      <c r="J105" s="348"/>
      <c r="K105" s="348"/>
      <c r="L105" s="55"/>
      <c r="M105" s="164" t="s">
        <v>31</v>
      </c>
      <c r="N105" s="396">
        <v>0.2</v>
      </c>
      <c r="O105" s="396"/>
      <c r="P105" s="348">
        <v>0</v>
      </c>
      <c r="Q105" s="348"/>
      <c r="R105" s="55"/>
      <c r="S105" s="55"/>
      <c r="T105" s="55"/>
      <c r="U105" s="55"/>
      <c r="V105" s="55"/>
      <c r="W105" s="55"/>
      <c r="X105" s="55"/>
      <c r="Y105" s="55" t="s">
        <v>277</v>
      </c>
      <c r="Z105" s="55"/>
    </row>
    <row r="106" spans="1:29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9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157"/>
      <c r="N107" s="158" t="s">
        <v>346</v>
      </c>
      <c r="O107" s="164" t="s">
        <v>31</v>
      </c>
      <c r="P107" s="158"/>
      <c r="Q107" s="159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9" ht="18.75" customHeight="1">
      <c r="A108" s="377">
        <v>199.99</v>
      </c>
      <c r="B108" s="377">
        <v>0</v>
      </c>
      <c r="C108" s="377"/>
      <c r="D108" s="377"/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377" t="s">
        <v>296</v>
      </c>
      <c r="N108" s="377"/>
      <c r="O108" s="377"/>
      <c r="P108" s="377"/>
      <c r="Q108" s="377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9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9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157" t="s">
        <v>297</v>
      </c>
      <c r="N110" s="164" t="s">
        <v>32</v>
      </c>
      <c r="O110" s="158"/>
      <c r="P110" s="158"/>
      <c r="Q110" s="159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9" ht="18.75" customHeight="1">
      <c r="A111" s="157" t="s">
        <v>32</v>
      </c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157"/>
      <c r="N111" s="158"/>
      <c r="O111" s="158"/>
      <c r="P111" s="158"/>
      <c r="Q111" s="159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9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0</v>
      </c>
      <c r="K112" s="92">
        <v>0</v>
      </c>
      <c r="L112" s="55"/>
      <c r="M112" s="157" t="s">
        <v>185</v>
      </c>
      <c r="N112" s="158"/>
      <c r="O112" s="158"/>
      <c r="P112" s="228">
        <v>500</v>
      </c>
      <c r="Q112" s="92">
        <v>300</v>
      </c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0</v>
      </c>
      <c r="K113" s="92">
        <v>0</v>
      </c>
      <c r="L113" s="55"/>
      <c r="M113" s="157" t="s">
        <v>186</v>
      </c>
      <c r="N113" s="158"/>
      <c r="O113" s="158"/>
      <c r="P113" s="35">
        <f>Q113</f>
        <v>100</v>
      </c>
      <c r="Q113" s="92">
        <v>100</v>
      </c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0</v>
      </c>
      <c r="K114" s="127">
        <f>K112-K113</f>
        <v>0</v>
      </c>
      <c r="L114" s="55"/>
      <c r="M114" s="157" t="s">
        <v>187</v>
      </c>
      <c r="N114" s="158"/>
      <c r="O114" s="158"/>
      <c r="P114" s="35">
        <f>P112-P113</f>
        <v>400</v>
      </c>
      <c r="Q114" s="127">
        <f>Q112-Q113</f>
        <v>200</v>
      </c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0</v>
      </c>
      <c r="K115" s="159"/>
      <c r="L115" s="55"/>
      <c r="M115" s="157" t="s">
        <v>188</v>
      </c>
      <c r="N115" s="158"/>
      <c r="O115" s="158"/>
      <c r="P115" s="35">
        <f>P114-Q114</f>
        <v>200</v>
      </c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157"/>
      <c r="N116" s="158"/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v>1000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209" t="s">
        <v>148</v>
      </c>
      <c r="N117" s="210"/>
      <c r="O117" s="210"/>
      <c r="P117" s="210"/>
      <c r="Q117" s="24">
        <f>P99</f>
        <v>0</v>
      </c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v>199.99</v>
      </c>
      <c r="F118" s="55"/>
      <c r="G118" s="157" t="s">
        <v>66</v>
      </c>
      <c r="H118" s="158"/>
      <c r="I118" s="158"/>
      <c r="J118" s="158"/>
      <c r="K118" s="29">
        <f>G102</f>
        <v>199.99</v>
      </c>
      <c r="L118" s="55"/>
      <c r="M118" s="157" t="s">
        <v>66</v>
      </c>
      <c r="N118" s="158"/>
      <c r="O118" s="158"/>
      <c r="P118" s="158"/>
      <c r="Q118" s="29">
        <f>M102</f>
        <v>199.99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(E118*1.2)+E117-E114</f>
        <v>1239.9880000000001</v>
      </c>
      <c r="F119" s="55"/>
      <c r="G119" s="229" t="s">
        <v>298</v>
      </c>
      <c r="H119" s="207"/>
      <c r="I119" s="207"/>
      <c r="J119" s="207"/>
      <c r="K119" s="57">
        <f>((K118/1.2)+K117)-(J115-K113)</f>
        <v>166.65833333333336</v>
      </c>
      <c r="L119" s="55"/>
      <c r="M119" s="229" t="s">
        <v>298</v>
      </c>
      <c r="N119" s="207"/>
      <c r="O119" s="207"/>
      <c r="P119" s="207"/>
      <c r="Q119" s="57">
        <f>(Q118+Q117)-P115</f>
        <v>-9.9999999999909051E-3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157"/>
      <c r="N120" s="158"/>
      <c r="O120" s="158"/>
      <c r="P120" s="158"/>
      <c r="Q120" s="159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157"/>
      <c r="N121" s="158"/>
      <c r="O121" s="158"/>
      <c r="P121" s="158"/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377" t="s">
        <v>299</v>
      </c>
      <c r="N122" s="377"/>
      <c r="O122" s="377"/>
      <c r="P122" s="377"/>
      <c r="Q122" s="377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157"/>
      <c r="N123" s="158"/>
      <c r="O123" s="158"/>
      <c r="P123" s="158"/>
      <c r="Q123" s="159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157" t="s">
        <v>193</v>
      </c>
      <c r="N124" s="368">
        <v>0</v>
      </c>
      <c r="O124" s="368"/>
      <c r="P124" s="158"/>
      <c r="Q124" s="159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35</v>
      </c>
      <c r="C125" s="236"/>
      <c r="D125" s="235">
        <f>B160</f>
        <v>35000</v>
      </c>
      <c r="E125" s="233"/>
      <c r="F125" s="55"/>
      <c r="G125" s="157"/>
      <c r="H125" s="158"/>
      <c r="I125" s="158"/>
      <c r="J125" s="158"/>
      <c r="K125" s="159"/>
      <c r="L125" s="55"/>
      <c r="M125" s="157"/>
      <c r="N125" s="158"/>
      <c r="O125" s="158"/>
      <c r="P125" s="158"/>
      <c r="Q125" s="159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238" t="s">
        <v>302</v>
      </c>
      <c r="H126" s="239" t="s">
        <v>303</v>
      </c>
      <c r="I126" s="239"/>
      <c r="J126" s="239" t="s">
        <v>304</v>
      </c>
      <c r="K126" s="159"/>
      <c r="L126" s="55"/>
      <c r="M126" s="238" t="s">
        <v>347</v>
      </c>
      <c r="N126" s="239" t="s">
        <v>259</v>
      </c>
      <c r="O126" s="239"/>
      <c r="P126" s="239" t="s">
        <v>131</v>
      </c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242">
        <f>H90</f>
        <v>508.19486856260755</v>
      </c>
      <c r="H127" s="133">
        <f>IF(G105="YES",H89*H57,0)</f>
        <v>0</v>
      </c>
      <c r="I127" s="133"/>
      <c r="J127" s="243">
        <f>H91</f>
        <v>508.19486856260755</v>
      </c>
      <c r="K127" s="159"/>
      <c r="L127" s="55"/>
      <c r="M127" s="242">
        <f>N90</f>
        <v>415.76956197958577</v>
      </c>
      <c r="N127" s="133">
        <f>IF(M105="YES",N89*N57,0)</f>
        <v>0</v>
      </c>
      <c r="O127" s="133"/>
      <c r="P127" s="133">
        <f>N91</f>
        <v>415.76956197958577</v>
      </c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547.32467466792355</v>
      </c>
      <c r="B128" s="232">
        <f>IF(A105="YES",B89,0)</f>
        <v>0</v>
      </c>
      <c r="C128" s="236"/>
      <c r="D128" s="232">
        <f>B91</f>
        <v>547.32467466792355</v>
      </c>
      <c r="E128" s="233"/>
      <c r="F128" s="55"/>
      <c r="G128" s="157"/>
      <c r="H128" s="158"/>
      <c r="I128" s="158"/>
      <c r="J128" s="158"/>
      <c r="K128" s="159"/>
      <c r="L128" s="55"/>
      <c r="M128" s="157"/>
      <c r="N128" s="158"/>
      <c r="O128" s="158"/>
      <c r="P128" s="158"/>
      <c r="Q128" s="159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 t="s">
        <v>94</v>
      </c>
      <c r="H129" s="158" t="s">
        <v>95</v>
      </c>
      <c r="I129" s="158"/>
      <c r="J129" s="158" t="s">
        <v>97</v>
      </c>
      <c r="K129" s="159"/>
      <c r="L129" s="55"/>
      <c r="M129" s="157" t="s">
        <v>94</v>
      </c>
      <c r="N129" s="158" t="s">
        <v>95</v>
      </c>
      <c r="O129" s="158"/>
      <c r="P129" s="158" t="s">
        <v>97</v>
      </c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169">
        <f>G152</f>
        <v>35</v>
      </c>
      <c r="H130" s="170">
        <f>B151</f>
        <v>0</v>
      </c>
      <c r="I130" s="171"/>
      <c r="J130" s="170">
        <f>B58</f>
        <v>34</v>
      </c>
      <c r="K130" s="159"/>
      <c r="L130" s="55"/>
      <c r="M130" s="169">
        <f>M155</f>
        <v>35</v>
      </c>
      <c r="N130" s="170">
        <f>B151</f>
        <v>0</v>
      </c>
      <c r="O130" s="171"/>
      <c r="P130" s="170">
        <f>B58</f>
        <v>34</v>
      </c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44" t="str">
        <f>B99</f>
        <v xml:space="preserve"> Monthly in advance </v>
      </c>
      <c r="B131" s="34">
        <f>B90*B57</f>
        <v>547.32467466792355</v>
      </c>
      <c r="C131" s="158"/>
      <c r="D131" s="34">
        <f>IF(A105="YES",B89*B57,0)</f>
        <v>0</v>
      </c>
      <c r="E131" s="159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157" t="s">
        <v>348</v>
      </c>
      <c r="N132" s="158" t="s">
        <v>251</v>
      </c>
      <c r="O132" s="158"/>
      <c r="P132" s="158" t="s">
        <v>254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3049.1692113756453</v>
      </c>
      <c r="H133" s="34">
        <f>IF(G105="YES",H89*H57,0)</f>
        <v>0</v>
      </c>
      <c r="I133" s="163"/>
      <c r="J133" s="137">
        <f>H91*H57</f>
        <v>3049.1692113756453</v>
      </c>
      <c r="K133" s="159"/>
      <c r="L133" s="55"/>
      <c r="M133" s="138">
        <f>N90*N57</f>
        <v>2494.6173718775144</v>
      </c>
      <c r="N133" s="34">
        <f>IF(M105="YES",N89*N57,0)</f>
        <v>0</v>
      </c>
      <c r="O133" s="163"/>
      <c r="P133" s="137">
        <f>N91*N57</f>
        <v>2494.6173718775144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94">
        <f>B91*B57</f>
        <v>547.32467466792355</v>
      </c>
      <c r="B134" s="34">
        <f>E114</f>
        <v>0</v>
      </c>
      <c r="C134" s="158"/>
      <c r="D134" s="245">
        <f>B58</f>
        <v>34</v>
      </c>
      <c r="E134" s="159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157" t="s">
        <v>261</v>
      </c>
      <c r="N135" s="158" t="s">
        <v>262</v>
      </c>
      <c r="O135" s="158"/>
      <c r="P135" s="158" t="s">
        <v>266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</v>
      </c>
      <c r="H136" s="34">
        <f>IF(G105="YES",E15*0.000002,0)</f>
        <v>0</v>
      </c>
      <c r="I136" s="34"/>
      <c r="J136" s="34">
        <f>G136+H136</f>
        <v>0</v>
      </c>
      <c r="K136" s="90"/>
      <c r="L136" s="55"/>
      <c r="M136" s="94">
        <f>E15*0.000006</f>
        <v>0</v>
      </c>
      <c r="N136" s="34">
        <f>IF(M105="YES",E15*0.000002,0)</f>
        <v>0</v>
      </c>
      <c r="O136" s="34"/>
      <c r="P136" s="34">
        <f>M136+N136</f>
        <v>0</v>
      </c>
      <c r="Q136" s="90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94">
        <f>B90</f>
        <v>547.32467466792355</v>
      </c>
      <c r="B137" s="34">
        <f>IF(A105="YES",B89,0)</f>
        <v>0</v>
      </c>
      <c r="C137" s="158"/>
      <c r="D137" s="34">
        <f>B91</f>
        <v>547.32467466792355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157" t="s">
        <v>151</v>
      </c>
      <c r="N138" s="158" t="s">
        <v>316</v>
      </c>
      <c r="O138" s="158"/>
      <c r="P138" s="158" t="s">
        <v>317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199.99</v>
      </c>
      <c r="H139" s="34">
        <f>H67</f>
        <v>0</v>
      </c>
      <c r="I139" s="34"/>
      <c r="J139" s="34">
        <f>H102*0.9</f>
        <v>0</v>
      </c>
      <c r="K139" s="90"/>
      <c r="L139" s="55"/>
      <c r="M139" s="94">
        <f>M102</f>
        <v>199.99</v>
      </c>
      <c r="N139" s="34">
        <f>N67</f>
        <v>0</v>
      </c>
      <c r="O139" s="34"/>
      <c r="P139" s="34">
        <f>N102*0.9</f>
        <v>0</v>
      </c>
      <c r="Q139" s="90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250">
        <f>(B61*0.000006)*100</f>
        <v>24.3156</v>
      </c>
      <c r="B140" s="251">
        <f>IF(A105="YES",B61*0.000002,0)*100</f>
        <v>8.1052</v>
      </c>
      <c r="C140" s="252"/>
      <c r="D140" s="251">
        <f>A140+B140</f>
        <v>32.4208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157" t="s">
        <v>319</v>
      </c>
      <c r="N141" s="158" t="s">
        <v>320</v>
      </c>
      <c r="O141" s="158"/>
      <c r="P141" s="158" t="s">
        <v>321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IF(G105="YES",((B36*H105)*0.1)*(G130),0)</f>
        <v>0</v>
      </c>
      <c r="H142" s="34">
        <f>G102-100</f>
        <v>99.990000000000009</v>
      </c>
      <c r="I142" s="34"/>
      <c r="J142" s="34" t="e">
        <f>(H139+J139+G142+H142)-H145</f>
        <v>#DIV/0!</v>
      </c>
      <c r="K142" s="90"/>
      <c r="L142" s="55"/>
      <c r="M142" s="94">
        <f>IF(M105="YES",((B36*N105)*0.1)*(M130),0)</f>
        <v>0</v>
      </c>
      <c r="N142" s="34">
        <f>M102-100</f>
        <v>99.990000000000009</v>
      </c>
      <c r="O142" s="34"/>
      <c r="P142" s="34" t="e">
        <f>(N139+P139+M142+N142)-N145</f>
        <v>#DIV/0!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v>0</v>
      </c>
      <c r="B143" s="34">
        <f>E118</f>
        <v>199.99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157" t="s">
        <v>323</v>
      </c>
      <c r="N144" s="158" t="s">
        <v>324</v>
      </c>
      <c r="O144" s="158"/>
      <c r="P144" s="158"/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v>0</v>
      </c>
      <c r="H145" s="34" t="e">
        <f>(H139+J139+G142+H142)*(G145/H64)</f>
        <v>#DIV/0!</v>
      </c>
      <c r="I145" s="158"/>
      <c r="J145" s="158"/>
      <c r="K145" s="159"/>
      <c r="L145" s="55"/>
      <c r="M145" s="94">
        <v>0</v>
      </c>
      <c r="N145" s="34" t="e">
        <f>(N139+P139+M142+N142)*(M145/N64)</f>
        <v>#DIV/0!</v>
      </c>
      <c r="O145" s="158"/>
      <c r="P145" s="158"/>
      <c r="Q145" s="159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94"/>
      <c r="N146" s="34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3" t="s">
        <v>349</v>
      </c>
      <c r="N147" s="35" t="s">
        <v>350</v>
      </c>
      <c r="O147" s="158"/>
      <c r="P147" s="158"/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300</v>
      </c>
      <c r="B148" s="34">
        <f>B102</f>
        <v>400</v>
      </c>
      <c r="C148" s="34"/>
      <c r="D148" s="34">
        <f>IF(A105="YES",(B40*B105)*B125,0)*0.1</f>
        <v>0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285">
        <v>18000</v>
      </c>
      <c r="N148" s="400">
        <v>0.99</v>
      </c>
      <c r="O148" s="400"/>
      <c r="P148" s="158"/>
      <c r="Q148" s="159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157"/>
      <c r="N150" s="158"/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225</v>
      </c>
      <c r="B151" s="34">
        <f>(A148+B148+D148+A151)*(A143/B64)</f>
        <v>0</v>
      </c>
      <c r="C151" s="34"/>
      <c r="D151" s="34">
        <f>(A148+B148+D148+A151)-B151-A154</f>
        <v>725</v>
      </c>
      <c r="E151" s="90"/>
      <c r="F151" s="55"/>
      <c r="G151" s="387"/>
      <c r="H151" s="389">
        <f>B51</f>
        <v>35000</v>
      </c>
      <c r="I151" s="389"/>
      <c r="J151" s="158"/>
      <c r="K151" s="159"/>
      <c r="L151" s="55"/>
      <c r="M151" s="202" t="s">
        <v>329</v>
      </c>
      <c r="N151" s="158"/>
      <c r="O151" s="158"/>
      <c r="P151" s="203"/>
      <c r="Q151" s="204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35</v>
      </c>
      <c r="H152" s="343">
        <f>H91</f>
        <v>508.19486856260755</v>
      </c>
      <c r="I152" s="343"/>
      <c r="J152" s="158"/>
      <c r="K152" s="159"/>
      <c r="L152" s="55"/>
      <c r="M152" s="157"/>
      <c r="N152" s="183"/>
      <c r="O152" s="183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387" t="s">
        <v>94</v>
      </c>
      <c r="N153" s="388" t="s">
        <v>95</v>
      </c>
      <c r="O153" s="38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387"/>
      <c r="N154" s="389">
        <f>B51</f>
        <v>35000</v>
      </c>
      <c r="O154" s="389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185">
        <f>A52</f>
        <v>35</v>
      </c>
      <c r="N155" s="343">
        <f>N91</f>
        <v>415.76956197958577</v>
      </c>
      <c r="O155" s="343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157"/>
      <c r="N157" s="158"/>
      <c r="O157" s="158"/>
      <c r="P157" s="158"/>
      <c r="Q157" s="159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157"/>
      <c r="N158" s="158"/>
      <c r="O158" s="158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157"/>
      <c r="N159" s="158"/>
      <c r="O159" s="15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35000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157"/>
      <c r="N160" s="158"/>
      <c r="O160" s="158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35</v>
      </c>
      <c r="B161" s="343">
        <f>B91</f>
        <v>547.32467466792355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157"/>
      <c r="N161" s="158"/>
      <c r="O161" s="158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206"/>
      <c r="N162" s="207"/>
      <c r="O162" s="207"/>
      <c r="P162" s="207"/>
      <c r="Q162" s="208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157"/>
      <c r="B165" s="158"/>
      <c r="C165" s="158"/>
      <c r="D165" s="158"/>
      <c r="E165" s="159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206"/>
      <c r="B166" s="207"/>
      <c r="C166" s="207"/>
      <c r="D166" s="207"/>
      <c r="E166" s="208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35">
        <f>A161</f>
        <v>35</v>
      </c>
      <c r="C174" s="236"/>
      <c r="D174" s="235">
        <f>D125</f>
        <v>35000</v>
      </c>
      <c r="E174" s="233"/>
      <c r="F174" s="55"/>
      <c r="G174" s="273" t="s">
        <v>379</v>
      </c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B90</f>
        <v>547.32467466792355</v>
      </c>
      <c r="B177" s="232">
        <f>IF(A105="YES",B89,0)</f>
        <v>0</v>
      </c>
      <c r="C177" s="236"/>
      <c r="D177" s="232">
        <f>B91</f>
        <v>547.32467466792355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B99</f>
        <v xml:space="preserve"> Monthly in advance </v>
      </c>
      <c r="B180" s="34">
        <f>B90*B57</f>
        <v>547.32467466792355</v>
      </c>
      <c r="C180" s="158"/>
      <c r="D180" s="34">
        <f>IF(A105="YES",B89*B57,0)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B91*B57</f>
        <v>547.32467466792355</v>
      </c>
      <c r="B183" s="34">
        <f>E114</f>
        <v>0</v>
      </c>
      <c r="C183" s="158"/>
      <c r="D183" s="245">
        <f>B58</f>
        <v>34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B90</f>
        <v>547.32467466792355</v>
      </c>
      <c r="B186" s="34">
        <f>IF(A105="YES",B89,0)</f>
        <v>0</v>
      </c>
      <c r="C186" s="158"/>
      <c r="D186" s="34">
        <f>B91</f>
        <v>547.32467466792355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A140</f>
        <v>24.3156</v>
      </c>
      <c r="B189" s="251">
        <f>B140</f>
        <v>8.1052</v>
      </c>
      <c r="C189" s="252"/>
      <c r="D189" s="251">
        <f>A189+B189</f>
        <v>32.4208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E118</f>
        <v>199.99</v>
      </c>
      <c r="C192" s="158"/>
      <c r="D192" s="119">
        <f>B102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B67</f>
        <v>300</v>
      </c>
      <c r="B197" s="34">
        <f>B102</f>
        <v>400</v>
      </c>
      <c r="C197" s="34"/>
      <c r="D197" s="34">
        <f>IF(A105="YES",(B40*B105)*B125,0)*0.1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A151</f>
        <v>225</v>
      </c>
      <c r="B200" s="34">
        <f>(A148+B148+D148+A151)*(A143/B64)</f>
        <v>0</v>
      </c>
      <c r="C200" s="34"/>
      <c r="D200" s="34">
        <f>D151</f>
        <v>725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D102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6.5000000000000002E-2</v>
      </c>
      <c r="C209" s="232" t="s">
        <v>227</v>
      </c>
      <c r="D209" s="261">
        <f>D64</f>
        <v>1780.1995859999997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300</v>
      </c>
      <c r="C211" s="231" t="s">
        <v>229</v>
      </c>
      <c r="D211" s="261">
        <f>B225+E221+B221+B223</f>
        <v>465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1945.1995859999997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D64</f>
        <v>1780.1995859999997</v>
      </c>
      <c r="C217" s="178" t="s">
        <v>233</v>
      </c>
      <c r="D217" s="158"/>
      <c r="E217" s="214">
        <f>B66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B67</f>
        <v>300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(B77-(B77*(E219*100)))*0.1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B78-(B78*(E219*100))</f>
        <v>200</v>
      </c>
      <c r="C223" s="163" t="s">
        <v>230</v>
      </c>
      <c r="D223" s="158"/>
      <c r="E223" s="29">
        <f>(B217-B211+D211)</f>
        <v>1945.1995859999997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customFormat="1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B71</f>
        <v>200</v>
      </c>
      <c r="C229" s="163" t="s">
        <v>238</v>
      </c>
      <c r="D229" s="254"/>
      <c r="E229" s="118">
        <f>B72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D73</f>
        <v>375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B68</f>
        <v>7.4999999999999997E-3</v>
      </c>
      <c r="C231" s="163" t="s">
        <v>241</v>
      </c>
      <c r="D231" s="254"/>
      <c r="E231" s="214">
        <f>B69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B86</f>
        <v>160.91345435236954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B79</f>
        <v>200</v>
      </c>
      <c r="C233" s="268" t="s">
        <v>336</v>
      </c>
      <c r="D233" s="269"/>
      <c r="E233" s="118">
        <f>B74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B80</f>
        <v>200</v>
      </c>
      <c r="C235" s="272" t="s">
        <v>337</v>
      </c>
      <c r="D235" s="272"/>
      <c r="E235" s="118">
        <f>B75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/>
    <row r="359" spans="1:26" ht="15.75" customHeight="1"/>
    <row r="360" spans="1:26" ht="15.75" customHeight="1"/>
    <row r="361" spans="1:26" ht="15.75" customHeight="1"/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4">
    <mergeCell ref="A207:E207"/>
    <mergeCell ref="A159:A160"/>
    <mergeCell ref="B159:C159"/>
    <mergeCell ref="B160:C160"/>
    <mergeCell ref="B161:C161"/>
    <mergeCell ref="A171:E171"/>
    <mergeCell ref="H152:I152"/>
    <mergeCell ref="M153:M154"/>
    <mergeCell ref="N153:O153"/>
    <mergeCell ref="N154:O154"/>
    <mergeCell ref="N155:O155"/>
    <mergeCell ref="H124:I124"/>
    <mergeCell ref="N124:O124"/>
    <mergeCell ref="N148:O148"/>
    <mergeCell ref="G150:G151"/>
    <mergeCell ref="H150:I150"/>
    <mergeCell ref="H151:I151"/>
    <mergeCell ref="P105:Q105"/>
    <mergeCell ref="A108:E108"/>
    <mergeCell ref="G108:K108"/>
    <mergeCell ref="M108:Q108"/>
    <mergeCell ref="A122:E122"/>
    <mergeCell ref="G122:K122"/>
    <mergeCell ref="M122:Q122"/>
    <mergeCell ref="B105:C105"/>
    <mergeCell ref="D105:E105"/>
    <mergeCell ref="H105:I105"/>
    <mergeCell ref="J105:K105"/>
    <mergeCell ref="N105:O105"/>
    <mergeCell ref="N99:O99"/>
    <mergeCell ref="P99:Q99"/>
    <mergeCell ref="B102:C102"/>
    <mergeCell ref="D102:E102"/>
    <mergeCell ref="H102:I102"/>
    <mergeCell ref="J102:K102"/>
    <mergeCell ref="N102:O102"/>
    <mergeCell ref="P102:Q102"/>
    <mergeCell ref="B97:C97"/>
    <mergeCell ref="B99:C99"/>
    <mergeCell ref="D99:E99"/>
    <mergeCell ref="H99:I99"/>
    <mergeCell ref="J99:K99"/>
    <mergeCell ref="B52:C52"/>
    <mergeCell ref="A94:E94"/>
    <mergeCell ref="G94:K94"/>
    <mergeCell ref="M94:Q94"/>
    <mergeCell ref="A96:E96"/>
    <mergeCell ref="G96:K96"/>
    <mergeCell ref="M96:Q96"/>
    <mergeCell ref="C44:D44"/>
    <mergeCell ref="C45:D45"/>
    <mergeCell ref="A50:A51"/>
    <mergeCell ref="B50:C50"/>
    <mergeCell ref="B51:C51"/>
    <mergeCell ref="A24:E24"/>
    <mergeCell ref="A28:E28"/>
    <mergeCell ref="B30:C30"/>
    <mergeCell ref="G38:H38"/>
    <mergeCell ref="B40:C40"/>
    <mergeCell ref="A1:F1"/>
    <mergeCell ref="D7:E18"/>
    <mergeCell ref="A16:C18"/>
    <mergeCell ref="A19:D19"/>
    <mergeCell ref="A21:D21"/>
  </mergeCells>
  <dataValidations count="1">
    <dataValidation type="list" allowBlank="1" showErrorMessage="1" sqref="H99 N99 G105 M105 O107 H110 N110" xr:uid="{00000000-0002-0000-1600-000002000000}">
      <formula1>#REF!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600-000000000000}">
          <x14:formula1>
            <xm:f>'Formula1-BCH'!$I$3:$I$4</xm:f>
          </x14:formula1>
          <x14:formula2>
            <xm:f>0</xm:f>
          </x14:formula2>
          <xm:sqref>B26 A105 B110</xm:sqref>
        </x14:dataValidation>
        <x14:dataValidation type="list" allowBlank="1" showErrorMessage="1" xr:uid="{00000000-0002-0000-1600-000001000000}">
          <x14:formula1>
            <xm:f>'Formula1-BCH'!$Y$97:$Y$105</xm:f>
          </x14:formula1>
          <x14:formula2>
            <xm:f>0</xm:f>
          </x14:formula2>
          <xm:sqref>B99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C1002"/>
  <sheetViews>
    <sheetView topLeftCell="A142" zoomScale="110" zoomScaleNormal="110" workbookViewId="0">
      <selection activeCell="D151" sqref="D151"/>
    </sheetView>
  </sheetViews>
  <sheetFormatPr defaultColWidth="10.875" defaultRowHeight="14.25"/>
  <cols>
    <col min="1" max="1" customWidth="true" width="56.0"/>
    <col min="2" max="2" customWidth="true" width="18.125"/>
    <col min="3" max="3" customWidth="true" width="25.125"/>
    <col min="4" max="4" customWidth="true" width="18.125"/>
    <col min="5" max="5" customWidth="true" width="24.0"/>
    <col min="7" max="7" customWidth="true" width="53.5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38.2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>
        <v>25000</v>
      </c>
      <c r="H3" s="55"/>
      <c r="I3" s="55" t="s">
        <v>31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 t="s">
        <v>32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297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>
      <c r="A8" s="196"/>
      <c r="B8" s="55"/>
      <c r="C8" s="55"/>
      <c r="D8" s="392"/>
      <c r="E8" s="392"/>
      <c r="F8" s="55"/>
      <c r="G8" s="298" t="e">
        <f>G9*100/B3</f>
        <v>#DIV/0!</v>
      </c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297">
        <f>E9-G11</f>
        <v>-152558.33333333334</v>
      </c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297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297">
        <f>G13/1.2</f>
        <v>152558.33333333334</v>
      </c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297">
        <f>G15-E14-E13-E12</f>
        <v>183070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v>183070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299">
        <f>(B3+C3+E10)*1.2</f>
        <v>0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17">
        <f>(B3+C3+D3+E3+E10)*1.2</f>
        <v>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354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162" t="s">
        <v>138</v>
      </c>
      <c r="B26" s="164" t="s">
        <v>385</v>
      </c>
      <c r="C26" s="158"/>
      <c r="D26" s="158"/>
      <c r="E26" s="159"/>
      <c r="F26" s="55"/>
      <c r="G26" s="160" t="s">
        <v>36</v>
      </c>
      <c r="H26" s="160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38</v>
      </c>
      <c r="H27" s="161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377" t="s">
        <v>192</v>
      </c>
      <c r="B28" s="377"/>
      <c r="C28" s="377"/>
      <c r="D28" s="377"/>
      <c r="E28" s="377"/>
      <c r="F28" s="55"/>
      <c r="G28" s="161" t="s">
        <v>40</v>
      </c>
      <c r="H28" s="16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57"/>
      <c r="B29" s="158"/>
      <c r="C29" s="158"/>
      <c r="D29" s="158"/>
      <c r="E29" s="159"/>
      <c r="F29" s="55"/>
      <c r="G29" s="160" t="s">
        <v>41</v>
      </c>
      <c r="H29" s="300">
        <v>36</v>
      </c>
      <c r="I29" s="273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 t="s">
        <v>193</v>
      </c>
      <c r="B30" s="368" t="s">
        <v>387</v>
      </c>
      <c r="C30" s="368"/>
      <c r="D30" s="158"/>
      <c r="E30" s="159"/>
      <c r="F30" s="55"/>
      <c r="G30" s="160" t="s">
        <v>45</v>
      </c>
      <c r="H30" s="300">
        <v>10000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57"/>
      <c r="B31" s="158"/>
      <c r="C31" s="158"/>
      <c r="D31" s="158"/>
      <c r="E31" s="159"/>
      <c r="F31" s="55"/>
      <c r="G31" s="160" t="s">
        <v>48</v>
      </c>
      <c r="H31" s="37">
        <v>80000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57" t="s">
        <v>94</v>
      </c>
      <c r="B32" s="158" t="s">
        <v>95</v>
      </c>
      <c r="C32" s="158"/>
      <c r="D32" s="301" t="s">
        <v>355</v>
      </c>
      <c r="E32" s="159"/>
      <c r="F32" s="55"/>
      <c r="G32" s="160" t="s">
        <v>49</v>
      </c>
      <c r="I32" s="37">
        <v>6000</v>
      </c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31.7" customHeight="1">
      <c r="A33" s="169">
        <f>A52</f>
        <v>36</v>
      </c>
      <c r="B33" s="170">
        <v>10000</v>
      </c>
      <c r="C33" s="171"/>
      <c r="D33" s="302">
        <f>H48</f>
        <v>-5.3988242429351487</v>
      </c>
      <c r="E33" s="159"/>
      <c r="F33" s="55"/>
      <c r="G33" s="161" t="s">
        <v>356</v>
      </c>
      <c r="H33" s="43">
        <f>E21-E11</f>
        <v>14333.33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57"/>
      <c r="B34" s="158"/>
      <c r="C34" s="158"/>
      <c r="D34" s="158"/>
      <c r="E34" s="159"/>
      <c r="F34" s="55"/>
      <c r="G34" s="55" t="s">
        <v>372</v>
      </c>
      <c r="H34" s="55">
        <f>H29</f>
        <v>36</v>
      </c>
      <c r="I34" s="55">
        <v>43957.29</v>
      </c>
      <c r="J34" s="55">
        <v>841.24</v>
      </c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57" t="s">
        <v>357</v>
      </c>
      <c r="B35" s="158" t="s">
        <v>358</v>
      </c>
      <c r="C35" s="158"/>
      <c r="D35" s="158" t="s">
        <v>359</v>
      </c>
      <c r="E35" s="159"/>
      <c r="F35" s="55"/>
      <c r="G35" s="46" t="s">
        <v>59</v>
      </c>
      <c r="H35" s="174">
        <v>7.0000000000000007E-2</v>
      </c>
      <c r="I35" s="55">
        <v>46215.83</v>
      </c>
      <c r="J35" s="55">
        <v>909.69</v>
      </c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38">
        <f>H47</f>
        <v>-55.398824242935142</v>
      </c>
      <c r="B36" s="34">
        <f>IF(B26="YES",H42,"")</f>
        <v>49.999999999999993</v>
      </c>
      <c r="C36" s="163"/>
      <c r="D36" s="137">
        <f>H31</f>
        <v>80000</v>
      </c>
      <c r="E36" s="159"/>
      <c r="F36" s="55"/>
      <c r="G36" s="55"/>
      <c r="H36" s="55"/>
      <c r="I36" s="55">
        <f>I35-I34</f>
        <v>2258.5400000000009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94"/>
      <c r="B37" s="34"/>
      <c r="C37" s="163"/>
      <c r="D37" s="34"/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57"/>
      <c r="B38" s="158"/>
      <c r="C38" s="158"/>
      <c r="D38" s="158"/>
      <c r="E38" s="159"/>
      <c r="F38" s="55"/>
      <c r="G38" s="384" t="s">
        <v>65</v>
      </c>
      <c r="H38" s="384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57" t="s">
        <v>360</v>
      </c>
      <c r="B39" s="158" t="s">
        <v>361</v>
      </c>
      <c r="C39" s="158"/>
      <c r="D39" s="158" t="s">
        <v>362</v>
      </c>
      <c r="E39" s="159"/>
      <c r="F39" s="55"/>
      <c r="G39" s="55" t="s">
        <v>96</v>
      </c>
      <c r="H39" s="5">
        <f>H33</f>
        <v>14333.33</v>
      </c>
      <c r="I39" s="5">
        <f>(I48*H46)+H44</f>
        <v>59849.229061710888</v>
      </c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92">
        <f>D36*A45/100</f>
        <v>24000</v>
      </c>
      <c r="B40" s="348">
        <f>IF(B26="YES",H42,"0")</f>
        <v>49.999999999999993</v>
      </c>
      <c r="C40" s="348"/>
      <c r="D40" s="137">
        <f>I32</f>
        <v>6000</v>
      </c>
      <c r="E40" s="159"/>
      <c r="F40" s="55"/>
      <c r="G40" s="55" t="s">
        <v>118</v>
      </c>
      <c r="H40" s="5">
        <f>A40/1.2</f>
        <v>20000</v>
      </c>
      <c r="I40" s="5">
        <f>H39-I39</f>
        <v>-45515.899061710887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157"/>
      <c r="B41" s="158"/>
      <c r="C41" s="158"/>
      <c r="D41" s="158"/>
      <c r="E41" s="159"/>
      <c r="F41" s="55"/>
      <c r="G41" s="55" t="s">
        <v>363</v>
      </c>
      <c r="H41" s="180">
        <f>H35/12</f>
        <v>5.8333333333333336E-3</v>
      </c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57"/>
      <c r="B42" s="158"/>
      <c r="C42" s="158"/>
      <c r="D42" s="158"/>
      <c r="E42" s="159"/>
      <c r="F42" s="55"/>
      <c r="G42" s="55" t="s">
        <v>364</v>
      </c>
      <c r="H42" s="5">
        <f>(I32/H34)*(C45/100)</f>
        <v>49.999999999999993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209"/>
      <c r="B43" s="210"/>
      <c r="C43" s="210"/>
      <c r="D43" s="210"/>
      <c r="E43" s="211"/>
      <c r="F43" s="55"/>
      <c r="G43" s="55" t="s">
        <v>365</v>
      </c>
      <c r="H43" s="55"/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303" t="s">
        <v>89</v>
      </c>
      <c r="B44" s="158"/>
      <c r="C44" s="404" t="s">
        <v>90</v>
      </c>
      <c r="D44" s="404"/>
      <c r="E44" s="159"/>
      <c r="F44" s="55"/>
      <c r="G44" s="55" t="s">
        <v>373</v>
      </c>
      <c r="H44" s="5">
        <f>(H40/(1+H41)^(H34+1))</f>
        <v>16127.502052006093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304">
        <v>30</v>
      </c>
      <c r="B45" s="158"/>
      <c r="C45" s="405">
        <v>30</v>
      </c>
      <c r="D45" s="405"/>
      <c r="E45" s="159"/>
      <c r="F45" s="55"/>
      <c r="G45" s="55" t="s">
        <v>374</v>
      </c>
      <c r="H45" s="5">
        <f>(H39-H44)</f>
        <v>-1794.1720520060935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6"/>
      <c r="B46" s="207"/>
      <c r="C46" s="207"/>
      <c r="D46" s="207"/>
      <c r="E46" s="208"/>
      <c r="F46" s="55"/>
      <c r="G46" s="55" t="s">
        <v>375</v>
      </c>
      <c r="H46" s="5">
        <f>((1-(1/((1+H41)^H34)))/H41)</f>
        <v>32.386464451633181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57"/>
      <c r="B47" s="158"/>
      <c r="C47" s="158"/>
      <c r="D47" s="158"/>
      <c r="E47" s="159"/>
      <c r="F47" s="55"/>
      <c r="G47" s="55" t="s">
        <v>369</v>
      </c>
      <c r="H47" s="5">
        <f>H45/H46</f>
        <v>-55.398824242935142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305" t="s">
        <v>370</v>
      </c>
      <c r="H48" s="5">
        <f>IF(B26="YES",H47+H42,H47)</f>
        <v>-5.3988242429351487</v>
      </c>
      <c r="I48" s="5">
        <f>I49-H42</f>
        <v>1350</v>
      </c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 t="s">
        <v>371</v>
      </c>
      <c r="H49" s="205"/>
      <c r="I49" s="5">
        <v>1400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10000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36</v>
      </c>
      <c r="B52" s="343">
        <f>H48</f>
        <v>-5.3988242429351487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158"/>
      <c r="N55" s="158"/>
      <c r="O55" s="158"/>
      <c r="P55" s="158"/>
      <c r="Q55" s="158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209"/>
      <c r="N56" s="210"/>
      <c r="O56" s="210"/>
      <c r="P56" s="210"/>
      <c r="Q56" s="211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IF(B99=Y97,1,IF(B99=Y98,1,IF(B99=Y99,3,IF(B99=Y100,6,IF(B99=Y101,9,IF(B99=Y102,12,IF(B99=Y103,3,IF(B99=Y104,6,IF(B99=Y105,9,0)))))))))</f>
        <v>1</v>
      </c>
      <c r="C57" s="158"/>
      <c r="D57" s="158"/>
      <c r="E57" s="159"/>
      <c r="F57" s="55"/>
      <c r="G57" s="157" t="s">
        <v>96</v>
      </c>
      <c r="H57" s="158">
        <f>IF(H99=Y97,1,IF(H99=Y98,1,IF(H99=Y99,3,IF(H99=Y100,6,IF(H99=Y101,9,IF(H99=Y102,12,IF(H99=Y103,3,IF(H99=Y104,6,IF(H99=Y105,9,0)))))))))</f>
        <v>6</v>
      </c>
      <c r="I57" s="158"/>
      <c r="J57" s="158"/>
      <c r="K57" s="159"/>
      <c r="L57" s="55"/>
      <c r="M57" s="157" t="s">
        <v>96</v>
      </c>
      <c r="N57" s="158">
        <f>IF(N99=Y97,1,IF(N99=Y98,1,IF(N99=Y99,3,IF(N99=Y100,6,IF(N99=Y101,9,IF(N99=Y102,12,IF(N99=Y103,3,IF(N99=Y104,6,IF(N99=Y105,9,0)))))))))</f>
        <v>6</v>
      </c>
      <c r="O57" s="158"/>
      <c r="P57" s="158"/>
      <c r="Q57" s="159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IF(B99=Y97,H29-B57,IF(B99=Y98,H29-B57,IF(B99=Y99,H29-1,IF(B99=Y100,H29-1,IF(B99=Y101,H29-1,IF(B99=Y102,H29-1,IF(B99=Y103,H29-B57,IF(B99=Y104,H29-B57,IF(B99=Y105,H29-B57,0)))))))))</f>
        <v>35</v>
      </c>
      <c r="C58" s="158"/>
      <c r="D58" s="158"/>
      <c r="E58" s="159"/>
      <c r="F58" s="55"/>
      <c r="G58" s="157" t="s">
        <v>97</v>
      </c>
      <c r="H58" s="158">
        <f>IF(H99=Y97,H29-H57,IF(H99=Y98,H29-H57,IF(H99=Y99,H29-1,IF(H99=Y100,H29-1,IF(H99=Y101,H29-1,IF(H99=Y102,H29-1,IF(H99=Y103,H29-H57,IF(H99=Y104,H29-H57,IF(H99=Y105,H29-H57,0)))))))))</f>
        <v>35</v>
      </c>
      <c r="I58" s="158"/>
      <c r="J58" s="158"/>
      <c r="K58" s="159"/>
      <c r="L58" s="55"/>
      <c r="M58" s="157" t="s">
        <v>97</v>
      </c>
      <c r="N58" s="158">
        <f>IF(N99=Y97,H29-N57,IF(N99=Y98,H29-N57,IF(N99=Y99,H29-1,IF(N99=Y100,H29-1,IF(N99=Y101,H29-1,IF(N99=Y102,H29-1,IF(N99=Y103,H29-N57,IF(N99=Y104,H29-N57,IF(N99=Y105,H29-N57,0)))))))))</f>
        <v>35</v>
      </c>
      <c r="O58" s="158"/>
      <c r="P58" s="158"/>
      <c r="Q58" s="159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157"/>
      <c r="N59" s="158"/>
      <c r="O59" s="158"/>
      <c r="P59" s="158"/>
      <c r="Q59" s="159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 t="s">
        <v>376</v>
      </c>
      <c r="B60" s="158">
        <f>E19</f>
        <v>17199.995999999999</v>
      </c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157"/>
      <c r="N60" s="158"/>
      <c r="O60" s="158"/>
      <c r="P60" s="158"/>
      <c r="Q60" s="159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v>40526</v>
      </c>
      <c r="C61" s="158"/>
      <c r="D61" s="158"/>
      <c r="E61" s="159"/>
      <c r="F61" s="55"/>
      <c r="G61" s="157" t="s">
        <v>27</v>
      </c>
      <c r="H61" s="28">
        <f>G18</f>
        <v>0</v>
      </c>
      <c r="I61" s="158"/>
      <c r="J61" s="158"/>
      <c r="K61" s="159"/>
      <c r="L61" s="55"/>
      <c r="M61" s="157" t="s">
        <v>27</v>
      </c>
      <c r="N61" s="28">
        <f>G18</f>
        <v>0</v>
      </c>
      <c r="O61" s="158"/>
      <c r="P61" s="158"/>
      <c r="Q61" s="159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212" t="s">
        <v>283</v>
      </c>
      <c r="N62" s="213">
        <v>7.0000000000000007E-2</v>
      </c>
      <c r="O62" s="158"/>
      <c r="P62" s="158"/>
      <c r="Q62" s="159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0.105</v>
      </c>
      <c r="C63" s="158"/>
      <c r="D63" s="158"/>
      <c r="E63" s="159"/>
      <c r="F63" s="55"/>
      <c r="G63" s="157" t="s">
        <v>284</v>
      </c>
      <c r="H63" s="214">
        <f>H62+(H62*0.25*(H29/12-1))</f>
        <v>0.10500000000000001</v>
      </c>
      <c r="I63" s="158"/>
      <c r="J63" s="158"/>
      <c r="K63" s="159"/>
      <c r="L63" s="55"/>
      <c r="M63" s="157" t="s">
        <v>284</v>
      </c>
      <c r="N63" s="214">
        <f>N62+(N62*0.25*(H29/12-1))</f>
        <v>0.10500000000000001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C64</f>
        <v>10000</v>
      </c>
      <c r="C64" s="306">
        <v>10000</v>
      </c>
      <c r="D64" s="28">
        <f>B64</f>
        <v>10000</v>
      </c>
      <c r="E64" s="307">
        <f>D64/(B58+B57)</f>
        <v>277.77777777777777</v>
      </c>
      <c r="F64" s="55"/>
      <c r="G64" s="206" t="s">
        <v>102</v>
      </c>
      <c r="H64" s="57">
        <f>H61*H63</f>
        <v>0</v>
      </c>
      <c r="I64" s="158"/>
      <c r="J64" s="28">
        <f>H64-G145</f>
        <v>0</v>
      </c>
      <c r="K64" s="159"/>
      <c r="L64" s="55"/>
      <c r="M64" s="206" t="s">
        <v>102</v>
      </c>
      <c r="N64" s="57">
        <f>N61*N63</f>
        <v>0</v>
      </c>
      <c r="O64" s="158"/>
      <c r="P64" s="28">
        <f>N64-M145</f>
        <v>0</v>
      </c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>
        <v>300</v>
      </c>
      <c r="C65" s="158"/>
      <c r="D65" s="28"/>
      <c r="E65" s="159"/>
      <c r="F65" s="55"/>
      <c r="G65" s="212" t="s">
        <v>103</v>
      </c>
      <c r="H65" s="213">
        <v>0.01</v>
      </c>
      <c r="I65" s="158"/>
      <c r="J65" s="158"/>
      <c r="K65" s="159"/>
      <c r="L65" s="55"/>
      <c r="M65" s="212" t="s">
        <v>103</v>
      </c>
      <c r="N65" s="213">
        <v>0.01</v>
      </c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308" t="s">
        <v>233</v>
      </c>
      <c r="D66" s="158"/>
      <c r="E66" s="159"/>
      <c r="F66" s="55"/>
      <c r="G66" s="157" t="s">
        <v>104</v>
      </c>
      <c r="H66" s="214">
        <f>H65+(H65*0.5*(H29/12-1))</f>
        <v>0.02</v>
      </c>
      <c r="I66" s="158"/>
      <c r="J66" s="158"/>
      <c r="K66" s="159"/>
      <c r="L66" s="55"/>
      <c r="M66" s="157" t="s">
        <v>104</v>
      </c>
      <c r="N66" s="214">
        <f>N65+(N65*0.5*(H29/12-1))</f>
        <v>0.02</v>
      </c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300</v>
      </c>
      <c r="C67" s="309" t="s">
        <v>233</v>
      </c>
      <c r="D67" s="310"/>
      <c r="E67" s="159"/>
      <c r="F67" s="55"/>
      <c r="G67" s="206" t="s">
        <v>105</v>
      </c>
      <c r="H67" s="57">
        <f>(H61*H66)/1.2</f>
        <v>0</v>
      </c>
      <c r="I67" s="158"/>
      <c r="J67" s="28"/>
      <c r="K67" s="159"/>
      <c r="L67" s="55"/>
      <c r="M67" s="206" t="s">
        <v>105</v>
      </c>
      <c r="N67" s="57">
        <f>(N61*N66)/1.2</f>
        <v>0</v>
      </c>
      <c r="O67" s="158"/>
      <c r="P67" s="2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311"/>
      <c r="D68" s="2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212" t="s">
        <v>106</v>
      </c>
      <c r="N68" s="213">
        <v>7.4999999999999997E-3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216" t="s">
        <v>107</v>
      </c>
      <c r="N69" s="217">
        <v>0.12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206" t="s">
        <v>108</v>
      </c>
      <c r="N70" s="312">
        <f>N68*(1+N69)</f>
        <v>8.4000000000000012E-3</v>
      </c>
      <c r="O70" s="158"/>
      <c r="P70" s="158"/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200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212" t="s">
        <v>109</v>
      </c>
      <c r="N71" s="74">
        <v>160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216" t="s">
        <v>110</v>
      </c>
      <c r="N72" s="65">
        <v>4.5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180</v>
      </c>
      <c r="C73" s="158"/>
      <c r="D73" s="313">
        <f>B73+B71</f>
        <v>380</v>
      </c>
      <c r="E73" s="159" t="s">
        <v>239</v>
      </c>
      <c r="F73" s="55"/>
      <c r="G73" s="206" t="s">
        <v>111</v>
      </c>
      <c r="H73" s="57">
        <f>H72*H29</f>
        <v>162</v>
      </c>
      <c r="I73" s="158"/>
      <c r="J73" s="28">
        <f>H73+H71</f>
        <v>322</v>
      </c>
      <c r="K73" s="159"/>
      <c r="L73" s="55"/>
      <c r="M73" s="206" t="s">
        <v>111</v>
      </c>
      <c r="N73" s="57">
        <f>N72*H29</f>
        <v>162</v>
      </c>
      <c r="O73" s="158"/>
      <c r="P73" s="28">
        <f>N73+N71</f>
        <v>322</v>
      </c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275</v>
      </c>
      <c r="C74" s="158"/>
      <c r="D74" s="158"/>
      <c r="E74" s="159"/>
      <c r="F74" s="55"/>
      <c r="G74" s="212" t="s">
        <v>285</v>
      </c>
      <c r="H74" s="74">
        <v>165</v>
      </c>
      <c r="I74" s="158"/>
      <c r="J74" s="158"/>
      <c r="K74" s="159"/>
      <c r="L74" s="55"/>
      <c r="M74" s="277" t="s">
        <v>285</v>
      </c>
      <c r="N74" s="278">
        <v>0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0</v>
      </c>
      <c r="C75" s="158"/>
      <c r="D75" s="158"/>
      <c r="E75" s="159"/>
      <c r="F75" s="55"/>
      <c r="G75" s="216" t="s">
        <v>286</v>
      </c>
      <c r="H75" s="65">
        <v>0</v>
      </c>
      <c r="I75" s="158"/>
      <c r="J75" s="158"/>
      <c r="K75" s="159"/>
      <c r="L75" s="55"/>
      <c r="M75" s="279" t="s">
        <v>286</v>
      </c>
      <c r="N75" s="280">
        <v>0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((B74+B75)/12)*(H29+1)</f>
        <v>847.91666666666674</v>
      </c>
      <c r="C76" s="158"/>
      <c r="D76" s="28">
        <f>B76</f>
        <v>847.91666666666674</v>
      </c>
      <c r="E76" s="159"/>
      <c r="F76" s="55"/>
      <c r="G76" s="206" t="s">
        <v>287</v>
      </c>
      <c r="H76" s="57">
        <f>((H74+H75)/12)*(H29-11)</f>
        <v>343.75</v>
      </c>
      <c r="I76" s="158"/>
      <c r="J76" s="28">
        <f>H76</f>
        <v>343.75</v>
      </c>
      <c r="K76" s="159"/>
      <c r="L76" s="55"/>
      <c r="M76" s="281" t="s">
        <v>287</v>
      </c>
      <c r="N76" s="282">
        <f>((N74+N75)/12)*(H29-11)</f>
        <v>0</v>
      </c>
      <c r="O76" s="158"/>
      <c r="P76" s="28">
        <f>N76</f>
        <v>0</v>
      </c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09" t="s">
        <v>288</v>
      </c>
      <c r="B77" s="24">
        <f>B102/(1-0.1)</f>
        <v>444.44444444444446</v>
      </c>
      <c r="C77" s="252"/>
      <c r="D77" s="28">
        <f>B77</f>
        <v>444.44444444444446</v>
      </c>
      <c r="E77" s="307">
        <f>D77/(B58+B57)</f>
        <v>12.345679012345679</v>
      </c>
      <c r="F77" s="55"/>
      <c r="G77" s="212" t="s">
        <v>288</v>
      </c>
      <c r="H77" s="74">
        <v>0</v>
      </c>
      <c r="I77" s="158"/>
      <c r="J77" s="28">
        <f>H77</f>
        <v>0</v>
      </c>
      <c r="K77" s="159"/>
      <c r="L77" s="55"/>
      <c r="M77" s="212" t="s">
        <v>288</v>
      </c>
      <c r="N77" s="74">
        <v>0</v>
      </c>
      <c r="O77" s="158"/>
      <c r="P77" s="28">
        <f>N77</f>
        <v>0</v>
      </c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252"/>
      <c r="D78" s="28">
        <f>B78</f>
        <v>222.22222222222223</v>
      </c>
      <c r="E78" s="307"/>
      <c r="F78" s="55"/>
      <c r="G78" s="157" t="s">
        <v>289</v>
      </c>
      <c r="H78" s="29">
        <v>0</v>
      </c>
      <c r="I78" s="158"/>
      <c r="J78" s="28">
        <f>H78</f>
        <v>0</v>
      </c>
      <c r="K78" s="159"/>
      <c r="L78" s="55"/>
      <c r="M78" s="157" t="s">
        <v>289</v>
      </c>
      <c r="N78" s="29">
        <v>0</v>
      </c>
      <c r="O78" s="158"/>
      <c r="P78" s="28">
        <f>N78</f>
        <v>0</v>
      </c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200</v>
      </c>
      <c r="C79" s="252"/>
      <c r="D79" s="28">
        <f>B79</f>
        <v>200</v>
      </c>
      <c r="E79" s="307"/>
      <c r="F79" s="55"/>
      <c r="G79" s="216" t="s">
        <v>112</v>
      </c>
      <c r="H79" s="65">
        <v>200</v>
      </c>
      <c r="I79" s="158"/>
      <c r="J79" s="28">
        <f>H79</f>
        <v>200</v>
      </c>
      <c r="K79" s="159"/>
      <c r="L79" s="55"/>
      <c r="M79" s="216" t="s">
        <v>112</v>
      </c>
      <c r="N79" s="65">
        <v>200</v>
      </c>
      <c r="O79" s="158"/>
      <c r="P79" s="28">
        <f>N79</f>
        <v>200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200</v>
      </c>
      <c r="C80" s="252"/>
      <c r="D80" s="28">
        <f>B80</f>
        <v>200</v>
      </c>
      <c r="E80" s="307">
        <f>(D73+D76+D79+D80)/(B58+B57)</f>
        <v>45.219907407407412</v>
      </c>
      <c r="F80" s="55"/>
      <c r="G80" s="219" t="s">
        <v>113</v>
      </c>
      <c r="H80" s="75">
        <v>200</v>
      </c>
      <c r="I80" s="158"/>
      <c r="J80" s="28">
        <f>H80</f>
        <v>200</v>
      </c>
      <c r="K80" s="159"/>
      <c r="L80" s="55"/>
      <c r="M80" s="219" t="s">
        <v>113</v>
      </c>
      <c r="N80" s="75">
        <v>200</v>
      </c>
      <c r="O80" s="158"/>
      <c r="P80" s="28">
        <f>N80</f>
        <v>200</v>
      </c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12294.583333333334</v>
      </c>
      <c r="C81" s="252"/>
      <c r="D81" s="314"/>
      <c r="E81" s="307"/>
      <c r="F81" s="55"/>
      <c r="G81" s="220" t="s">
        <v>114</v>
      </c>
      <c r="H81" s="221">
        <f>SUM(J64:J80)</f>
        <v>1065.75</v>
      </c>
      <c r="I81" s="158"/>
      <c r="J81" s="158"/>
      <c r="K81" s="159"/>
      <c r="L81" s="55"/>
      <c r="M81" s="220" t="s">
        <v>114</v>
      </c>
      <c r="N81" s="221">
        <f>SUM(P64:P80)</f>
        <v>722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341.5162037037037</v>
      </c>
      <c r="C82" s="252"/>
      <c r="D82" s="158"/>
      <c r="E82" s="307"/>
      <c r="F82" s="55"/>
      <c r="G82" s="157" t="s">
        <v>115</v>
      </c>
      <c r="H82" s="29">
        <f>H81/H29</f>
        <v>29.604166666666668</v>
      </c>
      <c r="I82" s="158"/>
      <c r="J82" s="158"/>
      <c r="K82" s="159"/>
      <c r="L82" s="55"/>
      <c r="M82" s="157" t="s">
        <v>115</v>
      </c>
      <c r="N82" s="29">
        <f>N81/H29</f>
        <v>20.055555555555557</v>
      </c>
      <c r="O82" s="158"/>
      <c r="P82" s="158"/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H47</f>
        <v>-55.398824242935142</v>
      </c>
      <c r="C83" s="252"/>
      <c r="D83" s="158"/>
      <c r="E83" s="307">
        <f>B83+E80+E77+E64</f>
        <v>279.94453995459571</v>
      </c>
      <c r="F83" s="55"/>
      <c r="G83" s="222" t="s">
        <v>116</v>
      </c>
      <c r="H83" s="52">
        <f>H47</f>
        <v>-55.398824242935142</v>
      </c>
      <c r="I83" s="158"/>
      <c r="J83" s="158"/>
      <c r="K83" s="159"/>
      <c r="L83" s="55"/>
      <c r="M83" s="222" t="s">
        <v>116</v>
      </c>
      <c r="N83" s="52">
        <f>H47</f>
        <v>-55.398824242935142</v>
      </c>
      <c r="O83" s="158"/>
      <c r="P83" s="158"/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252"/>
      <c r="D84" s="252"/>
      <c r="E84" s="307"/>
      <c r="F84" s="55"/>
      <c r="G84" s="157"/>
      <c r="H84" s="28"/>
      <c r="I84" s="158"/>
      <c r="J84" s="158"/>
      <c r="K84" s="159"/>
      <c r="L84" s="55"/>
      <c r="M84" s="157"/>
      <c r="N84" s="28"/>
      <c r="O84" s="158"/>
      <c r="P84" s="158"/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((B83*H29)+B81)*1.2</f>
        <v>12360.270792705202</v>
      </c>
      <c r="C85" s="252"/>
      <c r="D85" s="252"/>
      <c r="E85" s="307">
        <f>B85/(B58+B57)</f>
        <v>343.34085535292229</v>
      </c>
      <c r="F85" s="55"/>
      <c r="G85" s="209" t="s">
        <v>126</v>
      </c>
      <c r="H85" s="24">
        <f>((H83*H29)+H81)*1.2</f>
        <v>-1114.3292072947979</v>
      </c>
      <c r="I85" s="158"/>
      <c r="J85" s="158"/>
      <c r="K85" s="159"/>
      <c r="L85" s="55"/>
      <c r="M85" s="209" t="s">
        <v>126</v>
      </c>
      <c r="N85" s="24">
        <f>((N83*H29)+N81)</f>
        <v>-1272.357672745665</v>
      </c>
      <c r="O85" s="158"/>
      <c r="P85" s="158"/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(((B83*H29)+B81)/(1-B70))*B70</f>
        <v>87.254836172787847</v>
      </c>
      <c r="C86" s="252" t="s">
        <v>242</v>
      </c>
      <c r="D86" s="158"/>
      <c r="E86" s="307">
        <f>B86/(B58+B57)</f>
        <v>2.4237454492441071</v>
      </c>
      <c r="F86" s="55"/>
      <c r="G86" s="157" t="s">
        <v>127</v>
      </c>
      <c r="H86" s="29">
        <f>((((H83*H29)+H81))/(1-H70))*H70</f>
        <v>-7.8663820603707011</v>
      </c>
      <c r="I86" s="158"/>
      <c r="J86" s="158"/>
      <c r="K86" s="159"/>
      <c r="L86" s="55"/>
      <c r="M86" s="157" t="s">
        <v>127</v>
      </c>
      <c r="N86" s="29">
        <f>(N85/(1-N70))*N70</f>
        <v>-10.778342528301318</v>
      </c>
      <c r="O86" s="158"/>
      <c r="P86" s="158"/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12447.525628877989</v>
      </c>
      <c r="C87" s="252"/>
      <c r="D87" s="315"/>
      <c r="E87" s="307">
        <f>E86+E85</f>
        <v>345.7646008021664</v>
      </c>
      <c r="F87" s="55"/>
      <c r="G87" s="206" t="s">
        <v>128</v>
      </c>
      <c r="H87" s="57">
        <f>IF(H110="YES",((H85+H86)-K114),(H85+H86))</f>
        <v>-1122.1955893551685</v>
      </c>
      <c r="I87" s="158"/>
      <c r="J87" s="158"/>
      <c r="K87" s="159"/>
      <c r="L87" s="55"/>
      <c r="M87" s="206" t="s">
        <v>128</v>
      </c>
      <c r="N87" s="57">
        <f>IF(N110="YES",((N85+N86)-Q114),(N85+N86))</f>
        <v>-1283.1360152739662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252"/>
      <c r="D88" s="158"/>
      <c r="E88" s="307"/>
      <c r="F88" s="55"/>
      <c r="G88" s="157"/>
      <c r="H88" s="28"/>
      <c r="I88" s="158"/>
      <c r="J88" s="158"/>
      <c r="K88" s="159"/>
      <c r="L88" s="55"/>
      <c r="M88" s="157"/>
      <c r="N88" s="28"/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1">
        <f>IF(B99=Y98,(I32+(I32*B105))/(B58),(I32+(I32*B105))/(B57+B58))*(C45/100)*1.2</f>
        <v>78</v>
      </c>
      <c r="C89" s="252"/>
      <c r="D89" s="158"/>
      <c r="E89" s="159"/>
      <c r="F89" s="55"/>
      <c r="G89" s="220" t="s">
        <v>129</v>
      </c>
      <c r="H89" s="221">
        <f>IF(H99=Y98,(D40+(D40*H105))/(H58),(D40+(D40*H105))/(H57+H58))*1.2</f>
        <v>210.73170731707319</v>
      </c>
      <c r="I89" s="158"/>
      <c r="J89" s="158"/>
      <c r="K89" s="159"/>
      <c r="L89" s="55"/>
      <c r="M89" s="220" t="s">
        <v>129</v>
      </c>
      <c r="N89" s="221">
        <f>IF(N99=Y98,(D40+(D40*N105))/(N58),(D40+(D40*N105))/(N57+N58))</f>
        <v>175.60975609756099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IF(B99=Y98,(B87-D105)/(B58),B87/(B57+B58))</f>
        <v>345.76460080216634</v>
      </c>
      <c r="C90" s="252"/>
      <c r="D90" s="158"/>
      <c r="E90" s="316"/>
      <c r="F90" s="55"/>
      <c r="G90" s="224" t="s">
        <v>130</v>
      </c>
      <c r="H90" s="225">
        <f>IF(H99=Y98,(H87-J105)/(H58),H87/(H57+H58))</f>
        <v>-27.370624130613866</v>
      </c>
      <c r="I90" s="158"/>
      <c r="J90" s="158"/>
      <c r="K90" s="159"/>
      <c r="L90" s="55"/>
      <c r="M90" s="224" t="s">
        <v>130</v>
      </c>
      <c r="N90" s="225">
        <f>IF(N99=Y98,(N87-P105)/(N58),N87/(N57+N58))</f>
        <v>-31.296000372535762</v>
      </c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423.76460080216634</v>
      </c>
      <c r="C91" s="252"/>
      <c r="D91" s="317"/>
      <c r="E91" s="274"/>
      <c r="F91" s="55"/>
      <c r="G91" s="226" t="s">
        <v>131</v>
      </c>
      <c r="H91" s="227">
        <f>IF(G105="YES",H90+H89,H90)</f>
        <v>183.36108318645933</v>
      </c>
      <c r="I91" s="158"/>
      <c r="J91" s="158"/>
      <c r="K91" s="159"/>
      <c r="L91" s="55"/>
      <c r="M91" s="226" t="s">
        <v>131</v>
      </c>
      <c r="N91" s="227">
        <f>IF(M105="YES",N90+N89,N90)</f>
        <v>144.31375572502523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50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206"/>
      <c r="N92" s="207"/>
      <c r="O92" s="207"/>
      <c r="P92" s="207"/>
      <c r="Q92" s="208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158"/>
      <c r="N93" s="158"/>
      <c r="O93" s="158"/>
      <c r="P93" s="158"/>
      <c r="Q93" s="158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56.25" customHeight="1">
      <c r="A94" s="376" t="s">
        <v>338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376" t="s">
        <v>345</v>
      </c>
      <c r="N94" s="376"/>
      <c r="O94" s="376"/>
      <c r="P94" s="376"/>
      <c r="Q94" s="376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 t="s">
        <v>377</v>
      </c>
      <c r="F95" s="55"/>
      <c r="G95" s="157"/>
      <c r="H95" s="158"/>
      <c r="I95" s="158"/>
      <c r="J95" s="158"/>
      <c r="K95" s="159"/>
      <c r="L95" s="55"/>
      <c r="M95" s="157"/>
      <c r="N95" s="158"/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377" t="s">
        <v>136</v>
      </c>
      <c r="N96" s="377"/>
      <c r="O96" s="377"/>
      <c r="P96" s="377"/>
      <c r="Q96" s="377"/>
      <c r="R96" s="55"/>
      <c r="S96" s="55"/>
      <c r="T96" s="55"/>
      <c r="U96" s="55"/>
      <c r="V96" s="55"/>
      <c r="W96" s="55"/>
      <c r="X96" s="55"/>
      <c r="Y96" s="55"/>
      <c r="Z96" s="55"/>
    </row>
    <row r="97" spans="1:29" ht="18.75" customHeight="1">
      <c r="A97" s="157"/>
      <c r="B97" s="406"/>
      <c r="C97" s="406"/>
      <c r="D97" s="158"/>
      <c r="E97" s="159"/>
      <c r="F97" s="55"/>
      <c r="G97" s="157"/>
      <c r="H97" s="158"/>
      <c r="I97" s="158"/>
      <c r="J97" s="158"/>
      <c r="K97" s="159"/>
      <c r="L97" s="55"/>
      <c r="M97" s="157"/>
      <c r="N97" s="158"/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 t="s">
        <v>140</v>
      </c>
      <c r="Z97" s="55"/>
      <c r="AC97" s="55"/>
    </row>
    <row r="98" spans="1:29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157" t="s">
        <v>137</v>
      </c>
      <c r="N98" s="158" t="s">
        <v>36</v>
      </c>
      <c r="O98" s="158"/>
      <c r="P98" s="158" t="s">
        <v>291</v>
      </c>
      <c r="Q98" s="159"/>
      <c r="R98" s="55"/>
      <c r="S98" s="55"/>
      <c r="T98" s="55"/>
      <c r="U98" s="55"/>
      <c r="V98" s="55"/>
      <c r="W98" s="55"/>
      <c r="X98" s="55"/>
      <c r="Y98" s="55" t="s">
        <v>270</v>
      </c>
      <c r="Z98" s="55"/>
    </row>
    <row r="99" spans="1:29" ht="18.75" customHeight="1">
      <c r="A99" s="162" t="s">
        <v>292</v>
      </c>
      <c r="B99" s="395" t="s">
        <v>140</v>
      </c>
      <c r="C99" s="395"/>
      <c r="D99" s="348">
        <v>1000</v>
      </c>
      <c r="E99" s="348"/>
      <c r="F99" s="55"/>
      <c r="G99" s="162" t="s">
        <v>292</v>
      </c>
      <c r="H99" s="395" t="s">
        <v>272</v>
      </c>
      <c r="I99" s="395"/>
      <c r="J99" s="348">
        <v>0</v>
      </c>
      <c r="K99" s="348"/>
      <c r="L99" s="55"/>
      <c r="M99" s="162" t="s">
        <v>292</v>
      </c>
      <c r="N99" s="395" t="s">
        <v>272</v>
      </c>
      <c r="O99" s="395"/>
      <c r="P99" s="348">
        <v>0</v>
      </c>
      <c r="Q99" s="348"/>
      <c r="R99" s="55"/>
      <c r="S99" s="55"/>
      <c r="T99" s="55"/>
      <c r="U99" s="55"/>
      <c r="V99" s="55"/>
      <c r="W99" s="55"/>
      <c r="X99" s="55"/>
      <c r="Y99" s="55" t="s">
        <v>271</v>
      </c>
      <c r="Z99" s="55"/>
    </row>
    <row r="100" spans="1:29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157"/>
      <c r="N100" s="158"/>
      <c r="O100" s="158"/>
      <c r="P100" s="158"/>
      <c r="Q100" s="159"/>
      <c r="R100" s="55"/>
      <c r="S100" s="55"/>
      <c r="T100" s="55"/>
      <c r="U100" s="55"/>
      <c r="V100" s="55"/>
      <c r="W100" s="55"/>
      <c r="X100" s="55"/>
      <c r="Y100" s="55" t="s">
        <v>272</v>
      </c>
      <c r="Z100" s="55"/>
    </row>
    <row r="101" spans="1:29" ht="18.75" customHeight="1">
      <c r="A101" s="157" t="s">
        <v>293</v>
      </c>
      <c r="B101" s="158" t="s">
        <v>294</v>
      </c>
      <c r="C101" s="158"/>
      <c r="D101" s="158" t="s">
        <v>378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157" t="s">
        <v>293</v>
      </c>
      <c r="N101" s="158" t="s">
        <v>294</v>
      </c>
      <c r="O101" s="158"/>
      <c r="P101" s="158" t="s">
        <v>295</v>
      </c>
      <c r="Q101" s="159"/>
      <c r="R101" s="55"/>
      <c r="S101" s="55"/>
      <c r="T101" s="55"/>
      <c r="U101" s="55"/>
      <c r="V101" s="55"/>
      <c r="W101" s="55"/>
      <c r="X101" s="55"/>
      <c r="Y101" s="55" t="s">
        <v>273</v>
      </c>
      <c r="Z101" s="55"/>
    </row>
    <row r="102" spans="1:29" ht="18.75" customHeight="1">
      <c r="A102" s="228">
        <v>900</v>
      </c>
      <c r="B102" s="348">
        <v>400</v>
      </c>
      <c r="C102" s="348"/>
      <c r="D102" s="348">
        <v>200</v>
      </c>
      <c r="E102" s="348"/>
      <c r="F102" s="55"/>
      <c r="G102" s="228">
        <v>199.99</v>
      </c>
      <c r="H102" s="348">
        <v>0</v>
      </c>
      <c r="I102" s="348"/>
      <c r="J102" s="348">
        <v>0</v>
      </c>
      <c r="K102" s="348"/>
      <c r="L102" s="55"/>
      <c r="M102" s="228">
        <v>199.99</v>
      </c>
      <c r="N102" s="348">
        <v>0</v>
      </c>
      <c r="O102" s="348"/>
      <c r="P102" s="348">
        <v>0</v>
      </c>
      <c r="Q102" s="348"/>
      <c r="R102" s="55"/>
      <c r="S102" s="55"/>
      <c r="T102" s="55"/>
      <c r="U102" s="55"/>
      <c r="V102" s="55"/>
      <c r="W102" s="55"/>
      <c r="X102" s="55"/>
      <c r="Y102" s="55" t="s">
        <v>274</v>
      </c>
      <c r="Z102" s="55"/>
    </row>
    <row r="103" spans="1:29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 t="s">
        <v>275</v>
      </c>
      <c r="Z103" s="55"/>
    </row>
    <row r="104" spans="1:29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162" t="s">
        <v>138</v>
      </c>
      <c r="N104" s="55" t="s">
        <v>141</v>
      </c>
      <c r="O104" s="158"/>
      <c r="P104" s="158" t="s">
        <v>152</v>
      </c>
      <c r="Q104" s="159"/>
      <c r="R104" s="55"/>
      <c r="S104" s="55"/>
      <c r="T104" s="55"/>
      <c r="U104" s="55"/>
      <c r="V104" s="55"/>
      <c r="W104" s="55"/>
      <c r="X104" s="55"/>
      <c r="Y104" s="55" t="s">
        <v>276</v>
      </c>
      <c r="Z104" s="55"/>
    </row>
    <row r="105" spans="1:29" ht="18.75" customHeight="1">
      <c r="A105" s="164" t="s">
        <v>385</v>
      </c>
      <c r="B105" s="396">
        <v>0.3</v>
      </c>
      <c r="C105" s="396"/>
      <c r="D105" s="348">
        <v>200</v>
      </c>
      <c r="E105" s="348"/>
      <c r="F105" s="55"/>
      <c r="G105" s="164" t="s">
        <v>31</v>
      </c>
      <c r="H105" s="396">
        <v>0.2</v>
      </c>
      <c r="I105" s="396"/>
      <c r="J105" s="348"/>
      <c r="K105" s="348"/>
      <c r="L105" s="55"/>
      <c r="M105" s="164" t="s">
        <v>31</v>
      </c>
      <c r="N105" s="396">
        <v>0.2</v>
      </c>
      <c r="O105" s="396"/>
      <c r="P105" s="348">
        <v>0</v>
      </c>
      <c r="Q105" s="348"/>
      <c r="R105" s="55"/>
      <c r="S105" s="55"/>
      <c r="T105" s="55"/>
      <c r="U105" s="55"/>
      <c r="V105" s="55"/>
      <c r="W105" s="55"/>
      <c r="X105" s="55"/>
      <c r="Y105" s="55" t="s">
        <v>277</v>
      </c>
      <c r="Z105" s="55"/>
    </row>
    <row r="106" spans="1:29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9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157"/>
      <c r="N107" s="158" t="s">
        <v>346</v>
      </c>
      <c r="O107" s="164" t="s">
        <v>31</v>
      </c>
      <c r="P107" s="158"/>
      <c r="Q107" s="159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9" ht="18.75" customHeight="1">
      <c r="A108" s="377">
        <v>199.99</v>
      </c>
      <c r="B108" s="377">
        <v>0</v>
      </c>
      <c r="C108" s="377"/>
      <c r="D108" s="377"/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377" t="s">
        <v>296</v>
      </c>
      <c r="N108" s="377"/>
      <c r="O108" s="377"/>
      <c r="P108" s="377"/>
      <c r="Q108" s="377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9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9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157" t="s">
        <v>297</v>
      </c>
      <c r="N110" s="164" t="s">
        <v>32</v>
      </c>
      <c r="O110" s="158"/>
      <c r="P110" s="158"/>
      <c r="Q110" s="159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9" ht="18.75" customHeight="1">
      <c r="A111" s="157" t="s">
        <v>32</v>
      </c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157"/>
      <c r="N111" s="158"/>
      <c r="O111" s="158"/>
      <c r="P111" s="158"/>
      <c r="Q111" s="159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9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0</v>
      </c>
      <c r="K112" s="92">
        <v>0</v>
      </c>
      <c r="L112" s="55"/>
      <c r="M112" s="157" t="s">
        <v>185</v>
      </c>
      <c r="N112" s="158"/>
      <c r="O112" s="158"/>
      <c r="P112" s="228">
        <v>500</v>
      </c>
      <c r="Q112" s="92">
        <v>300</v>
      </c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0</v>
      </c>
      <c r="K113" s="92">
        <v>0</v>
      </c>
      <c r="L113" s="55"/>
      <c r="M113" s="157" t="s">
        <v>186</v>
      </c>
      <c r="N113" s="158"/>
      <c r="O113" s="158"/>
      <c r="P113" s="35">
        <f>Q113</f>
        <v>100</v>
      </c>
      <c r="Q113" s="92">
        <v>100</v>
      </c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0</v>
      </c>
      <c r="K114" s="127">
        <f>K112-K113</f>
        <v>0</v>
      </c>
      <c r="L114" s="55"/>
      <c r="M114" s="157" t="s">
        <v>187</v>
      </c>
      <c r="N114" s="158"/>
      <c r="O114" s="158"/>
      <c r="P114" s="35">
        <f>P112-P113</f>
        <v>400</v>
      </c>
      <c r="Q114" s="127">
        <f>Q112-Q113</f>
        <v>200</v>
      </c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0</v>
      </c>
      <c r="K115" s="159"/>
      <c r="L115" s="55"/>
      <c r="M115" s="157" t="s">
        <v>188</v>
      </c>
      <c r="N115" s="158"/>
      <c r="O115" s="158"/>
      <c r="P115" s="35">
        <f>P114-Q114</f>
        <v>200</v>
      </c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157"/>
      <c r="N116" s="158"/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f>D99</f>
        <v>1000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209" t="s">
        <v>148</v>
      </c>
      <c r="N117" s="210"/>
      <c r="O117" s="210"/>
      <c r="P117" s="210"/>
      <c r="Q117" s="24">
        <f>P99</f>
        <v>0</v>
      </c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f>A102</f>
        <v>900</v>
      </c>
      <c r="F118" s="55"/>
      <c r="G118" s="157" t="s">
        <v>66</v>
      </c>
      <c r="H118" s="158"/>
      <c r="I118" s="158"/>
      <c r="J118" s="158"/>
      <c r="K118" s="29">
        <f>G102</f>
        <v>199.99</v>
      </c>
      <c r="L118" s="55"/>
      <c r="M118" s="157" t="s">
        <v>66</v>
      </c>
      <c r="N118" s="158"/>
      <c r="O118" s="158"/>
      <c r="P118" s="158"/>
      <c r="Q118" s="29">
        <f>M102</f>
        <v>199.99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(E118)+E117-E114</f>
        <v>1900</v>
      </c>
      <c r="F119" s="55"/>
      <c r="G119" s="229" t="s">
        <v>298</v>
      </c>
      <c r="H119" s="207"/>
      <c r="I119" s="207"/>
      <c r="J119" s="207"/>
      <c r="K119" s="57">
        <f>((K118/1.2)+K117)-(J115-K113)</f>
        <v>166.65833333333336</v>
      </c>
      <c r="L119" s="55"/>
      <c r="M119" s="229" t="s">
        <v>298</v>
      </c>
      <c r="N119" s="207"/>
      <c r="O119" s="207"/>
      <c r="P119" s="207"/>
      <c r="Q119" s="57">
        <f>(Q118+Q117)-P115</f>
        <v>-9.9999999999909051E-3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157"/>
      <c r="N120" s="158"/>
      <c r="O120" s="158"/>
      <c r="P120" s="158"/>
      <c r="Q120" s="159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157"/>
      <c r="N121" s="158"/>
      <c r="O121" s="158"/>
      <c r="P121" s="158"/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377" t="s">
        <v>299</v>
      </c>
      <c r="N122" s="377"/>
      <c r="O122" s="377"/>
      <c r="P122" s="377"/>
      <c r="Q122" s="377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157"/>
      <c r="N123" s="158"/>
      <c r="O123" s="158"/>
      <c r="P123" s="158"/>
      <c r="Q123" s="159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157" t="s">
        <v>193</v>
      </c>
      <c r="N124" s="368">
        <v>0</v>
      </c>
      <c r="O124" s="368"/>
      <c r="P124" s="158"/>
      <c r="Q124" s="159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36</v>
      </c>
      <c r="C125" s="236"/>
      <c r="D125" s="235">
        <f>B160</f>
        <v>10000</v>
      </c>
      <c r="E125" s="233"/>
      <c r="F125" s="55"/>
      <c r="G125" s="157"/>
      <c r="H125" s="158"/>
      <c r="I125" s="158"/>
      <c r="J125" s="158"/>
      <c r="K125" s="159"/>
      <c r="L125" s="55"/>
      <c r="M125" s="157"/>
      <c r="N125" s="158"/>
      <c r="O125" s="158"/>
      <c r="P125" s="158"/>
      <c r="Q125" s="159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238" t="s">
        <v>302</v>
      </c>
      <c r="H126" s="239" t="s">
        <v>303</v>
      </c>
      <c r="I126" s="239"/>
      <c r="J126" s="239" t="s">
        <v>304</v>
      </c>
      <c r="K126" s="159"/>
      <c r="L126" s="55"/>
      <c r="M126" s="238" t="s">
        <v>347</v>
      </c>
      <c r="N126" s="239" t="s">
        <v>259</v>
      </c>
      <c r="O126" s="239"/>
      <c r="P126" s="239" t="s">
        <v>131</v>
      </c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242">
        <f>H90</f>
        <v>-27.370624130613866</v>
      </c>
      <c r="H127" s="133">
        <f>IF(G105="YES",H89*H57,0)</f>
        <v>1264.3902439024391</v>
      </c>
      <c r="I127" s="133"/>
      <c r="J127" s="243">
        <f>H91</f>
        <v>183.36108318645933</v>
      </c>
      <c r="K127" s="159"/>
      <c r="L127" s="55"/>
      <c r="M127" s="242">
        <f>N90</f>
        <v>-31.296000372535762</v>
      </c>
      <c r="N127" s="133">
        <f>IF(M105="YES",N89*N57,0)</f>
        <v>1053.6585365853659</v>
      </c>
      <c r="O127" s="133"/>
      <c r="P127" s="133">
        <f>N91</f>
        <v>144.31375572502523</v>
      </c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345.76460080216634</v>
      </c>
      <c r="B128" s="232">
        <f>IF(A105="YES",B89,0)</f>
        <v>78</v>
      </c>
      <c r="C128" s="236"/>
      <c r="D128" s="232">
        <f>B91</f>
        <v>423.76460080216634</v>
      </c>
      <c r="E128" s="233"/>
      <c r="F128" s="55"/>
      <c r="G128" s="157"/>
      <c r="H128" s="158"/>
      <c r="I128" s="158"/>
      <c r="J128" s="158"/>
      <c r="K128" s="159"/>
      <c r="L128" s="55"/>
      <c r="M128" s="157"/>
      <c r="N128" s="158"/>
      <c r="O128" s="158"/>
      <c r="P128" s="158"/>
      <c r="Q128" s="159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 t="s">
        <v>94</v>
      </c>
      <c r="H129" s="158" t="s">
        <v>95</v>
      </c>
      <c r="I129" s="158"/>
      <c r="J129" s="158" t="s">
        <v>97</v>
      </c>
      <c r="K129" s="159"/>
      <c r="L129" s="55"/>
      <c r="M129" s="157" t="s">
        <v>94</v>
      </c>
      <c r="N129" s="158" t="s">
        <v>95</v>
      </c>
      <c r="O129" s="158"/>
      <c r="P129" s="158" t="s">
        <v>97</v>
      </c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169">
        <f>G152</f>
        <v>36</v>
      </c>
      <c r="H130" s="170">
        <f>B151</f>
        <v>0</v>
      </c>
      <c r="I130" s="171"/>
      <c r="J130" s="170">
        <f>B58</f>
        <v>35</v>
      </c>
      <c r="K130" s="159"/>
      <c r="L130" s="55"/>
      <c r="M130" s="169">
        <f>M155</f>
        <v>36</v>
      </c>
      <c r="N130" s="170">
        <f>B151</f>
        <v>0</v>
      </c>
      <c r="O130" s="171"/>
      <c r="P130" s="170">
        <f>B58</f>
        <v>35</v>
      </c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44" t="str">
        <f>B99</f>
        <v xml:space="preserve"> Monthly in advance </v>
      </c>
      <c r="B131" s="34">
        <f>B90*B57</f>
        <v>345.76460080216634</v>
      </c>
      <c r="C131" s="158"/>
      <c r="D131" s="34">
        <f>IF(A105="YES",B89*B57,0)</f>
        <v>78</v>
      </c>
      <c r="E131" s="159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157" t="s">
        <v>348</v>
      </c>
      <c r="N132" s="158" t="s">
        <v>251</v>
      </c>
      <c r="O132" s="158"/>
      <c r="P132" s="158" t="s">
        <v>254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-164.2237447836832</v>
      </c>
      <c r="H133" s="34">
        <f>IF(G105="YES",H89*H57,0)</f>
        <v>1264.3902439024391</v>
      </c>
      <c r="I133" s="163"/>
      <c r="J133" s="137">
        <f>H91*H57</f>
        <v>1100.1664991187558</v>
      </c>
      <c r="K133" s="159"/>
      <c r="L133" s="55"/>
      <c r="M133" s="138">
        <f>N90*N57</f>
        <v>-187.77600223521458</v>
      </c>
      <c r="N133" s="34">
        <f>IF(M105="YES",N89*N57,0)</f>
        <v>1053.6585365853659</v>
      </c>
      <c r="O133" s="163"/>
      <c r="P133" s="137">
        <f>N91*N57</f>
        <v>865.88253435015145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94">
        <f>B91*B57</f>
        <v>423.76460080216634</v>
      </c>
      <c r="B134" s="34">
        <f>E114</f>
        <v>0</v>
      </c>
      <c r="C134" s="158"/>
      <c r="D134" s="245">
        <f>B58</f>
        <v>35</v>
      </c>
      <c r="E134" s="159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157" t="s">
        <v>261</v>
      </c>
      <c r="N135" s="158" t="s">
        <v>262</v>
      </c>
      <c r="O135" s="158"/>
      <c r="P135" s="158" t="s">
        <v>266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</v>
      </c>
      <c r="H136" s="34">
        <f>IF(G105="YES",E15*0.000002,0)</f>
        <v>0</v>
      </c>
      <c r="I136" s="34"/>
      <c r="J136" s="34">
        <f>G136+H136</f>
        <v>0</v>
      </c>
      <c r="K136" s="90"/>
      <c r="L136" s="55"/>
      <c r="M136" s="94">
        <f>E15*0.000006</f>
        <v>0</v>
      </c>
      <c r="N136" s="34">
        <f>IF(M105="YES",E15*0.000002,0)</f>
        <v>0</v>
      </c>
      <c r="O136" s="34"/>
      <c r="P136" s="34">
        <f>M136+N136</f>
        <v>0</v>
      </c>
      <c r="Q136" s="90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94">
        <f>B90</f>
        <v>345.76460080216634</v>
      </c>
      <c r="B137" s="34">
        <f>IF(A105="YES",B89,0)</f>
        <v>78</v>
      </c>
      <c r="C137" s="158"/>
      <c r="D137" s="34">
        <f>B91</f>
        <v>423.76460080216634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157" t="s">
        <v>151</v>
      </c>
      <c r="N138" s="158" t="s">
        <v>316</v>
      </c>
      <c r="O138" s="158"/>
      <c r="P138" s="158" t="s">
        <v>317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199.99</v>
      </c>
      <c r="H139" s="34">
        <f>H67</f>
        <v>0</v>
      </c>
      <c r="I139" s="34"/>
      <c r="J139" s="34">
        <f>H102*0.9</f>
        <v>0</v>
      </c>
      <c r="K139" s="90"/>
      <c r="L139" s="55"/>
      <c r="M139" s="94">
        <f>M102</f>
        <v>199.99</v>
      </c>
      <c r="N139" s="34">
        <f>N67</f>
        <v>0</v>
      </c>
      <c r="O139" s="34"/>
      <c r="P139" s="34">
        <f>N102*0.9</f>
        <v>0</v>
      </c>
      <c r="Q139" s="90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250">
        <f>(B61*0.000006)*1.2*100</f>
        <v>29.178720000000002</v>
      </c>
      <c r="B140" s="251">
        <f>IF(A105="YES",B61*0.000002,0)*1.2*100</f>
        <v>9.7262400000000007</v>
      </c>
      <c r="C140" s="252"/>
      <c r="D140" s="251">
        <f>A140+B140</f>
        <v>38.904960000000003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157" t="s">
        <v>319</v>
      </c>
      <c r="N141" s="158" t="s">
        <v>320</v>
      </c>
      <c r="O141" s="158"/>
      <c r="P141" s="158" t="s">
        <v>321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IF(G105="YES",((B36*H105)*0.1)*(G130),0)</f>
        <v>36</v>
      </c>
      <c r="H142" s="34">
        <f>G102-100</f>
        <v>99.990000000000009</v>
      </c>
      <c r="I142" s="34"/>
      <c r="J142" s="34" t="e">
        <f>(H139+J139+G142+H142)-H145</f>
        <v>#DIV/0!</v>
      </c>
      <c r="K142" s="90"/>
      <c r="L142" s="55"/>
      <c r="M142" s="94">
        <f>IF(M105="YES",((B36*N105)*0.1)*(M130),0)</f>
        <v>36</v>
      </c>
      <c r="N142" s="34">
        <f>M102-100</f>
        <v>99.990000000000009</v>
      </c>
      <c r="O142" s="34"/>
      <c r="P142" s="34" t="e">
        <f>(N139+P139+M142+N142)-N145</f>
        <v>#DIV/0!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v>0</v>
      </c>
      <c r="B143" s="34">
        <f>E118</f>
        <v>900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157" t="s">
        <v>323</v>
      </c>
      <c r="N144" s="158" t="s">
        <v>324</v>
      </c>
      <c r="O144" s="158"/>
      <c r="P144" s="158"/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v>0</v>
      </c>
      <c r="H145" s="34" t="e">
        <f>(H139+J139+G142+H142)*(G145/H64)</f>
        <v>#DIV/0!</v>
      </c>
      <c r="I145" s="158"/>
      <c r="J145" s="158"/>
      <c r="K145" s="159"/>
      <c r="L145" s="55"/>
      <c r="M145" s="94">
        <v>0</v>
      </c>
      <c r="N145" s="34" t="e">
        <f>(N139+P139+M142+N142)*(M145/N64)</f>
        <v>#DIV/0!</v>
      </c>
      <c r="O145" s="158"/>
      <c r="P145" s="158"/>
      <c r="Q145" s="159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94"/>
      <c r="N146" s="34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3" t="s">
        <v>349</v>
      </c>
      <c r="N147" s="35" t="s">
        <v>350</v>
      </c>
      <c r="O147" s="158"/>
      <c r="P147" s="158"/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300</v>
      </c>
      <c r="B148" s="34">
        <f>B102</f>
        <v>400</v>
      </c>
      <c r="C148" s="34"/>
      <c r="D148" s="34">
        <f>IF(A105="YES",(B40*B105)*B125,0)*0.1</f>
        <v>53.999999999999993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285">
        <v>18000</v>
      </c>
      <c r="N148" s="400">
        <v>0.99</v>
      </c>
      <c r="O148" s="400"/>
      <c r="P148" s="158"/>
      <c r="Q148" s="159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157"/>
      <c r="N150" s="158"/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225</v>
      </c>
      <c r="B151" s="34">
        <f>(A148+B148+D148+A151)*(A143/B64)</f>
        <v>0</v>
      </c>
      <c r="C151" s="34"/>
      <c r="D151" s="34">
        <f>(A148+B148+D148+A151)-B151-A154</f>
        <v>779</v>
      </c>
      <c r="E151" s="90"/>
      <c r="F151" s="55"/>
      <c r="G151" s="387"/>
      <c r="H151" s="389">
        <f>B51</f>
        <v>10000</v>
      </c>
      <c r="I151" s="389"/>
      <c r="J151" s="158"/>
      <c r="K151" s="159"/>
      <c r="L151" s="55"/>
      <c r="M151" s="202" t="s">
        <v>329</v>
      </c>
      <c r="N151" s="158"/>
      <c r="O151" s="158"/>
      <c r="P151" s="203"/>
      <c r="Q151" s="204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36</v>
      </c>
      <c r="H152" s="343">
        <f>H91</f>
        <v>183.36108318645933</v>
      </c>
      <c r="I152" s="343"/>
      <c r="J152" s="158"/>
      <c r="K152" s="159"/>
      <c r="L152" s="55"/>
      <c r="M152" s="157"/>
      <c r="N152" s="183"/>
      <c r="O152" s="183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387" t="s">
        <v>94</v>
      </c>
      <c r="N153" s="388" t="s">
        <v>95</v>
      </c>
      <c r="O153" s="38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387"/>
      <c r="N154" s="389">
        <f>B51</f>
        <v>10000</v>
      </c>
      <c r="O154" s="389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185">
        <f>A52</f>
        <v>36</v>
      </c>
      <c r="N155" s="343">
        <f>N91</f>
        <v>144.31375572502523</v>
      </c>
      <c r="O155" s="343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157"/>
      <c r="N157" s="158"/>
      <c r="O157" s="158"/>
      <c r="P157" s="158"/>
      <c r="Q157" s="159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157"/>
      <c r="N158" s="158"/>
      <c r="O158" s="158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157"/>
      <c r="N159" s="158"/>
      <c r="O159" s="15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10000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157"/>
      <c r="N160" s="158"/>
      <c r="O160" s="158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36</v>
      </c>
      <c r="B161" s="343">
        <f>B91</f>
        <v>423.76460080216634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157"/>
      <c r="N161" s="158"/>
      <c r="O161" s="158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206"/>
      <c r="N162" s="207"/>
      <c r="O162" s="207"/>
      <c r="P162" s="207"/>
      <c r="Q162" s="208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157"/>
      <c r="B165" s="158"/>
      <c r="C165" s="158"/>
      <c r="D165" s="158"/>
      <c r="E165" s="159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206"/>
      <c r="B166" s="207"/>
      <c r="C166" s="207"/>
      <c r="D166" s="207"/>
      <c r="E166" s="208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35">
        <f>A161</f>
        <v>36</v>
      </c>
      <c r="C174" s="236"/>
      <c r="D174" s="235">
        <f>D125</f>
        <v>10000</v>
      </c>
      <c r="E174" s="233"/>
      <c r="F174" s="55"/>
      <c r="G174" s="273" t="s">
        <v>379</v>
      </c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B90</f>
        <v>345.76460080216634</v>
      </c>
      <c r="B177" s="232">
        <f>IF(A105="YES",B89,0)</f>
        <v>78</v>
      </c>
      <c r="C177" s="236"/>
      <c r="D177" s="232">
        <f>B91</f>
        <v>423.76460080216634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B99</f>
        <v xml:space="preserve"> Monthly in advance </v>
      </c>
      <c r="B180" s="34">
        <f>B90*B57</f>
        <v>345.76460080216634</v>
      </c>
      <c r="C180" s="158"/>
      <c r="D180" s="34">
        <f>IF(A105="YES",B89*B57,0)</f>
        <v>78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B91*B57</f>
        <v>423.76460080216634</v>
      </c>
      <c r="B183" s="34">
        <f>E114</f>
        <v>0</v>
      </c>
      <c r="C183" s="158"/>
      <c r="D183" s="245">
        <f>B58</f>
        <v>35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B90</f>
        <v>345.76460080216634</v>
      </c>
      <c r="B186" s="34">
        <f>IF(A105="YES",B89,0)</f>
        <v>78</v>
      </c>
      <c r="C186" s="158"/>
      <c r="D186" s="34">
        <f>B91</f>
        <v>423.76460080216634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A140</f>
        <v>29.178720000000002</v>
      </c>
      <c r="B189" s="251">
        <f>B140</f>
        <v>9.7262400000000007</v>
      </c>
      <c r="C189" s="252"/>
      <c r="D189" s="251">
        <f>A189+B189</f>
        <v>38.904960000000003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E118</f>
        <v>900</v>
      </c>
      <c r="C192" s="158"/>
      <c r="D192" s="119">
        <f>B102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B67</f>
        <v>300</v>
      </c>
      <c r="B197" s="34">
        <f>B102</f>
        <v>400</v>
      </c>
      <c r="C197" s="34"/>
      <c r="D197" s="34">
        <f>IF(A105="YES",(B40*B105)*B125,0)*0.1</f>
        <v>53.999999999999993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A151</f>
        <v>225</v>
      </c>
      <c r="B200" s="34">
        <f>(A148+B148+D148+A151)*(A143/B64)</f>
        <v>0</v>
      </c>
      <c r="C200" s="34"/>
      <c r="D200" s="34">
        <f>D151</f>
        <v>779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D102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7.0000000000000007E-2</v>
      </c>
      <c r="C209" s="232" t="s">
        <v>227</v>
      </c>
      <c r="D209" s="261">
        <f>D64</f>
        <v>10000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300</v>
      </c>
      <c r="C211" s="231" t="s">
        <v>229</v>
      </c>
      <c r="D211" s="261">
        <f>B225+E221+B221+B223</f>
        <v>1004.9999999999999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10705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D64</f>
        <v>10000</v>
      </c>
      <c r="C217" s="178" t="s">
        <v>233</v>
      </c>
      <c r="D217" s="158"/>
      <c r="E217" s="214">
        <f>B66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B67</f>
        <v>300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(B77-(B77*(E219*100)))*0.1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B78-(B78*(E219*100))</f>
        <v>200</v>
      </c>
      <c r="C223" s="163" t="s">
        <v>230</v>
      </c>
      <c r="D223" s="158"/>
      <c r="E223" s="29">
        <f>(B217-B211+D211)</f>
        <v>10705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539.99999999999989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customFormat="1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B71</f>
        <v>200</v>
      </c>
      <c r="C229" s="163" t="s">
        <v>238</v>
      </c>
      <c r="D229" s="254"/>
      <c r="E229" s="118">
        <f>B72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D73</f>
        <v>380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B68</f>
        <v>7.4999999999999997E-3</v>
      </c>
      <c r="C231" s="163" t="s">
        <v>241</v>
      </c>
      <c r="D231" s="254"/>
      <c r="E231" s="214">
        <f>B69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B86</f>
        <v>87.254836172787847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B79</f>
        <v>200</v>
      </c>
      <c r="C233" s="268" t="s">
        <v>336</v>
      </c>
      <c r="D233" s="269"/>
      <c r="E233" s="118">
        <f>B74</f>
        <v>275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B80</f>
        <v>200</v>
      </c>
      <c r="C235" s="272" t="s">
        <v>337</v>
      </c>
      <c r="D235" s="272"/>
      <c r="E235" s="118">
        <f>B75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/>
    <row r="359" spans="1:26" ht="15.75" customHeight="1"/>
    <row r="360" spans="1:26" ht="15.75" customHeight="1"/>
    <row r="361" spans="1:26" ht="15.75" customHeight="1"/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4">
    <mergeCell ref="A207:E207"/>
    <mergeCell ref="A159:A160"/>
    <mergeCell ref="B159:C159"/>
    <mergeCell ref="B160:C160"/>
    <mergeCell ref="B161:C161"/>
    <mergeCell ref="A171:E171"/>
    <mergeCell ref="H152:I152"/>
    <mergeCell ref="M153:M154"/>
    <mergeCell ref="N153:O153"/>
    <mergeCell ref="N154:O154"/>
    <mergeCell ref="N155:O155"/>
    <mergeCell ref="H124:I124"/>
    <mergeCell ref="N124:O124"/>
    <mergeCell ref="N148:O148"/>
    <mergeCell ref="G150:G151"/>
    <mergeCell ref="H150:I150"/>
    <mergeCell ref="H151:I151"/>
    <mergeCell ref="P105:Q105"/>
    <mergeCell ref="A108:E108"/>
    <mergeCell ref="G108:K108"/>
    <mergeCell ref="M108:Q108"/>
    <mergeCell ref="A122:E122"/>
    <mergeCell ref="G122:K122"/>
    <mergeCell ref="M122:Q122"/>
    <mergeCell ref="B105:C105"/>
    <mergeCell ref="D105:E105"/>
    <mergeCell ref="H105:I105"/>
    <mergeCell ref="J105:K105"/>
    <mergeCell ref="N105:O105"/>
    <mergeCell ref="N99:O99"/>
    <mergeCell ref="P99:Q99"/>
    <mergeCell ref="B102:C102"/>
    <mergeCell ref="D102:E102"/>
    <mergeCell ref="H102:I102"/>
    <mergeCell ref="J102:K102"/>
    <mergeCell ref="N102:O102"/>
    <mergeCell ref="P102:Q102"/>
    <mergeCell ref="B97:C97"/>
    <mergeCell ref="B99:C99"/>
    <mergeCell ref="D99:E99"/>
    <mergeCell ref="H99:I99"/>
    <mergeCell ref="J99:K99"/>
    <mergeCell ref="B52:C52"/>
    <mergeCell ref="A94:E94"/>
    <mergeCell ref="G94:K94"/>
    <mergeCell ref="M94:Q94"/>
    <mergeCell ref="A96:E96"/>
    <mergeCell ref="G96:K96"/>
    <mergeCell ref="M96:Q96"/>
    <mergeCell ref="C44:D44"/>
    <mergeCell ref="C45:D45"/>
    <mergeCell ref="A50:A51"/>
    <mergeCell ref="B50:C50"/>
    <mergeCell ref="B51:C51"/>
    <mergeCell ref="A24:E24"/>
    <mergeCell ref="A28:E28"/>
    <mergeCell ref="B30:C30"/>
    <mergeCell ref="G38:H38"/>
    <mergeCell ref="B40:C40"/>
    <mergeCell ref="A1:F1"/>
    <mergeCell ref="D7:E18"/>
    <mergeCell ref="A16:C18"/>
    <mergeCell ref="A19:D19"/>
    <mergeCell ref="A21:D21"/>
  </mergeCells>
  <dataValidations count="1">
    <dataValidation type="list" allowBlank="1" showErrorMessage="1" sqref="H99 N99 G105 M105 O107 H110 N110" xr:uid="{00000000-0002-0000-1700-000002000000}">
      <formula1>#REF!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700-000000000000}">
          <x14:formula1>
            <xm:f>'Formula1-BCH'!$I$3:$I$4</xm:f>
          </x14:formula1>
          <x14:formula2>
            <xm:f>0</xm:f>
          </x14:formula2>
          <xm:sqref>B26 A105 B110</xm:sqref>
        </x14:dataValidation>
        <x14:dataValidation type="list" allowBlank="1" showErrorMessage="1" xr:uid="{00000000-0002-0000-1700-000001000000}">
          <x14:formula1>
            <xm:f>'Formula1-BCH'!$Y$97:$Y$105</xm:f>
          </x14:formula1>
          <x14:formula2>
            <xm:f>0</xm:f>
          </x14:formula2>
          <xm:sqref>B99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C1002"/>
  <sheetViews>
    <sheetView topLeftCell="A190" zoomScale="110" zoomScaleNormal="110" workbookViewId="0">
      <selection activeCell="D201" sqref="D201"/>
    </sheetView>
  </sheetViews>
  <sheetFormatPr defaultColWidth="10.875" defaultRowHeight="14.25"/>
  <cols>
    <col min="1" max="1" customWidth="true" width="56.0"/>
    <col min="2" max="2" customWidth="true" width="18.125"/>
    <col min="3" max="3" customWidth="true" width="25.125"/>
    <col min="4" max="4" customWidth="true" width="18.125"/>
    <col min="5" max="5" customWidth="true" width="24.0"/>
    <col min="7" max="7" customWidth="true" width="53.5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38.2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14333.33</v>
      </c>
      <c r="C2" s="6" t="s">
        <v>16</v>
      </c>
      <c r="D2" s="7">
        <f>C9</f>
        <v>2866.6660000000002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>
        <v>25000</v>
      </c>
      <c r="H3" s="55"/>
      <c r="I3" s="55" t="s">
        <v>31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17199.995999999999</v>
      </c>
      <c r="C4" s="194"/>
      <c r="D4" s="194"/>
      <c r="E4" s="194"/>
      <c r="F4" s="195" t="s">
        <v>10</v>
      </c>
      <c r="G4" s="55"/>
      <c r="H4" s="55"/>
      <c r="I4" s="55" t="s">
        <v>32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297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>
      <c r="A8" s="196"/>
      <c r="B8" s="55"/>
      <c r="C8" s="55"/>
      <c r="D8" s="392"/>
      <c r="E8" s="392"/>
      <c r="F8" s="55"/>
      <c r="G8" s="298" t="e">
        <f>G9*100/B3</f>
        <v>#DIV/0!</v>
      </c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14333.33</v>
      </c>
      <c r="C9" s="11">
        <f>B9*0.2</f>
        <v>2866.6660000000002</v>
      </c>
      <c r="D9" s="392"/>
      <c r="E9" s="392"/>
      <c r="F9" s="55"/>
      <c r="G9" s="297">
        <f>E9-G11</f>
        <v>-152558.33333333334</v>
      </c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297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297">
        <f>G13/1.2</f>
        <v>152558.33333333334</v>
      </c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297">
        <f>G15-E14-E13-E12</f>
        <v>183070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14333.33</v>
      </c>
      <c r="C15" s="11">
        <f>SUM(C9:C13)</f>
        <v>2866.6660000000002</v>
      </c>
      <c r="D15" s="392"/>
      <c r="E15" s="392"/>
      <c r="F15" s="55"/>
      <c r="G15" s="17">
        <v>183070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299">
        <f>(B3+C3+E10)*1.2</f>
        <v>0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17">
        <f>(B3+C3+D3+E3+E10)*1.2</f>
        <v>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17199.995999999999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14333.33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354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162" t="s">
        <v>138</v>
      </c>
      <c r="B26" s="164" t="s">
        <v>385</v>
      </c>
      <c r="C26" s="158"/>
      <c r="D26" s="158"/>
      <c r="E26" s="159"/>
      <c r="F26" s="55"/>
      <c r="G26" s="160" t="s">
        <v>36</v>
      </c>
      <c r="H26" s="160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38</v>
      </c>
      <c r="H27" s="161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377" t="s">
        <v>192</v>
      </c>
      <c r="B28" s="377"/>
      <c r="C28" s="377"/>
      <c r="D28" s="377"/>
      <c r="E28" s="377"/>
      <c r="F28" s="55"/>
      <c r="G28" s="161" t="s">
        <v>40</v>
      </c>
      <c r="H28" s="16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57"/>
      <c r="B29" s="158"/>
      <c r="C29" s="158"/>
      <c r="D29" s="158"/>
      <c r="E29" s="159"/>
      <c r="F29" s="55"/>
      <c r="G29" s="160" t="s">
        <v>41</v>
      </c>
      <c r="H29" s="300">
        <v>35</v>
      </c>
      <c r="I29" s="273"/>
      <c r="J29" s="55"/>
      <c r="K29" s="55">
        <v>35</v>
      </c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 t="s">
        <v>193</v>
      </c>
      <c r="B30" s="368" t="s">
        <v>387</v>
      </c>
      <c r="C30" s="368"/>
      <c r="D30" s="158"/>
      <c r="E30" s="159"/>
      <c r="F30" s="55"/>
      <c r="G30" s="160" t="s">
        <v>45</v>
      </c>
      <c r="H30" s="300">
        <v>35000</v>
      </c>
      <c r="I30" s="55"/>
      <c r="J30" s="55"/>
      <c r="K30" s="55">
        <v>35000</v>
      </c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57"/>
      <c r="B31" s="158"/>
      <c r="C31" s="158"/>
      <c r="D31" s="158"/>
      <c r="E31" s="159"/>
      <c r="F31" s="55"/>
      <c r="G31" s="160" t="s">
        <v>48</v>
      </c>
      <c r="H31" s="37">
        <v>0</v>
      </c>
      <c r="I31" s="55"/>
      <c r="J31" s="55"/>
      <c r="K31" s="55">
        <v>80000</v>
      </c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57" t="s">
        <v>94</v>
      </c>
      <c r="B32" s="158" t="s">
        <v>95</v>
      </c>
      <c r="C32" s="158"/>
      <c r="D32" s="301" t="s">
        <v>355</v>
      </c>
      <c r="E32" s="159"/>
      <c r="F32" s="55"/>
      <c r="G32" s="160" t="s">
        <v>49</v>
      </c>
      <c r="I32" s="37">
        <v>0</v>
      </c>
      <c r="J32" s="55"/>
      <c r="K32" s="55">
        <v>0</v>
      </c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31.7" customHeight="1">
      <c r="A33" s="169">
        <f>A52</f>
        <v>35</v>
      </c>
      <c r="B33" s="170">
        <v>10000</v>
      </c>
      <c r="C33" s="171"/>
      <c r="D33" s="302">
        <f>H48</f>
        <v>450.67382589595121</v>
      </c>
      <c r="E33" s="159"/>
      <c r="F33" s="55"/>
      <c r="G33" s="161" t="s">
        <v>356</v>
      </c>
      <c r="H33" s="43">
        <f>E21-E11</f>
        <v>14333.33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57"/>
      <c r="B34" s="158"/>
      <c r="C34" s="158"/>
      <c r="D34" s="158"/>
      <c r="E34" s="159"/>
      <c r="F34" s="55"/>
      <c r="G34" s="55" t="s">
        <v>372</v>
      </c>
      <c r="H34" s="55">
        <f>H29</f>
        <v>35</v>
      </c>
      <c r="I34" s="55">
        <v>43957.29</v>
      </c>
      <c r="J34" s="55">
        <v>841.24</v>
      </c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57" t="s">
        <v>357</v>
      </c>
      <c r="B35" s="158" t="s">
        <v>358</v>
      </c>
      <c r="C35" s="158"/>
      <c r="D35" s="158" t="s">
        <v>359</v>
      </c>
      <c r="E35" s="159"/>
      <c r="F35" s="55"/>
      <c r="G35" s="46" t="s">
        <v>59</v>
      </c>
      <c r="H35" s="174">
        <v>6.5000000000000002E-2</v>
      </c>
      <c r="I35" s="55">
        <v>46215.83</v>
      </c>
      <c r="J35" s="55">
        <v>909.69</v>
      </c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38">
        <f>H47</f>
        <v>450.67382589595121</v>
      </c>
      <c r="B36" s="34">
        <f>IF(B26="YES",H42,"")</f>
        <v>0</v>
      </c>
      <c r="C36" s="163"/>
      <c r="D36" s="137">
        <f>H31</f>
        <v>0</v>
      </c>
      <c r="E36" s="159"/>
      <c r="F36" s="55"/>
      <c r="G36" s="55"/>
      <c r="H36" s="55"/>
      <c r="I36" s="55">
        <f>I35-I34</f>
        <v>2258.5400000000009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94"/>
      <c r="B37" s="34"/>
      <c r="C37" s="163"/>
      <c r="D37" s="34"/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57"/>
      <c r="B38" s="158"/>
      <c r="C38" s="158"/>
      <c r="D38" s="158"/>
      <c r="E38" s="159"/>
      <c r="F38" s="55"/>
      <c r="G38" s="384" t="s">
        <v>65</v>
      </c>
      <c r="H38" s="384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57" t="s">
        <v>360</v>
      </c>
      <c r="B39" s="158" t="s">
        <v>361</v>
      </c>
      <c r="C39" s="158"/>
      <c r="D39" s="158" t="s">
        <v>362</v>
      </c>
      <c r="E39" s="159"/>
      <c r="F39" s="55"/>
      <c r="G39" s="55" t="s">
        <v>96</v>
      </c>
      <c r="H39" s="5">
        <f>H33</f>
        <v>14333.33</v>
      </c>
      <c r="I39" s="5">
        <f>(I48*H46)+H44</f>
        <v>44525.909531371071</v>
      </c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92">
        <f>D36*A45/100</f>
        <v>0</v>
      </c>
      <c r="B40" s="348">
        <f>IF(B26="YES",H42,"0")</f>
        <v>0</v>
      </c>
      <c r="C40" s="348"/>
      <c r="D40" s="137">
        <f>I32</f>
        <v>0</v>
      </c>
      <c r="E40" s="159"/>
      <c r="F40" s="55"/>
      <c r="G40" s="55" t="s">
        <v>118</v>
      </c>
      <c r="H40" s="5">
        <f>A40/1.2</f>
        <v>0</v>
      </c>
      <c r="I40" s="5">
        <f>H39-I39</f>
        <v>-30192.57953137107</v>
      </c>
      <c r="J40" s="55">
        <v>0</v>
      </c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157"/>
      <c r="B41" s="158"/>
      <c r="C41" s="158"/>
      <c r="D41" s="158"/>
      <c r="E41" s="159"/>
      <c r="F41" s="55"/>
      <c r="G41" s="55" t="s">
        <v>363</v>
      </c>
      <c r="H41" s="180">
        <f>H35/12</f>
        <v>5.4166666666666669E-3</v>
      </c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57"/>
      <c r="B42" s="158"/>
      <c r="C42" s="158"/>
      <c r="D42" s="158"/>
      <c r="E42" s="159"/>
      <c r="F42" s="55"/>
      <c r="G42" s="55" t="s">
        <v>364</v>
      </c>
      <c r="H42" s="5">
        <f>(I32/H34)*(C45/100)</f>
        <v>0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209"/>
      <c r="B43" s="210"/>
      <c r="C43" s="210"/>
      <c r="D43" s="210"/>
      <c r="E43" s="211"/>
      <c r="F43" s="55"/>
      <c r="G43" s="55" t="s">
        <v>365</v>
      </c>
      <c r="H43" s="55"/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303" t="s">
        <v>89</v>
      </c>
      <c r="B44" s="158"/>
      <c r="C44" s="404" t="s">
        <v>90</v>
      </c>
      <c r="D44" s="404"/>
      <c r="E44" s="159"/>
      <c r="F44" s="55"/>
      <c r="G44" s="55" t="s">
        <v>373</v>
      </c>
      <c r="H44" s="5">
        <f>(H40/(1+H41)^(H34+1))</f>
        <v>0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304">
        <v>100</v>
      </c>
      <c r="B45" s="158"/>
      <c r="C45" s="405">
        <v>100</v>
      </c>
      <c r="D45" s="405"/>
      <c r="E45" s="159"/>
      <c r="F45" s="55"/>
      <c r="G45" s="55" t="s">
        <v>374</v>
      </c>
      <c r="H45" s="5">
        <f>(H39-H44)</f>
        <v>14333.33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6"/>
      <c r="B46" s="207"/>
      <c r="C46" s="207"/>
      <c r="D46" s="207"/>
      <c r="E46" s="208"/>
      <c r="F46" s="55"/>
      <c r="G46" s="55" t="s">
        <v>375</v>
      </c>
      <c r="H46" s="5">
        <f>((1-(1/((1+H41)^H34)))/H41)</f>
        <v>31.804221093836478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57"/>
      <c r="B47" s="158"/>
      <c r="C47" s="158"/>
      <c r="D47" s="158"/>
      <c r="E47" s="159"/>
      <c r="F47" s="55"/>
      <c r="G47" s="55" t="s">
        <v>369</v>
      </c>
      <c r="H47" s="5">
        <f>H45/H46</f>
        <v>450.67382589595121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305" t="s">
        <v>370</v>
      </c>
      <c r="H48" s="5">
        <f>IF(B26="YES",H47+H42,H47)</f>
        <v>450.67382589595121</v>
      </c>
      <c r="I48" s="5">
        <f>I49-H42</f>
        <v>1400</v>
      </c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 t="s">
        <v>371</v>
      </c>
      <c r="H49" s="205"/>
      <c r="I49" s="5">
        <v>1400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35000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35</v>
      </c>
      <c r="B52" s="343">
        <f>H48</f>
        <v>450.67382589595121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158"/>
      <c r="N55" s="158"/>
      <c r="O55" s="158"/>
      <c r="P55" s="158"/>
      <c r="Q55" s="158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209"/>
      <c r="N56" s="210"/>
      <c r="O56" s="210"/>
      <c r="P56" s="210"/>
      <c r="Q56" s="211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IF(B99=Y97,1,IF(B99=Y98,1,IF(B99=Y99,3,IF(B99=Y100,6,IF(B99=Y101,9,IF(B99=Y102,12,IF(B99=Y103,3,IF(B99=Y104,6,IF(B99=Y105,9,0)))))))))</f>
        <v>1</v>
      </c>
      <c r="C57" s="158"/>
      <c r="D57" s="158"/>
      <c r="E57" s="159"/>
      <c r="F57" s="55"/>
      <c r="G57" s="157" t="s">
        <v>96</v>
      </c>
      <c r="H57" s="158">
        <f>IF(H99=Y97,1,IF(H99=Y98,1,IF(H99=Y99,3,IF(H99=Y100,6,IF(H99=Y101,9,IF(H99=Y102,12,IF(H99=Y103,3,IF(H99=Y104,6,IF(H99=Y105,9,0)))))))))</f>
        <v>6</v>
      </c>
      <c r="I57" s="158"/>
      <c r="J57" s="158"/>
      <c r="K57" s="159"/>
      <c r="L57" s="55"/>
      <c r="M57" s="157" t="s">
        <v>96</v>
      </c>
      <c r="N57" s="158">
        <f>IF(N99=Y97,1,IF(N99=Y98,1,IF(N99=Y99,3,IF(N99=Y100,6,IF(N99=Y101,9,IF(N99=Y102,12,IF(N99=Y103,3,IF(N99=Y104,6,IF(N99=Y105,9,0)))))))))</f>
        <v>6</v>
      </c>
      <c r="O57" s="158"/>
      <c r="P57" s="158"/>
      <c r="Q57" s="159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IF(B99=Y97,H29-B57,IF(B99=Y98,H29-B57,IF(B99=Y99,H29-1,IF(B99=Y100,H29-1,IF(B99=Y101,H29-1,IF(B99=Y102,H29-1,IF(B99=Y103,H29-B57,IF(B99=Y104,H29-B57,IF(B99=Y105,H29-B57,0)))))))))</f>
        <v>34</v>
      </c>
      <c r="C58" s="158"/>
      <c r="D58" s="158"/>
      <c r="E58" s="159"/>
      <c r="F58" s="55"/>
      <c r="G58" s="157" t="s">
        <v>97</v>
      </c>
      <c r="H58" s="158">
        <f>IF(H99=Y97,H29-H57,IF(H99=Y98,H29-H57,IF(H99=Y99,H29-1,IF(H99=Y100,H29-1,IF(H99=Y101,H29-1,IF(H99=Y102,H29-1,IF(H99=Y103,H29-H57,IF(H99=Y104,H29-H57,IF(H99=Y105,H29-H57,0)))))))))</f>
        <v>34</v>
      </c>
      <c r="I58" s="158"/>
      <c r="J58" s="158"/>
      <c r="K58" s="159"/>
      <c r="L58" s="55"/>
      <c r="M58" s="157" t="s">
        <v>97</v>
      </c>
      <c r="N58" s="158">
        <f>IF(N99=Y97,H29-N57,IF(N99=Y98,H29-N57,IF(N99=Y99,H29-1,IF(N99=Y100,H29-1,IF(N99=Y101,H29-1,IF(N99=Y102,H29-1,IF(N99=Y103,H29-N57,IF(N99=Y104,H29-N57,IF(N99=Y105,H29-N57,0)))))))))</f>
        <v>34</v>
      </c>
      <c r="O58" s="158"/>
      <c r="P58" s="158"/>
      <c r="Q58" s="159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157"/>
      <c r="N59" s="158"/>
      <c r="O59" s="158"/>
      <c r="P59" s="158"/>
      <c r="Q59" s="159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 t="s">
        <v>376</v>
      </c>
      <c r="B60" s="158">
        <f>E19</f>
        <v>17199.995999999999</v>
      </c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157"/>
      <c r="N60" s="158"/>
      <c r="O60" s="158"/>
      <c r="P60" s="158"/>
      <c r="Q60" s="159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v>40526</v>
      </c>
      <c r="C61" s="158"/>
      <c r="D61" s="158"/>
      <c r="E61" s="159"/>
      <c r="F61" s="55"/>
      <c r="G61" s="157" t="s">
        <v>27</v>
      </c>
      <c r="H61" s="28">
        <f>G18</f>
        <v>0</v>
      </c>
      <c r="I61" s="158"/>
      <c r="J61" s="158"/>
      <c r="K61" s="159"/>
      <c r="L61" s="55"/>
      <c r="M61" s="157" t="s">
        <v>27</v>
      </c>
      <c r="N61" s="28">
        <f>G18</f>
        <v>0</v>
      </c>
      <c r="O61" s="158"/>
      <c r="P61" s="158"/>
      <c r="Q61" s="159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212" t="s">
        <v>283</v>
      </c>
      <c r="N62" s="213">
        <v>7.0000000000000007E-2</v>
      </c>
      <c r="O62" s="158"/>
      <c r="P62" s="158"/>
      <c r="Q62" s="159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0.10349999999999999</v>
      </c>
      <c r="C63" s="158"/>
      <c r="D63" s="158"/>
      <c r="E63" s="159"/>
      <c r="F63" s="55"/>
      <c r="G63" s="157" t="s">
        <v>284</v>
      </c>
      <c r="H63" s="214">
        <f>H62+(H62*0.25*(H29/12-1))</f>
        <v>0.10354166666666667</v>
      </c>
      <c r="I63" s="158"/>
      <c r="J63" s="158"/>
      <c r="K63" s="159"/>
      <c r="L63" s="55"/>
      <c r="M63" s="157" t="s">
        <v>284</v>
      </c>
      <c r="N63" s="214">
        <f>N62+(N62*0.25*(H29/12-1))</f>
        <v>0.10354166666666667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B60*B63</f>
        <v>1780.1995859999997</v>
      </c>
      <c r="C64" s="306">
        <v>10000</v>
      </c>
      <c r="D64" s="28">
        <f>B64</f>
        <v>1780.1995859999997</v>
      </c>
      <c r="E64" s="307">
        <f>D64/(B58+B57)</f>
        <v>50.862845314285707</v>
      </c>
      <c r="F64" s="55"/>
      <c r="G64" s="206" t="s">
        <v>102</v>
      </c>
      <c r="H64" s="57">
        <f>H61*H63</f>
        <v>0</v>
      </c>
      <c r="I64" s="158"/>
      <c r="J64" s="28">
        <f>H64-G145</f>
        <v>0</v>
      </c>
      <c r="K64" s="159"/>
      <c r="L64" s="55"/>
      <c r="M64" s="206" t="s">
        <v>102</v>
      </c>
      <c r="N64" s="57">
        <f>N61*N63</f>
        <v>0</v>
      </c>
      <c r="O64" s="158"/>
      <c r="P64" s="28">
        <f>N64-M145</f>
        <v>0</v>
      </c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>
        <v>300</v>
      </c>
      <c r="C65" s="158"/>
      <c r="D65" s="28"/>
      <c r="E65" s="159"/>
      <c r="F65" s="55"/>
      <c r="G65" s="212" t="s">
        <v>103</v>
      </c>
      <c r="H65" s="213">
        <v>0.01</v>
      </c>
      <c r="I65" s="158"/>
      <c r="J65" s="158"/>
      <c r="K65" s="159"/>
      <c r="L65" s="55"/>
      <c r="M65" s="212" t="s">
        <v>103</v>
      </c>
      <c r="N65" s="213">
        <v>0.01</v>
      </c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308" t="s">
        <v>233</v>
      </c>
      <c r="D66" s="158"/>
      <c r="E66" s="159"/>
      <c r="F66" s="55"/>
      <c r="G66" s="157" t="s">
        <v>104</v>
      </c>
      <c r="H66" s="214">
        <f>H65+(H65*0.5*(H29/12-1))</f>
        <v>1.9583333333333335E-2</v>
      </c>
      <c r="I66" s="158"/>
      <c r="J66" s="158"/>
      <c r="K66" s="159"/>
      <c r="L66" s="55"/>
      <c r="M66" s="157" t="s">
        <v>104</v>
      </c>
      <c r="N66" s="214">
        <f>N65+(N65*0.5*(H29/12-1))</f>
        <v>1.9583333333333335E-2</v>
      </c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300</v>
      </c>
      <c r="C67" s="309" t="s">
        <v>233</v>
      </c>
      <c r="D67" s="310"/>
      <c r="E67" s="159"/>
      <c r="F67" s="55"/>
      <c r="G67" s="206" t="s">
        <v>105</v>
      </c>
      <c r="H67" s="57">
        <f>(H61*H66)/1.2</f>
        <v>0</v>
      </c>
      <c r="I67" s="158"/>
      <c r="J67" s="28"/>
      <c r="K67" s="159"/>
      <c r="L67" s="55"/>
      <c r="M67" s="206" t="s">
        <v>105</v>
      </c>
      <c r="N67" s="57">
        <f>(N61*N66)/1.2</f>
        <v>0</v>
      </c>
      <c r="O67" s="158"/>
      <c r="P67" s="2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311"/>
      <c r="D68" s="2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212" t="s">
        <v>106</v>
      </c>
      <c r="N68" s="213">
        <v>7.4999999999999997E-3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216" t="s">
        <v>107</v>
      </c>
      <c r="N69" s="217">
        <v>0.12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206" t="s">
        <v>108</v>
      </c>
      <c r="N70" s="312">
        <f>N68*(1+N69)</f>
        <v>8.4000000000000012E-3</v>
      </c>
      <c r="O70" s="158"/>
      <c r="P70" s="158"/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200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212" t="s">
        <v>109</v>
      </c>
      <c r="N71" s="74">
        <v>160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216" t="s">
        <v>110</v>
      </c>
      <c r="N72" s="65">
        <v>4.5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175</v>
      </c>
      <c r="C73" s="158"/>
      <c r="D73" s="313">
        <f>B73+B71</f>
        <v>375</v>
      </c>
      <c r="E73" s="159" t="s">
        <v>239</v>
      </c>
      <c r="F73" s="55"/>
      <c r="G73" s="206" t="s">
        <v>111</v>
      </c>
      <c r="H73" s="57">
        <f>H72*H29</f>
        <v>157.5</v>
      </c>
      <c r="I73" s="158"/>
      <c r="J73" s="28">
        <f>H73+H71</f>
        <v>317.5</v>
      </c>
      <c r="K73" s="159"/>
      <c r="L73" s="55"/>
      <c r="M73" s="206" t="s">
        <v>111</v>
      </c>
      <c r="N73" s="57">
        <f>N72*H29</f>
        <v>157.5</v>
      </c>
      <c r="O73" s="158"/>
      <c r="P73" s="28">
        <f>N73+N71</f>
        <v>317.5</v>
      </c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275</v>
      </c>
      <c r="C74" s="158"/>
      <c r="D74" s="158"/>
      <c r="E74" s="159"/>
      <c r="F74" s="55"/>
      <c r="G74" s="212" t="s">
        <v>285</v>
      </c>
      <c r="H74" s="74">
        <v>165</v>
      </c>
      <c r="I74" s="158"/>
      <c r="J74" s="158"/>
      <c r="K74" s="159"/>
      <c r="L74" s="55"/>
      <c r="M74" s="277" t="s">
        <v>285</v>
      </c>
      <c r="N74" s="278">
        <v>0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0</v>
      </c>
      <c r="C75" s="158"/>
      <c r="D75" s="158"/>
      <c r="E75" s="159"/>
      <c r="F75" s="55"/>
      <c r="G75" s="216" t="s">
        <v>286</v>
      </c>
      <c r="H75" s="65">
        <v>0</v>
      </c>
      <c r="I75" s="158"/>
      <c r="J75" s="158"/>
      <c r="K75" s="159"/>
      <c r="L75" s="55"/>
      <c r="M75" s="279" t="s">
        <v>286</v>
      </c>
      <c r="N75" s="280">
        <v>0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((B74+B75)/12)*(H29+1)</f>
        <v>825</v>
      </c>
      <c r="C76" s="158"/>
      <c r="D76" s="28">
        <f>B76</f>
        <v>825</v>
      </c>
      <c r="E76" s="159"/>
      <c r="F76" s="55"/>
      <c r="G76" s="206" t="s">
        <v>287</v>
      </c>
      <c r="H76" s="57">
        <f>((H74+H75)/12)*(H29-11)</f>
        <v>330</v>
      </c>
      <c r="I76" s="158"/>
      <c r="J76" s="28">
        <f>H76</f>
        <v>330</v>
      </c>
      <c r="K76" s="159"/>
      <c r="L76" s="55"/>
      <c r="M76" s="281" t="s">
        <v>287</v>
      </c>
      <c r="N76" s="282">
        <f>((N74+N75)/12)*(H29-11)</f>
        <v>0</v>
      </c>
      <c r="O76" s="158"/>
      <c r="P76" s="28">
        <f>N76</f>
        <v>0</v>
      </c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09" t="s">
        <v>288</v>
      </c>
      <c r="B77" s="24">
        <f>B102/(1-0.1)</f>
        <v>444.44444444444446</v>
      </c>
      <c r="C77" s="252"/>
      <c r="D77" s="28">
        <f>B77</f>
        <v>444.44444444444446</v>
      </c>
      <c r="E77" s="307">
        <f>D77/(B58+B57)</f>
        <v>12.698412698412699</v>
      </c>
      <c r="F77" s="55"/>
      <c r="G77" s="212" t="s">
        <v>288</v>
      </c>
      <c r="H77" s="74">
        <v>0</v>
      </c>
      <c r="I77" s="158"/>
      <c r="J77" s="28">
        <f>H77</f>
        <v>0</v>
      </c>
      <c r="K77" s="159"/>
      <c r="L77" s="55"/>
      <c r="M77" s="212" t="s">
        <v>288</v>
      </c>
      <c r="N77" s="74">
        <v>0</v>
      </c>
      <c r="O77" s="158"/>
      <c r="P77" s="28">
        <f>N77</f>
        <v>0</v>
      </c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252"/>
      <c r="D78" s="28">
        <f>B78</f>
        <v>222.22222222222223</v>
      </c>
      <c r="E78" s="307"/>
      <c r="F78" s="55"/>
      <c r="G78" s="157" t="s">
        <v>289</v>
      </c>
      <c r="H78" s="29">
        <v>0</v>
      </c>
      <c r="I78" s="158"/>
      <c r="J78" s="28">
        <f>H78</f>
        <v>0</v>
      </c>
      <c r="K78" s="159"/>
      <c r="L78" s="55"/>
      <c r="M78" s="157" t="s">
        <v>289</v>
      </c>
      <c r="N78" s="29">
        <v>0</v>
      </c>
      <c r="O78" s="158"/>
      <c r="P78" s="28">
        <f>N78</f>
        <v>0</v>
      </c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200</v>
      </c>
      <c r="C79" s="252"/>
      <c r="D79" s="28">
        <f>B79</f>
        <v>200</v>
      </c>
      <c r="E79" s="307"/>
      <c r="F79" s="55"/>
      <c r="G79" s="216" t="s">
        <v>112</v>
      </c>
      <c r="H79" s="65">
        <v>200</v>
      </c>
      <c r="I79" s="158"/>
      <c r="J79" s="28">
        <f>H79</f>
        <v>200</v>
      </c>
      <c r="K79" s="159"/>
      <c r="L79" s="55"/>
      <c r="M79" s="216" t="s">
        <v>112</v>
      </c>
      <c r="N79" s="65">
        <v>200</v>
      </c>
      <c r="O79" s="158"/>
      <c r="P79" s="28">
        <f>N79</f>
        <v>200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200</v>
      </c>
      <c r="C80" s="252"/>
      <c r="D80" s="28">
        <f>B80</f>
        <v>200</v>
      </c>
      <c r="E80" s="307">
        <f>(D73+D76+D79+D80)/(B58+B57)</f>
        <v>45.714285714285715</v>
      </c>
      <c r="F80" s="55"/>
      <c r="G80" s="219" t="s">
        <v>113</v>
      </c>
      <c r="H80" s="75">
        <v>200</v>
      </c>
      <c r="I80" s="158"/>
      <c r="J80" s="28">
        <f>H80</f>
        <v>200</v>
      </c>
      <c r="K80" s="159"/>
      <c r="L80" s="55"/>
      <c r="M80" s="219" t="s">
        <v>113</v>
      </c>
      <c r="N80" s="75">
        <v>200</v>
      </c>
      <c r="O80" s="158"/>
      <c r="P80" s="28">
        <f>N80</f>
        <v>200</v>
      </c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4046.8662526666662</v>
      </c>
      <c r="C81" s="252"/>
      <c r="D81" s="314"/>
      <c r="E81" s="307"/>
      <c r="F81" s="55"/>
      <c r="G81" s="220" t="s">
        <v>114</v>
      </c>
      <c r="H81" s="221">
        <f>SUM(J64:J80)</f>
        <v>1047.5</v>
      </c>
      <c r="I81" s="158"/>
      <c r="J81" s="158"/>
      <c r="K81" s="159"/>
      <c r="L81" s="55"/>
      <c r="M81" s="220" t="s">
        <v>114</v>
      </c>
      <c r="N81" s="221">
        <f>SUM(P64:P80)</f>
        <v>717.5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115.62475007619047</v>
      </c>
      <c r="C82" s="252"/>
      <c r="D82" s="158"/>
      <c r="E82" s="307"/>
      <c r="F82" s="55"/>
      <c r="G82" s="157" t="s">
        <v>115</v>
      </c>
      <c r="H82" s="29">
        <f>H81/H29</f>
        <v>29.928571428571427</v>
      </c>
      <c r="I82" s="158"/>
      <c r="J82" s="158"/>
      <c r="K82" s="159"/>
      <c r="L82" s="55"/>
      <c r="M82" s="157" t="s">
        <v>115</v>
      </c>
      <c r="N82" s="29">
        <f>N81/H29</f>
        <v>20.5</v>
      </c>
      <c r="O82" s="158"/>
      <c r="P82" s="158"/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H47</f>
        <v>450.67382589595121</v>
      </c>
      <c r="C83" s="252"/>
      <c r="D83" s="158"/>
      <c r="E83" s="307">
        <f>B83+E80+E77+E64</f>
        <v>559.94936962293536</v>
      </c>
      <c r="F83" s="55"/>
      <c r="G83" s="222" t="s">
        <v>116</v>
      </c>
      <c r="H83" s="52">
        <f>H47</f>
        <v>450.67382589595121</v>
      </c>
      <c r="I83" s="158"/>
      <c r="J83" s="158"/>
      <c r="K83" s="159"/>
      <c r="L83" s="55"/>
      <c r="M83" s="222" t="s">
        <v>116</v>
      </c>
      <c r="N83" s="52">
        <f>H47</f>
        <v>450.67382589595121</v>
      </c>
      <c r="O83" s="158"/>
      <c r="P83" s="158"/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252"/>
      <c r="D84" s="252"/>
      <c r="E84" s="307"/>
      <c r="F84" s="55"/>
      <c r="G84" s="157"/>
      <c r="H84" s="28"/>
      <c r="I84" s="158"/>
      <c r="J84" s="158"/>
      <c r="K84" s="159"/>
      <c r="L84" s="55"/>
      <c r="M84" s="157"/>
      <c r="N84" s="28"/>
      <c r="O84" s="158"/>
      <c r="P84" s="158"/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((B83*H29)+B81)</f>
        <v>19820.450159024957</v>
      </c>
      <c r="C85" s="252"/>
      <c r="D85" s="252"/>
      <c r="E85" s="307">
        <f>B85/(B58+B57)</f>
        <v>566.29857597214163</v>
      </c>
      <c r="F85" s="55"/>
      <c r="G85" s="209" t="s">
        <v>126</v>
      </c>
      <c r="H85" s="24">
        <f>((H83*H29)+H81)*1.2</f>
        <v>20185.300687629948</v>
      </c>
      <c r="I85" s="158"/>
      <c r="J85" s="158"/>
      <c r="K85" s="159"/>
      <c r="L85" s="55"/>
      <c r="M85" s="209" t="s">
        <v>126</v>
      </c>
      <c r="N85" s="24">
        <f>((N83*H29)+N81)</f>
        <v>16491.08390635829</v>
      </c>
      <c r="O85" s="158"/>
      <c r="P85" s="158"/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(((B83*H29)+B81)/(1-B70))*B70</f>
        <v>167.90215947540304</v>
      </c>
      <c r="C86" s="252" t="s">
        <v>242</v>
      </c>
      <c r="D86" s="158"/>
      <c r="E86" s="307">
        <f>B86/(B58+B57)</f>
        <v>4.7972045564400867</v>
      </c>
      <c r="F86" s="55"/>
      <c r="G86" s="157" t="s">
        <v>127</v>
      </c>
      <c r="H86" s="29">
        <f>((((H83*H29)+H81))/(1-H70))*H70</f>
        <v>142.49405487435422</v>
      </c>
      <c r="I86" s="158"/>
      <c r="J86" s="158"/>
      <c r="K86" s="159"/>
      <c r="L86" s="55"/>
      <c r="M86" s="157" t="s">
        <v>127</v>
      </c>
      <c r="N86" s="29">
        <f>(N85/(1-N70))*N70</f>
        <v>139.69857282514081</v>
      </c>
      <c r="O86" s="158"/>
      <c r="P86" s="158"/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19988.352318500358</v>
      </c>
      <c r="C87" s="252"/>
      <c r="D87" s="315"/>
      <c r="E87" s="307">
        <f>E86+E85</f>
        <v>571.09578052858171</v>
      </c>
      <c r="F87" s="55"/>
      <c r="G87" s="206" t="s">
        <v>128</v>
      </c>
      <c r="H87" s="57">
        <f>IF(H110="YES",((H85+H86)-K114),(H85+H86))</f>
        <v>20327.794742504302</v>
      </c>
      <c r="I87" s="158"/>
      <c r="J87" s="158"/>
      <c r="K87" s="159"/>
      <c r="L87" s="55"/>
      <c r="M87" s="206" t="s">
        <v>128</v>
      </c>
      <c r="N87" s="57">
        <f>IF(N110="YES",((N85+N86)-Q114),(N85+N86))</f>
        <v>16630.782479183432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252"/>
      <c r="D88" s="158"/>
      <c r="E88" s="307"/>
      <c r="F88" s="55"/>
      <c r="G88" s="157"/>
      <c r="H88" s="28"/>
      <c r="I88" s="158"/>
      <c r="J88" s="158"/>
      <c r="K88" s="159"/>
      <c r="L88" s="55"/>
      <c r="M88" s="157"/>
      <c r="N88" s="28"/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1">
        <f>IF(B99=Y98,(I32+(I32*B105))/(B58),(I32+(I32*B105))/(B57+B58))*(C45/100)</f>
        <v>0</v>
      </c>
      <c r="C89" s="252"/>
      <c r="D89" s="158"/>
      <c r="E89" s="159"/>
      <c r="F89" s="55"/>
      <c r="G89" s="220" t="s">
        <v>129</v>
      </c>
      <c r="H89" s="221">
        <f>IF(H99=Y98,(D40+(D40*H105))/(H58),(D40+(D40*H105))/(H57+H58))*1.2</f>
        <v>0</v>
      </c>
      <c r="I89" s="158"/>
      <c r="J89" s="158"/>
      <c r="K89" s="159"/>
      <c r="L89" s="55"/>
      <c r="M89" s="220" t="s">
        <v>129</v>
      </c>
      <c r="N89" s="221">
        <f>IF(N99=Y98,(D40+(D40*N105))/(N58),(D40+(D40*N105))/(N57+N58))</f>
        <v>0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IF(B99=Y98,(B87-D105)/(B58),B87/(B57+B58))</f>
        <v>571.0957805285816</v>
      </c>
      <c r="C90" s="252"/>
      <c r="D90" s="158"/>
      <c r="E90" s="316"/>
      <c r="F90" s="55"/>
      <c r="G90" s="224" t="s">
        <v>130</v>
      </c>
      <c r="H90" s="225">
        <f>IF(H99=Y98,(H87-J105)/(H58),H87/(H57+H58))</f>
        <v>508.19486856260755</v>
      </c>
      <c r="I90" s="158"/>
      <c r="J90" s="158"/>
      <c r="K90" s="159"/>
      <c r="L90" s="55"/>
      <c r="M90" s="224" t="s">
        <v>130</v>
      </c>
      <c r="N90" s="225">
        <f>IF(N99=Y98,(N87-P105)/(N58),N87/(N57+N58))</f>
        <v>415.76956197958577</v>
      </c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571.0957805285816</v>
      </c>
      <c r="C91" s="252"/>
      <c r="D91" s="317"/>
      <c r="E91" s="274"/>
      <c r="F91" s="55"/>
      <c r="G91" s="226" t="s">
        <v>131</v>
      </c>
      <c r="H91" s="227">
        <f>IF(G105="YES",H90+H89,H90)</f>
        <v>508.19486856260755</v>
      </c>
      <c r="I91" s="158"/>
      <c r="J91" s="158"/>
      <c r="K91" s="159"/>
      <c r="L91" s="55"/>
      <c r="M91" s="226" t="s">
        <v>131</v>
      </c>
      <c r="N91" s="227">
        <f>IF(M105="YES",N90+N89,N90)</f>
        <v>415.76956197958577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50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206"/>
      <c r="N92" s="207"/>
      <c r="O92" s="207"/>
      <c r="P92" s="207"/>
      <c r="Q92" s="208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158"/>
      <c r="N93" s="158"/>
      <c r="O93" s="158"/>
      <c r="P93" s="158"/>
      <c r="Q93" s="158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56.25" customHeight="1">
      <c r="A94" s="376" t="s">
        <v>338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376" t="s">
        <v>345</v>
      </c>
      <c r="N94" s="376"/>
      <c r="O94" s="376"/>
      <c r="P94" s="376"/>
      <c r="Q94" s="376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 t="s">
        <v>377</v>
      </c>
      <c r="F95" s="55"/>
      <c r="G95" s="157"/>
      <c r="H95" s="158"/>
      <c r="I95" s="158"/>
      <c r="J95" s="158"/>
      <c r="K95" s="159"/>
      <c r="L95" s="55"/>
      <c r="M95" s="157"/>
      <c r="N95" s="158"/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377" t="s">
        <v>136</v>
      </c>
      <c r="N96" s="377"/>
      <c r="O96" s="377"/>
      <c r="P96" s="377"/>
      <c r="Q96" s="377"/>
      <c r="R96" s="55"/>
      <c r="S96" s="55"/>
      <c r="T96" s="55"/>
      <c r="U96" s="55"/>
      <c r="V96" s="55"/>
      <c r="W96" s="55"/>
      <c r="X96" s="55"/>
      <c r="Y96" s="55"/>
      <c r="Z96" s="55"/>
    </row>
    <row r="97" spans="1:29" ht="18.75" customHeight="1">
      <c r="A97" s="157"/>
      <c r="B97" s="406"/>
      <c r="C97" s="406"/>
      <c r="D97" s="158"/>
      <c r="E97" s="159"/>
      <c r="F97" s="55"/>
      <c r="G97" s="157"/>
      <c r="H97" s="158"/>
      <c r="I97" s="158"/>
      <c r="J97" s="158"/>
      <c r="K97" s="159"/>
      <c r="L97" s="55"/>
      <c r="M97" s="157"/>
      <c r="N97" s="158"/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 t="s">
        <v>140</v>
      </c>
      <c r="Z97" s="55"/>
      <c r="AC97" s="55"/>
    </row>
    <row r="98" spans="1:29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157" t="s">
        <v>137</v>
      </c>
      <c r="N98" s="158" t="s">
        <v>36</v>
      </c>
      <c r="O98" s="158"/>
      <c r="P98" s="158" t="s">
        <v>291</v>
      </c>
      <c r="Q98" s="159"/>
      <c r="R98" s="55"/>
      <c r="S98" s="55"/>
      <c r="T98" s="55"/>
      <c r="U98" s="55"/>
      <c r="V98" s="55"/>
      <c r="W98" s="55"/>
      <c r="X98" s="55"/>
      <c r="Y98" s="55" t="s">
        <v>270</v>
      </c>
      <c r="Z98" s="55"/>
    </row>
    <row r="99" spans="1:29" ht="18.75" customHeight="1">
      <c r="A99" s="162" t="s">
        <v>292</v>
      </c>
      <c r="B99" s="395" t="s">
        <v>140</v>
      </c>
      <c r="C99" s="395"/>
      <c r="D99" s="348">
        <v>1000</v>
      </c>
      <c r="E99" s="348"/>
      <c r="F99" s="55"/>
      <c r="G99" s="162" t="s">
        <v>292</v>
      </c>
      <c r="H99" s="395" t="s">
        <v>272</v>
      </c>
      <c r="I99" s="395"/>
      <c r="J99" s="348">
        <v>0</v>
      </c>
      <c r="K99" s="348"/>
      <c r="L99" s="55"/>
      <c r="M99" s="162" t="s">
        <v>292</v>
      </c>
      <c r="N99" s="395" t="s">
        <v>272</v>
      </c>
      <c r="O99" s="395"/>
      <c r="P99" s="348">
        <v>0</v>
      </c>
      <c r="Q99" s="348"/>
      <c r="R99" s="55"/>
      <c r="S99" s="55"/>
      <c r="T99" s="55"/>
      <c r="U99" s="55"/>
      <c r="V99" s="55"/>
      <c r="W99" s="55"/>
      <c r="X99" s="55"/>
      <c r="Y99" s="55" t="s">
        <v>271</v>
      </c>
      <c r="Z99" s="55"/>
    </row>
    <row r="100" spans="1:29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157"/>
      <c r="N100" s="158"/>
      <c r="O100" s="158"/>
      <c r="P100" s="158"/>
      <c r="Q100" s="159"/>
      <c r="R100" s="55"/>
      <c r="S100" s="55"/>
      <c r="T100" s="55"/>
      <c r="U100" s="55"/>
      <c r="V100" s="55"/>
      <c r="W100" s="55"/>
      <c r="X100" s="55"/>
      <c r="Y100" s="55" t="s">
        <v>272</v>
      </c>
      <c r="Z100" s="55"/>
    </row>
    <row r="101" spans="1:29" ht="18.75" customHeight="1">
      <c r="A101" s="157" t="s">
        <v>293</v>
      </c>
      <c r="B101" s="158" t="s">
        <v>294</v>
      </c>
      <c r="C101" s="158"/>
      <c r="D101" s="158" t="s">
        <v>378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157" t="s">
        <v>293</v>
      </c>
      <c r="N101" s="158" t="s">
        <v>294</v>
      </c>
      <c r="O101" s="158"/>
      <c r="P101" s="158" t="s">
        <v>295</v>
      </c>
      <c r="Q101" s="159"/>
      <c r="R101" s="55"/>
      <c r="S101" s="55"/>
      <c r="T101" s="55"/>
      <c r="U101" s="55"/>
      <c r="V101" s="55"/>
      <c r="W101" s="55"/>
      <c r="X101" s="55"/>
      <c r="Y101" s="55" t="s">
        <v>273</v>
      </c>
      <c r="Z101" s="55"/>
    </row>
    <row r="102" spans="1:29" ht="18.75" customHeight="1">
      <c r="A102" s="228">
        <v>750</v>
      </c>
      <c r="B102" s="348">
        <v>400</v>
      </c>
      <c r="C102" s="348"/>
      <c r="D102" s="348">
        <v>200</v>
      </c>
      <c r="E102" s="348"/>
      <c r="F102" s="55"/>
      <c r="G102" s="228">
        <v>199.99</v>
      </c>
      <c r="H102" s="348">
        <v>0</v>
      </c>
      <c r="I102" s="348"/>
      <c r="J102" s="348">
        <v>0</v>
      </c>
      <c r="K102" s="348"/>
      <c r="L102" s="55"/>
      <c r="M102" s="228">
        <v>199.99</v>
      </c>
      <c r="N102" s="348">
        <v>0</v>
      </c>
      <c r="O102" s="348"/>
      <c r="P102" s="348">
        <v>0</v>
      </c>
      <c r="Q102" s="348"/>
      <c r="R102" s="55"/>
      <c r="S102" s="55"/>
      <c r="T102" s="55"/>
      <c r="U102" s="55"/>
      <c r="V102" s="55"/>
      <c r="W102" s="55"/>
      <c r="X102" s="55"/>
      <c r="Y102" s="55" t="s">
        <v>274</v>
      </c>
      <c r="Z102" s="55"/>
    </row>
    <row r="103" spans="1:29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 t="s">
        <v>275</v>
      </c>
      <c r="Z103" s="55"/>
    </row>
    <row r="104" spans="1:29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162" t="s">
        <v>138</v>
      </c>
      <c r="N104" s="55" t="s">
        <v>141</v>
      </c>
      <c r="O104" s="158"/>
      <c r="P104" s="158" t="s">
        <v>152</v>
      </c>
      <c r="Q104" s="159"/>
      <c r="R104" s="55"/>
      <c r="S104" s="55"/>
      <c r="T104" s="55"/>
      <c r="U104" s="55"/>
      <c r="V104" s="55"/>
      <c r="W104" s="55"/>
      <c r="X104" s="55"/>
      <c r="Y104" s="55" t="s">
        <v>276</v>
      </c>
      <c r="Z104" s="55"/>
    </row>
    <row r="105" spans="1:29" ht="18.75" customHeight="1">
      <c r="A105" s="164" t="s">
        <v>385</v>
      </c>
      <c r="B105" s="396">
        <v>0.2</v>
      </c>
      <c r="C105" s="396"/>
      <c r="D105" s="348">
        <v>200</v>
      </c>
      <c r="E105" s="348"/>
      <c r="F105" s="55"/>
      <c r="G105" s="164" t="s">
        <v>31</v>
      </c>
      <c r="H105" s="396">
        <v>0.2</v>
      </c>
      <c r="I105" s="396"/>
      <c r="J105" s="348"/>
      <c r="K105" s="348"/>
      <c r="L105" s="55"/>
      <c r="M105" s="164" t="s">
        <v>31</v>
      </c>
      <c r="N105" s="396">
        <v>0.2</v>
      </c>
      <c r="O105" s="396"/>
      <c r="P105" s="348">
        <v>0</v>
      </c>
      <c r="Q105" s="348"/>
      <c r="R105" s="55"/>
      <c r="S105" s="55"/>
      <c r="T105" s="55"/>
      <c r="U105" s="55"/>
      <c r="V105" s="55"/>
      <c r="W105" s="55"/>
      <c r="X105" s="55"/>
      <c r="Y105" s="55" t="s">
        <v>277</v>
      </c>
      <c r="Z105" s="55"/>
    </row>
    <row r="106" spans="1:29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9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157"/>
      <c r="N107" s="158" t="s">
        <v>346</v>
      </c>
      <c r="O107" s="164" t="s">
        <v>31</v>
      </c>
      <c r="P107" s="158"/>
      <c r="Q107" s="159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9" ht="18.75" customHeight="1">
      <c r="A108" s="377">
        <v>199.99</v>
      </c>
      <c r="B108" s="377">
        <v>0</v>
      </c>
      <c r="C108" s="377"/>
      <c r="D108" s="377"/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377" t="s">
        <v>296</v>
      </c>
      <c r="N108" s="377"/>
      <c r="O108" s="377"/>
      <c r="P108" s="377"/>
      <c r="Q108" s="377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9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9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157" t="s">
        <v>297</v>
      </c>
      <c r="N110" s="164" t="s">
        <v>32</v>
      </c>
      <c r="O110" s="158"/>
      <c r="P110" s="158"/>
      <c r="Q110" s="159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9" ht="18.75" customHeight="1">
      <c r="A111" s="157" t="s">
        <v>32</v>
      </c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157"/>
      <c r="N111" s="158"/>
      <c r="O111" s="158"/>
      <c r="P111" s="158"/>
      <c r="Q111" s="159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9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0</v>
      </c>
      <c r="K112" s="92">
        <v>0</v>
      </c>
      <c r="L112" s="55"/>
      <c r="M112" s="157" t="s">
        <v>185</v>
      </c>
      <c r="N112" s="158"/>
      <c r="O112" s="158"/>
      <c r="P112" s="228">
        <v>500</v>
      </c>
      <c r="Q112" s="92">
        <v>300</v>
      </c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0</v>
      </c>
      <c r="K113" s="92">
        <v>0</v>
      </c>
      <c r="L113" s="55"/>
      <c r="M113" s="157" t="s">
        <v>186</v>
      </c>
      <c r="N113" s="158"/>
      <c r="O113" s="158"/>
      <c r="P113" s="35">
        <f>Q113</f>
        <v>100</v>
      </c>
      <c r="Q113" s="92">
        <v>100</v>
      </c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0</v>
      </c>
      <c r="K114" s="127">
        <f>K112-K113</f>
        <v>0</v>
      </c>
      <c r="L114" s="55"/>
      <c r="M114" s="157" t="s">
        <v>187</v>
      </c>
      <c r="N114" s="158"/>
      <c r="O114" s="158"/>
      <c r="P114" s="35">
        <f>P112-P113</f>
        <v>400</v>
      </c>
      <c r="Q114" s="127">
        <f>Q112-Q113</f>
        <v>200</v>
      </c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0</v>
      </c>
      <c r="K115" s="159"/>
      <c r="L115" s="55"/>
      <c r="M115" s="157" t="s">
        <v>188</v>
      </c>
      <c r="N115" s="158"/>
      <c r="O115" s="158"/>
      <c r="P115" s="35">
        <f>P114-Q114</f>
        <v>200</v>
      </c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157"/>
      <c r="N116" s="158"/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f>D99</f>
        <v>1000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209" t="s">
        <v>148</v>
      </c>
      <c r="N117" s="210"/>
      <c r="O117" s="210"/>
      <c r="P117" s="210"/>
      <c r="Q117" s="24">
        <f>P99</f>
        <v>0</v>
      </c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v>199.99</v>
      </c>
      <c r="F118" s="55"/>
      <c r="G118" s="157" t="s">
        <v>66</v>
      </c>
      <c r="H118" s="158"/>
      <c r="I118" s="158"/>
      <c r="J118" s="158"/>
      <c r="K118" s="29">
        <f>G102</f>
        <v>199.99</v>
      </c>
      <c r="L118" s="55"/>
      <c r="M118" s="157" t="s">
        <v>66</v>
      </c>
      <c r="N118" s="158"/>
      <c r="O118" s="158"/>
      <c r="P118" s="158"/>
      <c r="Q118" s="29">
        <f>M102</f>
        <v>199.99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(E118*1.2)+E117-E114</f>
        <v>1239.9880000000001</v>
      </c>
      <c r="F119" s="55"/>
      <c r="G119" s="229" t="s">
        <v>298</v>
      </c>
      <c r="H119" s="207"/>
      <c r="I119" s="207"/>
      <c r="J119" s="207"/>
      <c r="K119" s="57">
        <f>((K118/1.2)+K117)-(J115-K113)</f>
        <v>166.65833333333336</v>
      </c>
      <c r="L119" s="55"/>
      <c r="M119" s="229" t="s">
        <v>298</v>
      </c>
      <c r="N119" s="207"/>
      <c r="O119" s="207"/>
      <c r="P119" s="207"/>
      <c r="Q119" s="57">
        <f>(Q118+Q117)-P115</f>
        <v>-9.9999999999909051E-3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157"/>
      <c r="N120" s="158"/>
      <c r="O120" s="158"/>
      <c r="P120" s="158"/>
      <c r="Q120" s="159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157"/>
      <c r="N121" s="158"/>
      <c r="O121" s="158"/>
      <c r="P121" s="158"/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377" t="s">
        <v>299</v>
      </c>
      <c r="N122" s="377"/>
      <c r="O122" s="377"/>
      <c r="P122" s="377"/>
      <c r="Q122" s="377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157"/>
      <c r="N123" s="158"/>
      <c r="O123" s="158"/>
      <c r="P123" s="158"/>
      <c r="Q123" s="159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157" t="s">
        <v>193</v>
      </c>
      <c r="N124" s="368">
        <v>0</v>
      </c>
      <c r="O124" s="368"/>
      <c r="P124" s="158"/>
      <c r="Q124" s="159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35</v>
      </c>
      <c r="C125" s="236"/>
      <c r="D125" s="235">
        <f>B160</f>
        <v>35000</v>
      </c>
      <c r="E125" s="233"/>
      <c r="F125" s="55"/>
      <c r="G125" s="157"/>
      <c r="H125" s="158"/>
      <c r="I125" s="158"/>
      <c r="J125" s="158"/>
      <c r="K125" s="159"/>
      <c r="L125" s="55"/>
      <c r="M125" s="157"/>
      <c r="N125" s="158"/>
      <c r="O125" s="158"/>
      <c r="P125" s="158"/>
      <c r="Q125" s="159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238" t="s">
        <v>302</v>
      </c>
      <c r="H126" s="239" t="s">
        <v>303</v>
      </c>
      <c r="I126" s="239"/>
      <c r="J126" s="239" t="s">
        <v>304</v>
      </c>
      <c r="K126" s="159"/>
      <c r="L126" s="55"/>
      <c r="M126" s="238" t="s">
        <v>347</v>
      </c>
      <c r="N126" s="239" t="s">
        <v>259</v>
      </c>
      <c r="O126" s="239"/>
      <c r="P126" s="239" t="s">
        <v>131</v>
      </c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242">
        <f>H90</f>
        <v>508.19486856260755</v>
      </c>
      <c r="H127" s="133">
        <f>IF(G105="YES",H89*H57,0)</f>
        <v>0</v>
      </c>
      <c r="I127" s="133"/>
      <c r="J127" s="243">
        <f>H91</f>
        <v>508.19486856260755</v>
      </c>
      <c r="K127" s="159"/>
      <c r="L127" s="55"/>
      <c r="M127" s="242">
        <f>N90</f>
        <v>415.76956197958577</v>
      </c>
      <c r="N127" s="133">
        <f>IF(M105="YES",N89*N57,0)</f>
        <v>0</v>
      </c>
      <c r="O127" s="133"/>
      <c r="P127" s="133">
        <f>N91</f>
        <v>415.76956197958577</v>
      </c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571.0957805285816</v>
      </c>
      <c r="B128" s="232">
        <f>IF(A105="YES",B89,0)</f>
        <v>0</v>
      </c>
      <c r="C128" s="236"/>
      <c r="D128" s="232">
        <f>B91</f>
        <v>571.0957805285816</v>
      </c>
      <c r="E128" s="233"/>
      <c r="F128" s="55"/>
      <c r="G128" s="157"/>
      <c r="H128" s="158"/>
      <c r="I128" s="158"/>
      <c r="J128" s="158"/>
      <c r="K128" s="159"/>
      <c r="L128" s="55"/>
      <c r="M128" s="157"/>
      <c r="N128" s="158"/>
      <c r="O128" s="158"/>
      <c r="P128" s="158"/>
      <c r="Q128" s="159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 t="s">
        <v>94</v>
      </c>
      <c r="H129" s="158" t="s">
        <v>95</v>
      </c>
      <c r="I129" s="158"/>
      <c r="J129" s="158" t="s">
        <v>97</v>
      </c>
      <c r="K129" s="159"/>
      <c r="L129" s="55"/>
      <c r="M129" s="157" t="s">
        <v>94</v>
      </c>
      <c r="N129" s="158" t="s">
        <v>95</v>
      </c>
      <c r="O129" s="158"/>
      <c r="P129" s="158" t="s">
        <v>97</v>
      </c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169">
        <f>G152</f>
        <v>35</v>
      </c>
      <c r="H130" s="170">
        <f>B151</f>
        <v>0</v>
      </c>
      <c r="I130" s="171"/>
      <c r="J130" s="170">
        <f>B58</f>
        <v>34</v>
      </c>
      <c r="K130" s="159"/>
      <c r="L130" s="55"/>
      <c r="M130" s="169">
        <f>M155</f>
        <v>35</v>
      </c>
      <c r="N130" s="170">
        <f>B151</f>
        <v>0</v>
      </c>
      <c r="O130" s="171"/>
      <c r="P130" s="170">
        <f>B58</f>
        <v>34</v>
      </c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44" t="str">
        <f>B99</f>
        <v xml:space="preserve"> Monthly in advance </v>
      </c>
      <c r="B131" s="34">
        <f>B90*B57</f>
        <v>571.0957805285816</v>
      </c>
      <c r="C131" s="158"/>
      <c r="D131" s="34">
        <f>IF(A105="YES",B89*B57,0)</f>
        <v>0</v>
      </c>
      <c r="E131" s="159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157" t="s">
        <v>348</v>
      </c>
      <c r="N132" s="158" t="s">
        <v>251</v>
      </c>
      <c r="O132" s="158"/>
      <c r="P132" s="158" t="s">
        <v>254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3049.1692113756453</v>
      </c>
      <c r="H133" s="34">
        <f>IF(G105="YES",H89*H57,0)</f>
        <v>0</v>
      </c>
      <c r="I133" s="163"/>
      <c r="J133" s="137">
        <f>H91*H57</f>
        <v>3049.1692113756453</v>
      </c>
      <c r="K133" s="159"/>
      <c r="L133" s="55"/>
      <c r="M133" s="138">
        <f>N90*N57</f>
        <v>2494.6173718775144</v>
      </c>
      <c r="N133" s="34">
        <f>IF(M105="YES",N89*N57,0)</f>
        <v>0</v>
      </c>
      <c r="O133" s="163"/>
      <c r="P133" s="137">
        <f>N91*N57</f>
        <v>2494.6173718775144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94">
        <f>B91*B57</f>
        <v>571.0957805285816</v>
      </c>
      <c r="B134" s="34">
        <f>E114</f>
        <v>0</v>
      </c>
      <c r="C134" s="158"/>
      <c r="D134" s="245">
        <f>B58</f>
        <v>34</v>
      </c>
      <c r="E134" s="159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157" t="s">
        <v>261</v>
      </c>
      <c r="N135" s="158" t="s">
        <v>262</v>
      </c>
      <c r="O135" s="158"/>
      <c r="P135" s="158" t="s">
        <v>266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</v>
      </c>
      <c r="H136" s="34">
        <f>IF(G105="YES",E15*0.000002,0)</f>
        <v>0</v>
      </c>
      <c r="I136" s="34"/>
      <c r="J136" s="34">
        <f>G136+H136</f>
        <v>0</v>
      </c>
      <c r="K136" s="90"/>
      <c r="L136" s="55"/>
      <c r="M136" s="94">
        <f>E15*0.000006</f>
        <v>0</v>
      </c>
      <c r="N136" s="34">
        <f>IF(M105="YES",E15*0.000002,0)</f>
        <v>0</v>
      </c>
      <c r="O136" s="34"/>
      <c r="P136" s="34">
        <f>M136+N136</f>
        <v>0</v>
      </c>
      <c r="Q136" s="90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94">
        <f>B90</f>
        <v>571.0957805285816</v>
      </c>
      <c r="B137" s="34">
        <f>IF(A105="YES",B89,0)</f>
        <v>0</v>
      </c>
      <c r="C137" s="158"/>
      <c r="D137" s="34">
        <f>B91</f>
        <v>571.0957805285816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157" t="s">
        <v>151</v>
      </c>
      <c r="N138" s="158" t="s">
        <v>316</v>
      </c>
      <c r="O138" s="158"/>
      <c r="P138" s="158" t="s">
        <v>317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199.99</v>
      </c>
      <c r="H139" s="34">
        <f>H67</f>
        <v>0</v>
      </c>
      <c r="I139" s="34"/>
      <c r="J139" s="34">
        <f>H102*0.9</f>
        <v>0</v>
      </c>
      <c r="K139" s="90"/>
      <c r="L139" s="55"/>
      <c r="M139" s="94">
        <f>M102</f>
        <v>199.99</v>
      </c>
      <c r="N139" s="34">
        <f>N67</f>
        <v>0</v>
      </c>
      <c r="O139" s="34"/>
      <c r="P139" s="34">
        <f>N102*0.9</f>
        <v>0</v>
      </c>
      <c r="Q139" s="90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250">
        <f>(B61*0.000006)*100</f>
        <v>24.3156</v>
      </c>
      <c r="B140" s="251">
        <f>IF(A105="YES",B61*0.000002,0)*100</f>
        <v>8.1052</v>
      </c>
      <c r="C140" s="252"/>
      <c r="D140" s="251">
        <f>A140+B140</f>
        <v>32.4208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157" t="s">
        <v>319</v>
      </c>
      <c r="N141" s="158" t="s">
        <v>320</v>
      </c>
      <c r="O141" s="158"/>
      <c r="P141" s="158" t="s">
        <v>321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IF(G105="YES",((B36*H105)*0.1)*(G130),0)</f>
        <v>0</v>
      </c>
      <c r="H142" s="34">
        <f>G102-100</f>
        <v>99.990000000000009</v>
      </c>
      <c r="I142" s="34"/>
      <c r="J142" s="34" t="e">
        <f>(H139+J139+G142+H142)-H145</f>
        <v>#DIV/0!</v>
      </c>
      <c r="K142" s="90"/>
      <c r="L142" s="55"/>
      <c r="M142" s="94">
        <f>IF(M105="YES",((B36*N105)*0.1)*(M130),0)</f>
        <v>0</v>
      </c>
      <c r="N142" s="34">
        <f>M102-100</f>
        <v>99.990000000000009</v>
      </c>
      <c r="O142" s="34"/>
      <c r="P142" s="34" t="e">
        <f>(N139+P139+M142+N142)-N145</f>
        <v>#DIV/0!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v>0</v>
      </c>
      <c r="B143" s="34">
        <f>E118</f>
        <v>199.99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157" t="s">
        <v>323</v>
      </c>
      <c r="N144" s="158" t="s">
        <v>324</v>
      </c>
      <c r="O144" s="158"/>
      <c r="P144" s="158"/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v>0</v>
      </c>
      <c r="H145" s="34" t="e">
        <f>(H139+J139+G142+H142)*(G145/H64)</f>
        <v>#DIV/0!</v>
      </c>
      <c r="I145" s="158"/>
      <c r="J145" s="158"/>
      <c r="K145" s="159"/>
      <c r="L145" s="55"/>
      <c r="M145" s="94">
        <v>0</v>
      </c>
      <c r="N145" s="34" t="e">
        <f>(N139+P139+M142+N142)*(M145/N64)</f>
        <v>#DIV/0!</v>
      </c>
      <c r="O145" s="158"/>
      <c r="P145" s="158"/>
      <c r="Q145" s="159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94"/>
      <c r="N146" s="34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3" t="s">
        <v>349</v>
      </c>
      <c r="N147" s="35" t="s">
        <v>350</v>
      </c>
      <c r="O147" s="158"/>
      <c r="P147" s="158"/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300</v>
      </c>
      <c r="B148" s="34">
        <f>B102</f>
        <v>400</v>
      </c>
      <c r="C148" s="34"/>
      <c r="D148" s="34">
        <f>IF(A105="YES",(B40*B105)*B125,0)*0.1</f>
        <v>0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285">
        <v>18000</v>
      </c>
      <c r="N148" s="400">
        <v>0.99</v>
      </c>
      <c r="O148" s="400"/>
      <c r="P148" s="158"/>
      <c r="Q148" s="159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157"/>
      <c r="N150" s="158"/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225</v>
      </c>
      <c r="B151" s="34">
        <f>(A148+B148+D148+A151)*(A143/B64)</f>
        <v>0</v>
      </c>
      <c r="C151" s="34"/>
      <c r="D151" s="34">
        <f>(A148+B148+D148+A151)-B151-A154</f>
        <v>725</v>
      </c>
      <c r="E151" s="90"/>
      <c r="F151" s="55"/>
      <c r="G151" s="387"/>
      <c r="H151" s="389">
        <f>B51</f>
        <v>35000</v>
      </c>
      <c r="I151" s="389"/>
      <c r="J151" s="158"/>
      <c r="K151" s="159"/>
      <c r="L151" s="55"/>
      <c r="M151" s="202" t="s">
        <v>329</v>
      </c>
      <c r="N151" s="158"/>
      <c r="O151" s="158"/>
      <c r="P151" s="203"/>
      <c r="Q151" s="204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35</v>
      </c>
      <c r="H152" s="343">
        <f>H91</f>
        <v>508.19486856260755</v>
      </c>
      <c r="I152" s="343"/>
      <c r="J152" s="158"/>
      <c r="K152" s="159"/>
      <c r="L152" s="55"/>
      <c r="M152" s="157"/>
      <c r="N152" s="183"/>
      <c r="O152" s="183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387" t="s">
        <v>94</v>
      </c>
      <c r="N153" s="388" t="s">
        <v>95</v>
      </c>
      <c r="O153" s="38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387"/>
      <c r="N154" s="389">
        <f>B51</f>
        <v>35000</v>
      </c>
      <c r="O154" s="389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185">
        <f>A52</f>
        <v>35</v>
      </c>
      <c r="N155" s="343">
        <f>N91</f>
        <v>415.76956197958577</v>
      </c>
      <c r="O155" s="343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157"/>
      <c r="N157" s="158"/>
      <c r="O157" s="158"/>
      <c r="P157" s="158"/>
      <c r="Q157" s="159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157"/>
      <c r="N158" s="158"/>
      <c r="O158" s="158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157"/>
      <c r="N159" s="158"/>
      <c r="O159" s="15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35000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157"/>
      <c r="N160" s="158"/>
      <c r="O160" s="158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35</v>
      </c>
      <c r="B161" s="343">
        <f>B91</f>
        <v>571.0957805285816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157"/>
      <c r="N161" s="158"/>
      <c r="O161" s="158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206"/>
      <c r="N162" s="207"/>
      <c r="O162" s="207"/>
      <c r="P162" s="207"/>
      <c r="Q162" s="208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157"/>
      <c r="B165" s="158"/>
      <c r="C165" s="158"/>
      <c r="D165" s="158"/>
      <c r="E165" s="159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206"/>
      <c r="B166" s="207"/>
      <c r="C166" s="207"/>
      <c r="D166" s="207"/>
      <c r="E166" s="208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35">
        <f>A161</f>
        <v>35</v>
      </c>
      <c r="C174" s="236"/>
      <c r="D174" s="235">
        <f>D125</f>
        <v>35000</v>
      </c>
      <c r="E174" s="233"/>
      <c r="F174" s="55"/>
      <c r="G174" s="273" t="s">
        <v>379</v>
      </c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B90</f>
        <v>571.0957805285816</v>
      </c>
      <c r="B177" s="232">
        <f>IF(A105="YES",B89,0)</f>
        <v>0</v>
      </c>
      <c r="C177" s="236"/>
      <c r="D177" s="232">
        <f>B91</f>
        <v>571.0957805285816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B99</f>
        <v xml:space="preserve"> Monthly in advance </v>
      </c>
      <c r="B180" s="34">
        <f>B90*B57</f>
        <v>571.0957805285816</v>
      </c>
      <c r="C180" s="158"/>
      <c r="D180" s="34">
        <f>IF(A105="YES",B89*B57,0)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B91*B57</f>
        <v>571.0957805285816</v>
      </c>
      <c r="B183" s="34">
        <f>E114</f>
        <v>0</v>
      </c>
      <c r="C183" s="158"/>
      <c r="D183" s="245">
        <f>B58</f>
        <v>34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B90</f>
        <v>571.0957805285816</v>
      </c>
      <c r="B186" s="34">
        <f>IF(A105="YES",B89,0)</f>
        <v>0</v>
      </c>
      <c r="C186" s="158"/>
      <c r="D186" s="34">
        <f>B91</f>
        <v>571.0957805285816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A140</f>
        <v>24.3156</v>
      </c>
      <c r="B189" s="251">
        <f>B140</f>
        <v>8.1052</v>
      </c>
      <c r="C189" s="252"/>
      <c r="D189" s="251">
        <f>A189+B189</f>
        <v>32.4208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E118</f>
        <v>199.99</v>
      </c>
      <c r="C192" s="158"/>
      <c r="D192" s="119">
        <f>B102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B67</f>
        <v>300</v>
      </c>
      <c r="B197" s="34">
        <f>B102</f>
        <v>400</v>
      </c>
      <c r="C197" s="34"/>
      <c r="D197" s="34">
        <f>IF(A105="YES",(B40*B105)*B125,0)*0.1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A151</f>
        <v>225</v>
      </c>
      <c r="B200" s="34">
        <f>(A148+B148+D148+A151)*(A143/B64)</f>
        <v>0</v>
      </c>
      <c r="C200" s="34"/>
      <c r="D200" s="34">
        <f>D151</f>
        <v>725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D102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6.5000000000000002E-2</v>
      </c>
      <c r="C209" s="232" t="s">
        <v>227</v>
      </c>
      <c r="D209" s="261">
        <f>D64</f>
        <v>1780.1995859999997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300</v>
      </c>
      <c r="C211" s="231" t="s">
        <v>229</v>
      </c>
      <c r="D211" s="261">
        <f>B225+E221+B221+B223</f>
        <v>465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1945.1995859999997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D64</f>
        <v>1780.1995859999997</v>
      </c>
      <c r="C217" s="178" t="s">
        <v>233</v>
      </c>
      <c r="D217" s="158"/>
      <c r="E217" s="214">
        <f>B66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B67</f>
        <v>300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(B77-(B77*(E219*100)))*0.1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B78-(B78*(E219*100))</f>
        <v>200</v>
      </c>
      <c r="C223" s="163" t="s">
        <v>230</v>
      </c>
      <c r="D223" s="158"/>
      <c r="E223" s="29">
        <f>(B217-B211+D211)</f>
        <v>1945.1995859999997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customFormat="1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B71</f>
        <v>200</v>
      </c>
      <c r="C229" s="163" t="s">
        <v>238</v>
      </c>
      <c r="D229" s="254"/>
      <c r="E229" s="118">
        <f>B72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D73</f>
        <v>375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B68</f>
        <v>7.4999999999999997E-3</v>
      </c>
      <c r="C231" s="163" t="s">
        <v>241</v>
      </c>
      <c r="D231" s="254"/>
      <c r="E231" s="214">
        <f>B69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B86</f>
        <v>167.90215947540304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B79</f>
        <v>200</v>
      </c>
      <c r="C233" s="268" t="s">
        <v>336</v>
      </c>
      <c r="D233" s="269"/>
      <c r="E233" s="118">
        <f>B74</f>
        <v>275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B80</f>
        <v>200</v>
      </c>
      <c r="C235" s="272" t="s">
        <v>337</v>
      </c>
      <c r="D235" s="272"/>
      <c r="E235" s="118">
        <f>B75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/>
    <row r="359" spans="1:26" ht="15.75" customHeight="1"/>
    <row r="360" spans="1:26" ht="15.75" customHeight="1"/>
    <row r="361" spans="1:26" ht="15.75" customHeight="1"/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4">
    <mergeCell ref="A207:E207"/>
    <mergeCell ref="A159:A160"/>
    <mergeCell ref="B159:C159"/>
    <mergeCell ref="B160:C160"/>
    <mergeCell ref="B161:C161"/>
    <mergeCell ref="A171:E171"/>
    <mergeCell ref="H152:I152"/>
    <mergeCell ref="M153:M154"/>
    <mergeCell ref="N153:O153"/>
    <mergeCell ref="N154:O154"/>
    <mergeCell ref="N155:O155"/>
    <mergeCell ref="H124:I124"/>
    <mergeCell ref="N124:O124"/>
    <mergeCell ref="N148:O148"/>
    <mergeCell ref="G150:G151"/>
    <mergeCell ref="H150:I150"/>
    <mergeCell ref="H151:I151"/>
    <mergeCell ref="P105:Q105"/>
    <mergeCell ref="A108:E108"/>
    <mergeCell ref="G108:K108"/>
    <mergeCell ref="M108:Q108"/>
    <mergeCell ref="A122:E122"/>
    <mergeCell ref="G122:K122"/>
    <mergeCell ref="M122:Q122"/>
    <mergeCell ref="B105:C105"/>
    <mergeCell ref="D105:E105"/>
    <mergeCell ref="H105:I105"/>
    <mergeCell ref="J105:K105"/>
    <mergeCell ref="N105:O105"/>
    <mergeCell ref="N99:O99"/>
    <mergeCell ref="P99:Q99"/>
    <mergeCell ref="B102:C102"/>
    <mergeCell ref="D102:E102"/>
    <mergeCell ref="H102:I102"/>
    <mergeCell ref="J102:K102"/>
    <mergeCell ref="N102:O102"/>
    <mergeCell ref="P102:Q102"/>
    <mergeCell ref="B97:C97"/>
    <mergeCell ref="B99:C99"/>
    <mergeCell ref="D99:E99"/>
    <mergeCell ref="H99:I99"/>
    <mergeCell ref="J99:K99"/>
    <mergeCell ref="B52:C52"/>
    <mergeCell ref="A94:E94"/>
    <mergeCell ref="G94:K94"/>
    <mergeCell ref="M94:Q94"/>
    <mergeCell ref="A96:E96"/>
    <mergeCell ref="G96:K96"/>
    <mergeCell ref="M96:Q96"/>
    <mergeCell ref="C44:D44"/>
    <mergeCell ref="C45:D45"/>
    <mergeCell ref="A50:A51"/>
    <mergeCell ref="B50:C50"/>
    <mergeCell ref="B51:C51"/>
    <mergeCell ref="A24:E24"/>
    <mergeCell ref="A28:E28"/>
    <mergeCell ref="B30:C30"/>
    <mergeCell ref="G38:H38"/>
    <mergeCell ref="B40:C40"/>
    <mergeCell ref="A1:F1"/>
    <mergeCell ref="D7:E18"/>
    <mergeCell ref="A16:C18"/>
    <mergeCell ref="A19:D19"/>
    <mergeCell ref="A21:D21"/>
  </mergeCells>
  <dataValidations count="1">
    <dataValidation type="list" allowBlank="1" showErrorMessage="1" sqref="H99 N99 G105 M105 O107 H110 N110" xr:uid="{00000000-0002-0000-1800-000002000000}">
      <formula1>#REF!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1800-000000000000}">
          <x14:formula1>
            <xm:f>'Formula1-BCH'!$I$3:$I$4</xm:f>
          </x14:formula1>
          <x14:formula2>
            <xm:f>0</xm:f>
          </x14:formula2>
          <xm:sqref>B26 A105 B110</xm:sqref>
        </x14:dataValidation>
        <x14:dataValidation type="list" allowBlank="1" showErrorMessage="1" xr:uid="{00000000-0002-0000-1800-000001000000}">
          <x14:formula1>
            <xm:f>'Formula1-BCH'!$Y$97:$Y$105</xm:f>
          </x14:formula1>
          <x14:formula2>
            <xm:f>0</xm:f>
          </x14:formula2>
          <xm:sqref>B99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P281"/>
  <sheetViews>
    <sheetView topLeftCell="A261" zoomScale="110" zoomScaleNormal="110" workbookViewId="0">
      <selection activeCell="F270" sqref="F270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2" customWidth="true" style="4" width="18.875"/>
    <col min="13" max="13" customWidth="true" style="4" width="22.5"/>
    <col min="14" max="14" customWidth="true" style="4" width="20.875"/>
    <col min="15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30" t="s">
        <v>14</v>
      </c>
      <c r="B1" s="330"/>
      <c r="C1" s="330"/>
      <c r="D1" s="330"/>
      <c r="E1" s="330"/>
      <c r="F1" s="330"/>
      <c r="J1" s="5"/>
    </row>
    <row r="2" spans="1:25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J2" s="5"/>
    </row>
    <row r="3" spans="1:25">
      <c r="A3" s="9"/>
      <c r="B3" s="9"/>
      <c r="C3" s="9"/>
      <c r="D3" s="9"/>
      <c r="E3" s="9"/>
      <c r="F3" s="6" t="s">
        <v>10</v>
      </c>
      <c r="J3" s="5"/>
    </row>
    <row r="4" spans="1:25">
      <c r="A4" s="6" t="s">
        <v>18</v>
      </c>
      <c r="B4" s="7">
        <f>B15+C15</f>
        <v>22200</v>
      </c>
      <c r="C4" s="9"/>
      <c r="D4" s="9"/>
      <c r="E4" s="9"/>
      <c r="F4" s="6" t="s">
        <v>10</v>
      </c>
      <c r="H4" s="10"/>
      <c r="J4" s="5"/>
    </row>
    <row r="5" spans="1:25">
      <c r="A5" s="11"/>
      <c r="B5" s="11"/>
      <c r="C5" s="11"/>
      <c r="D5" s="11"/>
      <c r="E5" s="11"/>
      <c r="F5" s="11" t="s">
        <v>10</v>
      </c>
      <c r="J5" s="5"/>
    </row>
    <row r="6" spans="1:25">
      <c r="A6" s="11"/>
      <c r="B6" s="11"/>
      <c r="C6" s="11"/>
      <c r="D6" s="11"/>
      <c r="E6" s="11"/>
      <c r="F6" s="11"/>
      <c r="J6" s="5"/>
    </row>
    <row r="7" spans="1:25">
      <c r="A7" s="12" t="s">
        <v>19</v>
      </c>
      <c r="B7" s="12" t="s">
        <v>20</v>
      </c>
      <c r="C7" s="12" t="s">
        <v>16</v>
      </c>
      <c r="D7" s="331"/>
      <c r="E7" s="331"/>
      <c r="F7" s="11"/>
      <c r="J7" s="5"/>
    </row>
    <row r="8" spans="1:25">
      <c r="A8" s="13"/>
      <c r="B8" s="11" t="s">
        <v>10</v>
      </c>
      <c r="C8" s="11"/>
      <c r="D8" s="331"/>
      <c r="E8" s="331"/>
      <c r="F8" s="11"/>
      <c r="J8" s="5"/>
      <c r="L8" s="14" t="s">
        <v>17</v>
      </c>
      <c r="M8" s="11">
        <f>H13+H14</f>
        <v>0</v>
      </c>
    </row>
    <row r="9" spans="1:25">
      <c r="A9" s="12" t="s">
        <v>21</v>
      </c>
      <c r="B9" s="15">
        <v>18500</v>
      </c>
      <c r="C9" s="11">
        <f>B9*0.2</f>
        <v>3700</v>
      </c>
      <c r="D9" s="331"/>
      <c r="E9" s="331"/>
      <c r="F9" s="11"/>
      <c r="J9" s="5"/>
      <c r="L9" s="11"/>
      <c r="M9" s="11"/>
    </row>
    <row r="10" spans="1:25">
      <c r="A10" s="12"/>
      <c r="B10" s="11"/>
      <c r="C10" s="11"/>
      <c r="D10" s="331"/>
      <c r="E10" s="331"/>
      <c r="F10" s="11"/>
      <c r="J10" s="5"/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31"/>
      <c r="E11" s="331"/>
      <c r="F11" s="11"/>
      <c r="J11" s="5"/>
      <c r="L11" s="11"/>
      <c r="M11" s="11"/>
    </row>
    <row r="12" spans="1:25">
      <c r="A12" s="12"/>
      <c r="B12" s="11"/>
      <c r="C12" s="11"/>
      <c r="D12" s="331"/>
      <c r="E12" s="331"/>
      <c r="F12" s="11"/>
      <c r="J12" s="5"/>
    </row>
    <row r="13" spans="1:25">
      <c r="A13" s="12" t="s">
        <v>23</v>
      </c>
      <c r="B13" s="15">
        <v>0</v>
      </c>
      <c r="C13" s="11"/>
      <c r="D13" s="331"/>
      <c r="E13" s="331"/>
      <c r="F13" s="11"/>
      <c r="J13" s="5"/>
    </row>
    <row r="14" spans="1:25">
      <c r="A14" s="12"/>
      <c r="B14" s="11"/>
      <c r="C14" s="11"/>
      <c r="D14" s="331"/>
      <c r="E14" s="331"/>
      <c r="F14" s="11"/>
      <c r="J14" s="5" t="s">
        <v>24</v>
      </c>
    </row>
    <row r="15" spans="1:25">
      <c r="A15" s="12" t="s">
        <v>25</v>
      </c>
      <c r="B15" s="11">
        <f>SUM(B9:B13)</f>
        <v>18500</v>
      </c>
      <c r="C15" s="11">
        <f>SUM(C9:C13)</f>
        <v>3700</v>
      </c>
      <c r="D15" s="331"/>
      <c r="E15" s="331"/>
      <c r="F15" s="11"/>
      <c r="J15" s="17">
        <f>H15</f>
        <v>0</v>
      </c>
    </row>
    <row r="16" spans="1:25">
      <c r="A16" s="332"/>
      <c r="B16" s="332"/>
      <c r="C16" s="332"/>
      <c r="D16" s="331"/>
      <c r="E16" s="331"/>
      <c r="F16" s="11"/>
      <c r="J16" s="5"/>
      <c r="Y16" s="18" t="s">
        <v>26</v>
      </c>
    </row>
    <row r="17" spans="1:26">
      <c r="A17" s="332"/>
      <c r="B17" s="332"/>
      <c r="C17" s="332"/>
      <c r="D17" s="331"/>
      <c r="E17" s="331"/>
      <c r="F17" s="11"/>
      <c r="J17" s="19" t="s">
        <v>27</v>
      </c>
      <c r="Y17" s="18" t="s">
        <v>28</v>
      </c>
    </row>
    <row r="18" spans="1:26">
      <c r="A18" s="332"/>
      <c r="B18" s="332"/>
      <c r="C18" s="332"/>
      <c r="D18" s="331"/>
      <c r="E18" s="331"/>
      <c r="F18" s="11"/>
      <c r="J18" s="20">
        <v>37404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22200</v>
      </c>
      <c r="F19" s="11"/>
      <c r="J19" s="5"/>
      <c r="Z19" s="5" t="s">
        <v>31</v>
      </c>
    </row>
    <row r="20" spans="1:26">
      <c r="A20" s="11"/>
      <c r="B20" s="11"/>
      <c r="C20" s="11"/>
      <c r="D20" s="11"/>
      <c r="E20" s="11"/>
      <c r="F20" s="11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18500</v>
      </c>
      <c r="F21" s="11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 ht="23.25">
      <c r="A26" s="335" t="s">
        <v>35</v>
      </c>
      <c r="B26" s="335"/>
      <c r="C26" s="335"/>
      <c r="D26" s="335"/>
      <c r="E26" s="335"/>
      <c r="F26" s="335"/>
      <c r="G26" s="335"/>
      <c r="H26" s="335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>
      <c r="A28" s="32" t="s">
        <v>36</v>
      </c>
      <c r="B28" s="28" t="s">
        <v>39</v>
      </c>
      <c r="C28" s="28"/>
      <c r="D28" s="28"/>
      <c r="E28" s="28"/>
      <c r="F28" s="28"/>
      <c r="G28" s="28"/>
      <c r="H28" s="29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/>
      <c r="I29" s="28"/>
      <c r="J29" s="25" t="s">
        <v>41</v>
      </c>
      <c r="K29" s="33" t="str">
        <f>A34</f>
        <v>12</v>
      </c>
    </row>
    <row r="30" spans="1:26">
      <c r="A30" s="32" t="s">
        <v>42</v>
      </c>
      <c r="B30" s="28"/>
      <c r="C30" s="34" t="s">
        <v>43</v>
      </c>
      <c r="D30" s="35"/>
      <c r="E30" s="28"/>
      <c r="F30" s="34" t="s">
        <v>44</v>
      </c>
      <c r="G30" s="35"/>
      <c r="H30" s="29"/>
      <c r="I30" s="28"/>
      <c r="J30" s="25" t="s">
        <v>45</v>
      </c>
      <c r="K30" s="33" t="str">
        <f>C34</f>
        <v>5000</v>
      </c>
    </row>
    <row r="31" spans="1:26">
      <c r="A31" s="36" t="s">
        <v>46</v>
      </c>
      <c r="B31" s="28"/>
      <c r="C31" s="336" t="s">
        <v>47</v>
      </c>
      <c r="D31" s="336"/>
      <c r="E31" s="28"/>
      <c r="F31" s="336"/>
      <c r="G31" s="336"/>
      <c r="H31" s="29"/>
      <c r="I31" s="28"/>
      <c r="J31" s="25" t="s">
        <v>48</v>
      </c>
      <c r="K31" s="37">
        <f>A43</f>
        <v>6000</v>
      </c>
    </row>
    <row r="32" spans="1:26" ht="36">
      <c r="A32" s="32"/>
      <c r="B32" s="38"/>
      <c r="C32" s="38"/>
      <c r="D32" s="38"/>
      <c r="E32" s="38"/>
      <c r="F32" s="38"/>
      <c r="G32" s="38"/>
      <c r="H32" s="29"/>
      <c r="I32" s="5"/>
      <c r="J32" s="25" t="s">
        <v>49</v>
      </c>
      <c r="K32" s="37">
        <f>A46</f>
        <v>0</v>
      </c>
      <c r="M32" s="39" t="s">
        <v>50</v>
      </c>
      <c r="N32" s="40" t="s">
        <v>51</v>
      </c>
    </row>
    <row r="33" spans="1:14">
      <c r="A33" s="32" t="s">
        <v>52</v>
      </c>
      <c r="B33" s="28"/>
      <c r="C33" s="41" t="s">
        <v>53</v>
      </c>
      <c r="D33" s="35"/>
      <c r="E33" s="28"/>
      <c r="F33" s="34" t="s">
        <v>54</v>
      </c>
      <c r="G33" s="35"/>
      <c r="H33" s="42"/>
      <c r="I33" s="5"/>
      <c r="J33" s="30"/>
      <c r="K33" s="43"/>
      <c r="M33" s="39"/>
      <c r="N33" s="13"/>
    </row>
    <row r="34" spans="1:14">
      <c r="A34" s="36" t="s">
        <v>393</v>
      </c>
      <c r="B34" s="28"/>
      <c r="C34" s="336" t="s">
        <v>397</v>
      </c>
      <c r="D34" s="336"/>
      <c r="E34" s="28"/>
      <c r="F34" s="336">
        <f>(A34/12)*C34</f>
        <v>5000</v>
      </c>
      <c r="G34" s="336"/>
      <c r="H34" s="42"/>
      <c r="I34" s="5"/>
      <c r="J34" s="5"/>
      <c r="K34" s="5"/>
      <c r="M34" s="39" t="s">
        <v>57</v>
      </c>
      <c r="N34" s="44" t="s">
        <v>58</v>
      </c>
    </row>
    <row r="35" spans="1:14">
      <c r="A35" s="27"/>
      <c r="B35" s="28"/>
      <c r="C35" s="28"/>
      <c r="E35" s="28"/>
      <c r="F35" s="38"/>
      <c r="G35" s="38"/>
      <c r="H35" s="42"/>
      <c r="I35" s="5"/>
      <c r="J35" s="45" t="s">
        <v>59</v>
      </c>
      <c r="K35" s="46">
        <v>6.5000000000000002E-2</v>
      </c>
      <c r="M35" s="39"/>
      <c r="N35" s="13" t="s">
        <v>10</v>
      </c>
    </row>
    <row r="36" spans="1:14">
      <c r="A36" s="32" t="s">
        <v>60</v>
      </c>
      <c r="B36" s="28"/>
      <c r="C36" s="34" t="s">
        <v>61</v>
      </c>
      <c r="D36" s="35"/>
      <c r="E36" s="28"/>
      <c r="F36" s="34" t="s">
        <v>62</v>
      </c>
      <c r="G36" s="35"/>
      <c r="H36" s="42"/>
      <c r="I36" s="5"/>
      <c r="J36" s="5" t="s">
        <v>63</v>
      </c>
      <c r="K36" s="5">
        <f>C40</f>
        <v>11</v>
      </c>
      <c r="M36" s="39" t="s">
        <v>64</v>
      </c>
      <c r="N36" s="47">
        <f>N32-N34</f>
        <v>22125</v>
      </c>
    </row>
    <row r="37" spans="1:14">
      <c r="A37" s="32">
        <f>E19</f>
        <v>22200</v>
      </c>
      <c r="B37" s="28"/>
      <c r="C37" s="336" t="s">
        <v>398</v>
      </c>
      <c r="D37" s="336"/>
      <c r="E37" s="28"/>
      <c r="F37" s="38">
        <f>A37-C37</f>
        <v>21200</v>
      </c>
      <c r="G37" s="38"/>
      <c r="H37" s="42"/>
      <c r="I37" s="5"/>
      <c r="J37" s="5"/>
      <c r="K37" s="5"/>
    </row>
    <row r="38" spans="1:14">
      <c r="A38" s="32"/>
      <c r="B38" s="38"/>
      <c r="C38" s="38"/>
      <c r="D38" s="38"/>
      <c r="E38" s="38"/>
      <c r="F38" s="38"/>
      <c r="G38" s="38"/>
      <c r="H38" s="42"/>
      <c r="J38" s="337" t="s">
        <v>65</v>
      </c>
      <c r="K38" s="337"/>
      <c r="L38" s="5"/>
    </row>
    <row r="39" spans="1:14">
      <c r="A39" s="32" t="s">
        <v>66</v>
      </c>
      <c r="B39" s="28"/>
      <c r="C39" s="35" t="s">
        <v>67</v>
      </c>
      <c r="D39" s="34"/>
      <c r="E39" s="28"/>
      <c r="F39" s="34" t="s">
        <v>68</v>
      </c>
      <c r="G39" s="35"/>
      <c r="H39" s="42"/>
      <c r="J39" s="5" t="s">
        <v>69</v>
      </c>
      <c r="K39" s="5" t="str">
        <f>F40</f>
        <v>500</v>
      </c>
      <c r="L39" s="5"/>
    </row>
    <row r="40" spans="1:14">
      <c r="A40" s="36" t="s">
        <v>393</v>
      </c>
      <c r="B40" s="28"/>
      <c r="C40" s="338">
        <f>A34-1</f>
        <v>11</v>
      </c>
      <c r="D40" s="338"/>
      <c r="E40" s="28"/>
      <c r="F40" s="336" t="s">
        <v>390</v>
      </c>
      <c r="G40" s="336"/>
      <c r="H40" s="42"/>
      <c r="J40" s="5" t="s">
        <v>71</v>
      </c>
      <c r="K40" s="5">
        <f>C15</f>
        <v>3700</v>
      </c>
      <c r="L40" s="5"/>
    </row>
    <row r="41" spans="1:14">
      <c r="A41" s="32"/>
      <c r="B41" s="38"/>
      <c r="C41" s="38"/>
      <c r="D41" s="38"/>
      <c r="E41" s="38"/>
      <c r="F41" s="38"/>
      <c r="G41" s="38"/>
      <c r="H41" s="42"/>
      <c r="J41" s="5" t="s">
        <v>72</v>
      </c>
      <c r="K41" s="5">
        <f>IF(F43="Yes",A46,0)</f>
        <v>0</v>
      </c>
      <c r="L41" s="5"/>
    </row>
    <row r="42" spans="1:14">
      <c r="A42" s="32" t="s">
        <v>73</v>
      </c>
      <c r="B42" s="28"/>
      <c r="C42" s="34" t="s">
        <v>74</v>
      </c>
      <c r="D42" s="35"/>
      <c r="E42" s="28"/>
      <c r="F42" s="34" t="s">
        <v>75</v>
      </c>
      <c r="G42" s="35"/>
      <c r="H42" s="42"/>
      <c r="J42" s="5" t="s">
        <v>76</v>
      </c>
      <c r="K42" s="5">
        <f>A43</f>
        <v>6000</v>
      </c>
      <c r="L42" s="5"/>
    </row>
    <row r="43" spans="1:14">
      <c r="A43" s="36">
        <v>6000</v>
      </c>
      <c r="B43" s="28"/>
      <c r="C43" s="336">
        <v>20</v>
      </c>
      <c r="D43" s="336"/>
      <c r="E43" s="28"/>
      <c r="F43" s="336" t="s">
        <v>31</v>
      </c>
      <c r="G43" s="336"/>
      <c r="H43" s="42"/>
      <c r="J43" s="5" t="s">
        <v>77</v>
      </c>
      <c r="K43" s="5" t="str">
        <f>A34</f>
        <v>12</v>
      </c>
      <c r="L43" s="5"/>
    </row>
    <row r="44" spans="1:14">
      <c r="A44" s="32"/>
      <c r="B44" s="38"/>
      <c r="C44" s="38"/>
      <c r="D44" s="38"/>
      <c r="E44" s="38"/>
      <c r="F44" s="38"/>
      <c r="G44" s="38"/>
      <c r="H44" s="42"/>
      <c r="J44" s="5" t="s">
        <v>78</v>
      </c>
      <c r="K44" s="5">
        <f>((K40-(((K42/(1.2))*0.2)))/(K43))</f>
        <v>225</v>
      </c>
      <c r="L44" s="5"/>
    </row>
    <row r="45" spans="1:14">
      <c r="A45" s="32" t="s">
        <v>79</v>
      </c>
      <c r="B45" s="28"/>
      <c r="C45" s="34" t="s">
        <v>80</v>
      </c>
      <c r="D45" s="35"/>
      <c r="E45" s="28"/>
      <c r="F45" s="34" t="s">
        <v>81</v>
      </c>
      <c r="G45" s="35"/>
      <c r="H45" s="42"/>
      <c r="J45" s="5" t="s">
        <v>82</v>
      </c>
      <c r="K45" s="5">
        <f>(K39-K44)+K41</f>
        <v>275</v>
      </c>
      <c r="L45" s="5"/>
    </row>
    <row r="46" spans="1:14">
      <c r="A46" s="36">
        <v>0</v>
      </c>
      <c r="B46" s="28"/>
      <c r="C46" s="336">
        <v>1</v>
      </c>
      <c r="D46" s="336"/>
      <c r="E46" s="28"/>
      <c r="F46" s="336">
        <v>0</v>
      </c>
      <c r="G46" s="336"/>
      <c r="H46" s="42"/>
      <c r="J46" s="5" t="s">
        <v>83</v>
      </c>
      <c r="K46" s="5">
        <v>0</v>
      </c>
      <c r="L46" s="5"/>
    </row>
    <row r="47" spans="1:14">
      <c r="A47" s="32"/>
      <c r="B47" s="38"/>
      <c r="C47" s="38"/>
      <c r="D47" s="38"/>
      <c r="E47" s="38"/>
      <c r="F47" s="38"/>
      <c r="G47" s="38"/>
      <c r="H47" s="42"/>
      <c r="J47" s="5" t="s">
        <v>84</v>
      </c>
      <c r="K47" s="5">
        <f>A40/K29</f>
        <v>1</v>
      </c>
      <c r="L47" s="5"/>
    </row>
    <row r="48" spans="1:14">
      <c r="A48" s="32" t="s">
        <v>85</v>
      </c>
      <c r="B48" s="38"/>
      <c r="C48" s="38"/>
      <c r="D48" s="38"/>
      <c r="E48" s="38"/>
      <c r="F48" s="38"/>
      <c r="G48" s="38"/>
      <c r="H48" s="42"/>
      <c r="J48" s="48" t="s">
        <v>86</v>
      </c>
      <c r="K48" s="5">
        <f>C43/A34</f>
        <v>1.6666666666666667</v>
      </c>
      <c r="L48" s="5"/>
    </row>
    <row r="49" spans="1:12">
      <c r="A49" s="32">
        <f>C46+F46</f>
        <v>1</v>
      </c>
      <c r="B49" s="38"/>
      <c r="C49" s="38"/>
      <c r="D49" s="38"/>
      <c r="E49" s="28"/>
      <c r="F49" s="38"/>
      <c r="G49" s="38"/>
      <c r="H49" s="42"/>
      <c r="J49" s="48" t="s">
        <v>87</v>
      </c>
      <c r="K49" s="5">
        <f>K45+K48+K47</f>
        <v>277.66666666666669</v>
      </c>
      <c r="L49" s="5"/>
    </row>
    <row r="50" spans="1:12">
      <c r="A50" s="49"/>
      <c r="B50" s="50"/>
      <c r="C50" s="50"/>
      <c r="D50" s="50"/>
      <c r="E50" s="50"/>
      <c r="F50" s="50"/>
      <c r="G50" s="51"/>
      <c r="H50" s="52"/>
      <c r="I50" s="5"/>
      <c r="J50" s="48" t="s">
        <v>88</v>
      </c>
      <c r="K50" s="5">
        <f>K49-A46</f>
        <v>277.66666666666669</v>
      </c>
    </row>
    <row r="51" spans="1:12" ht="19.5" customHeight="1">
      <c r="A51" s="22"/>
      <c r="B51" s="23"/>
      <c r="C51" s="23"/>
      <c r="D51" s="23"/>
      <c r="E51" s="23"/>
      <c r="F51" s="23"/>
      <c r="G51" s="23"/>
      <c r="H51" s="24"/>
      <c r="I51" s="5"/>
      <c r="J51" s="5"/>
      <c r="K51" s="5"/>
    </row>
    <row r="52" spans="1:12">
      <c r="A52" s="53" t="s">
        <v>89</v>
      </c>
      <c r="B52" s="28"/>
      <c r="C52" s="28" t="s">
        <v>90</v>
      </c>
      <c r="D52" s="28"/>
      <c r="E52" s="28"/>
      <c r="F52" s="28"/>
      <c r="G52" s="28"/>
      <c r="H52" s="29"/>
      <c r="I52" s="5"/>
      <c r="J52" s="5"/>
      <c r="K52" s="5"/>
    </row>
    <row r="53" spans="1:12">
      <c r="A53" s="54">
        <v>1</v>
      </c>
      <c r="B53" s="28"/>
      <c r="C53" s="339">
        <v>1</v>
      </c>
      <c r="D53" s="339"/>
      <c r="E53" s="339"/>
      <c r="F53" s="28"/>
      <c r="G53" s="28"/>
      <c r="H53" s="29"/>
      <c r="I53" s="5"/>
      <c r="J53" s="55" t="s">
        <v>91</v>
      </c>
      <c r="K53" s="56" t="s">
        <v>399</v>
      </c>
    </row>
    <row r="54" spans="1:12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12">
      <c r="A55" s="22"/>
      <c r="B55" s="23"/>
      <c r="C55" s="23"/>
      <c r="D55" s="23"/>
      <c r="E55" s="23"/>
      <c r="F55" s="23"/>
      <c r="G55" s="23"/>
      <c r="H55" s="24"/>
      <c r="I55" s="5"/>
      <c r="J55" s="5" t="s">
        <v>92</v>
      </c>
      <c r="K55" s="5">
        <f>A46*A34</f>
        <v>0</v>
      </c>
    </row>
    <row r="56" spans="1:12">
      <c r="A56" s="58" t="s">
        <v>93</v>
      </c>
      <c r="B56" s="28"/>
      <c r="C56" s="28"/>
      <c r="D56" s="59"/>
      <c r="E56" s="59"/>
      <c r="F56" s="59"/>
      <c r="G56" s="59"/>
      <c r="H56" s="60"/>
      <c r="I56" s="5"/>
      <c r="J56" s="5"/>
      <c r="K56" s="5"/>
    </row>
    <row r="57" spans="1:12" ht="19.5" customHeight="1">
      <c r="A57" s="27"/>
      <c r="B57" s="61"/>
      <c r="C57" s="61"/>
      <c r="D57" s="28"/>
      <c r="E57" s="28"/>
      <c r="F57" s="28"/>
      <c r="G57" s="28"/>
      <c r="H57" s="29"/>
      <c r="I57" s="5"/>
      <c r="J57" s="5"/>
      <c r="K57" s="5"/>
    </row>
    <row r="58" spans="1:12" ht="21">
      <c r="A58" s="340" t="s">
        <v>94</v>
      </c>
      <c r="B58" s="341" t="s">
        <v>95</v>
      </c>
      <c r="C58" s="341"/>
      <c r="D58" s="341"/>
      <c r="E58" s="28"/>
      <c r="F58" s="28"/>
      <c r="G58" s="28"/>
      <c r="H58" s="29"/>
      <c r="I58" s="5"/>
      <c r="J58" s="5"/>
      <c r="K58" s="5"/>
    </row>
    <row r="59" spans="1:12">
      <c r="A59" s="340"/>
      <c r="B59" s="342" t="str">
        <f>K30</f>
        <v>5000</v>
      </c>
      <c r="C59" s="342"/>
      <c r="D59" s="342"/>
      <c r="E59" s="28"/>
      <c r="F59" s="28"/>
      <c r="G59" s="28"/>
      <c r="H59" s="29"/>
      <c r="I59" s="5"/>
      <c r="J59" s="5"/>
      <c r="K59" s="5"/>
    </row>
    <row r="60" spans="1:12">
      <c r="A60" s="62" t="str">
        <f>K29</f>
        <v>12</v>
      </c>
      <c r="B60" s="343">
        <f>K49</f>
        <v>277.66666666666669</v>
      </c>
      <c r="C60" s="343"/>
      <c r="D60" s="343"/>
      <c r="E60" s="28"/>
      <c r="F60" s="28"/>
      <c r="G60" s="28"/>
      <c r="H60" s="29"/>
      <c r="I60" s="5"/>
      <c r="J60" s="5"/>
      <c r="K60" s="5"/>
    </row>
    <row r="61" spans="1:12">
      <c r="A61" s="27"/>
      <c r="B61" s="28"/>
      <c r="C61" s="28"/>
      <c r="D61" s="28"/>
      <c r="E61" s="28"/>
      <c r="F61" s="28"/>
      <c r="G61" s="28"/>
      <c r="H61" s="29"/>
      <c r="I61" s="5"/>
      <c r="J61" s="5"/>
      <c r="K61" s="5"/>
    </row>
    <row r="62" spans="1:12">
      <c r="A62" s="49"/>
      <c r="B62" s="50"/>
      <c r="C62" s="50"/>
      <c r="D62" s="50"/>
      <c r="E62" s="50"/>
      <c r="F62" s="50"/>
      <c r="G62" s="50"/>
      <c r="H62" s="57"/>
      <c r="I62" s="5"/>
      <c r="J62" s="5"/>
      <c r="K62" s="5"/>
    </row>
    <row r="63" spans="1:12">
      <c r="A63" s="28"/>
      <c r="B63" s="28"/>
      <c r="C63" s="28"/>
      <c r="D63" s="28"/>
      <c r="E63" s="28"/>
      <c r="F63" s="28"/>
      <c r="G63" s="28"/>
      <c r="H63" s="28"/>
      <c r="I63" s="5"/>
      <c r="J63" s="5"/>
      <c r="K63" s="5"/>
    </row>
    <row r="64" spans="1:12">
      <c r="A64" s="28"/>
      <c r="B64" s="28"/>
      <c r="C64" s="28"/>
      <c r="D64" s="28"/>
      <c r="E64" s="28"/>
      <c r="F64" s="28"/>
      <c r="G64" s="28"/>
      <c r="H64" s="28"/>
      <c r="I64" s="5"/>
      <c r="J64" s="5"/>
      <c r="K64" s="5"/>
    </row>
    <row r="65" spans="1:35">
      <c r="A65" s="21"/>
      <c r="B65" s="21"/>
      <c r="C65" s="21"/>
      <c r="D65" s="21"/>
      <c r="E65" s="21"/>
      <c r="F65" s="21"/>
      <c r="G65" s="21"/>
      <c r="H65" s="21"/>
      <c r="J65" s="5"/>
      <c r="K65" s="5"/>
    </row>
    <row r="66" spans="1:35">
      <c r="A66" s="22"/>
      <c r="B66" s="23"/>
      <c r="C66" s="23"/>
      <c r="D66" s="23"/>
      <c r="E66" s="63"/>
      <c r="F66" s="63"/>
      <c r="G66" s="63"/>
      <c r="H66" s="24"/>
      <c r="J66" s="22"/>
      <c r="K66" s="23"/>
      <c r="L66" s="23"/>
      <c r="M66" s="23"/>
      <c r="N66" s="63"/>
      <c r="O66" s="63"/>
      <c r="P66" s="63"/>
      <c r="Q66" s="24"/>
      <c r="S66" s="22"/>
      <c r="T66" s="23"/>
      <c r="U66" s="23"/>
      <c r="V66" s="23"/>
      <c r="W66" s="63"/>
      <c r="X66" s="63"/>
      <c r="Y66" s="63"/>
      <c r="Z66" s="24"/>
      <c r="AB66" s="22"/>
      <c r="AC66" s="23"/>
      <c r="AD66" s="23"/>
      <c r="AE66" s="23"/>
      <c r="AF66" s="63"/>
      <c r="AG66" s="63"/>
      <c r="AH66" s="63"/>
      <c r="AI66" s="24"/>
    </row>
    <row r="67" spans="1:35">
      <c r="A67" s="27" t="s">
        <v>96</v>
      </c>
      <c r="B67" s="28">
        <v>1</v>
      </c>
      <c r="C67" s="28"/>
      <c r="D67" s="28"/>
      <c r="E67" s="21"/>
      <c r="F67" s="21"/>
      <c r="G67" s="21"/>
      <c r="H67" s="29"/>
      <c r="J67" s="27" t="s">
        <v>96</v>
      </c>
      <c r="K67" s="28">
        <v>1</v>
      </c>
      <c r="L67" s="28"/>
      <c r="M67" s="28"/>
      <c r="N67" s="21"/>
      <c r="O67" s="21"/>
      <c r="P67" s="21"/>
      <c r="Q67" s="29"/>
      <c r="S67" s="27" t="s">
        <v>96</v>
      </c>
      <c r="T67" s="28">
        <v>1</v>
      </c>
      <c r="U67" s="28"/>
      <c r="V67" s="28"/>
      <c r="W67" s="21"/>
      <c r="X67" s="21"/>
      <c r="Y67" s="21"/>
      <c r="Z67" s="29"/>
      <c r="AB67" s="27" t="s">
        <v>96</v>
      </c>
      <c r="AC67" s="28">
        <v>1</v>
      </c>
      <c r="AD67" s="28"/>
      <c r="AE67" s="28"/>
      <c r="AF67" s="21"/>
      <c r="AG67" s="21"/>
      <c r="AH67" s="21"/>
      <c r="AI67" s="29"/>
    </row>
    <row r="68" spans="1:35">
      <c r="A68" s="27" t="s">
        <v>97</v>
      </c>
      <c r="B68" s="28">
        <f>K29-B67</f>
        <v>11</v>
      </c>
      <c r="C68" s="28"/>
      <c r="D68" s="28"/>
      <c r="E68" s="21"/>
      <c r="F68" s="21"/>
      <c r="G68" s="21"/>
      <c r="H68" s="29"/>
      <c r="J68" s="27" t="s">
        <v>97</v>
      </c>
      <c r="K68" s="28">
        <f>K29-K67</f>
        <v>11</v>
      </c>
      <c r="L68" s="28"/>
      <c r="M68" s="28"/>
      <c r="N68" s="21"/>
      <c r="O68" s="21"/>
      <c r="P68" s="21"/>
      <c r="Q68" s="29"/>
      <c r="S68" s="27" t="s">
        <v>97</v>
      </c>
      <c r="T68" s="28">
        <f>K29-T67</f>
        <v>11</v>
      </c>
      <c r="U68" s="28"/>
      <c r="V68" s="28"/>
      <c r="W68" s="21"/>
      <c r="X68" s="21"/>
      <c r="Y68" s="21"/>
      <c r="Z68" s="29"/>
      <c r="AB68" s="27" t="s">
        <v>97</v>
      </c>
      <c r="AC68" s="28">
        <f>K29-AC67</f>
        <v>11</v>
      </c>
      <c r="AD68" s="28"/>
      <c r="AE68" s="28"/>
      <c r="AF68" s="21"/>
      <c r="AG68" s="21"/>
      <c r="AH68" s="21"/>
      <c r="AI68" s="29"/>
    </row>
    <row r="69" spans="1:35">
      <c r="A69" s="64" t="s">
        <v>98</v>
      </c>
      <c r="B69" s="65">
        <v>10</v>
      </c>
      <c r="C69" s="28"/>
      <c r="D69" s="28"/>
      <c r="E69" s="21"/>
      <c r="F69" s="21"/>
      <c r="G69" s="21"/>
      <c r="H69" s="29"/>
      <c r="J69" s="64" t="s">
        <v>98</v>
      </c>
      <c r="K69" s="65">
        <v>20</v>
      </c>
      <c r="L69" s="28"/>
      <c r="M69" s="28"/>
      <c r="N69" s="21"/>
      <c r="O69" s="21"/>
      <c r="P69" s="21"/>
      <c r="Q69" s="29"/>
      <c r="S69" s="64" t="s">
        <v>98</v>
      </c>
      <c r="T69" s="65">
        <v>10</v>
      </c>
      <c r="U69" s="28"/>
      <c r="V69" s="28"/>
      <c r="W69" s="21"/>
      <c r="X69" s="21"/>
      <c r="Y69" s="21"/>
      <c r="Z69" s="29"/>
      <c r="AB69" s="64" t="s">
        <v>98</v>
      </c>
      <c r="AC69" s="65">
        <v>10</v>
      </c>
      <c r="AD69" s="28"/>
      <c r="AE69" s="28"/>
      <c r="AF69" s="21"/>
      <c r="AG69" s="21"/>
      <c r="AH69" s="21"/>
      <c r="AI69" s="29"/>
    </row>
    <row r="70" spans="1:35">
      <c r="A70" s="27" t="s">
        <v>27</v>
      </c>
      <c r="B70" s="28">
        <f>J18</f>
        <v>37404</v>
      </c>
      <c r="C70" s="28"/>
      <c r="D70" s="28"/>
      <c r="E70" s="21"/>
      <c r="F70" s="21"/>
      <c r="G70" s="21"/>
      <c r="H70" s="29"/>
      <c r="J70" s="27" t="s">
        <v>27</v>
      </c>
      <c r="K70" s="28">
        <f>J18</f>
        <v>37404</v>
      </c>
      <c r="L70" s="28"/>
      <c r="M70" s="28"/>
      <c r="N70" s="21"/>
      <c r="O70" s="21"/>
      <c r="P70" s="21"/>
      <c r="Q70" s="29"/>
      <c r="S70" s="27" t="s">
        <v>27</v>
      </c>
      <c r="T70" s="28">
        <f>J18</f>
        <v>37404</v>
      </c>
      <c r="U70" s="28"/>
      <c r="V70" s="28"/>
      <c r="W70" s="21"/>
      <c r="X70" s="21"/>
      <c r="Y70" s="21"/>
      <c r="Z70" s="29"/>
      <c r="AB70" s="27" t="s">
        <v>27</v>
      </c>
      <c r="AC70" s="28">
        <f>J18</f>
        <v>37404</v>
      </c>
      <c r="AD70" s="28"/>
      <c r="AE70" s="28"/>
      <c r="AF70" s="21"/>
      <c r="AG70" s="21"/>
      <c r="AH70" s="21"/>
      <c r="AI70" s="29"/>
    </row>
    <row r="71" spans="1:35">
      <c r="A71" s="66" t="s">
        <v>99</v>
      </c>
      <c r="B71" s="67">
        <v>1.0500000000000001E-2</v>
      </c>
      <c r="C71" s="28"/>
      <c r="D71" s="28"/>
      <c r="E71" s="21"/>
      <c r="F71" s="21"/>
      <c r="G71" s="21"/>
      <c r="H71" s="29"/>
      <c r="J71" s="66" t="s">
        <v>99</v>
      </c>
      <c r="K71" s="67">
        <v>0.06</v>
      </c>
      <c r="L71" s="28"/>
      <c r="M71" s="28"/>
      <c r="N71" s="21"/>
      <c r="O71" s="21"/>
      <c r="P71" s="21"/>
      <c r="Q71" s="29"/>
      <c r="S71" s="66" t="s">
        <v>99</v>
      </c>
      <c r="T71" s="67">
        <f>IF(AND(K29&gt;=12,K29&lt;=24),0.0105,IF(AND(K29&gt;=48),-0.0075,0))</f>
        <v>-7.4999999999999997E-3</v>
      </c>
      <c r="U71" s="28"/>
      <c r="V71" s="28"/>
      <c r="W71" s="21"/>
      <c r="X71" s="21"/>
      <c r="Y71" s="21"/>
      <c r="Z71" s="29"/>
      <c r="AB71" s="66" t="s">
        <v>99</v>
      </c>
      <c r="AC71" s="67">
        <f>IF(AND(K29&gt;=12,K29&lt;=24),0.0105,IF(AND(K29&gt;=48),-0.0075,0))</f>
        <v>-7.4999999999999997E-3</v>
      </c>
      <c r="AD71" s="28"/>
      <c r="AE71" s="28"/>
      <c r="AF71" s="21"/>
      <c r="AG71" s="21"/>
      <c r="AH71" s="21"/>
      <c r="AI71" s="29"/>
    </row>
    <row r="72" spans="1:35">
      <c r="A72" s="68" t="s">
        <v>100</v>
      </c>
      <c r="B72" s="69">
        <v>6.5000000000000002E-2</v>
      </c>
      <c r="C72" s="28"/>
      <c r="D72" s="28"/>
      <c r="E72" s="21"/>
      <c r="F72" s="21"/>
      <c r="G72" s="21"/>
      <c r="H72" s="29"/>
      <c r="J72" s="68" t="s">
        <v>100</v>
      </c>
      <c r="K72" s="69">
        <v>0.08</v>
      </c>
      <c r="L72" s="28"/>
      <c r="M72" s="28"/>
      <c r="N72" s="21"/>
      <c r="O72" s="21"/>
      <c r="P72" s="21"/>
      <c r="Q72" s="29"/>
      <c r="S72" s="68" t="s">
        <v>100</v>
      </c>
      <c r="T72" s="69">
        <v>5.8999999999999997E-2</v>
      </c>
      <c r="U72" s="28"/>
      <c r="V72" s="28"/>
      <c r="W72" s="21"/>
      <c r="X72" s="21"/>
      <c r="Y72" s="21"/>
      <c r="Z72" s="29"/>
      <c r="AB72" s="68" t="s">
        <v>100</v>
      </c>
      <c r="AC72" s="69">
        <v>5.8999999999999997E-2</v>
      </c>
      <c r="AD72" s="28"/>
      <c r="AE72" s="28"/>
      <c r="AF72" s="21"/>
      <c r="AG72" s="21"/>
      <c r="AH72" s="21"/>
      <c r="AI72" s="29"/>
    </row>
    <row r="73" spans="1:35">
      <c r="A73" s="70" t="s">
        <v>101</v>
      </c>
      <c r="B73" s="71">
        <v>0.05</v>
      </c>
      <c r="C73" s="28"/>
      <c r="D73" s="28"/>
      <c r="E73" s="21"/>
      <c r="F73" s="21"/>
      <c r="G73" s="21"/>
      <c r="H73" s="29"/>
      <c r="J73" s="70" t="s">
        <v>101</v>
      </c>
      <c r="K73" s="71">
        <v>0.1</v>
      </c>
      <c r="L73" s="28"/>
      <c r="M73" s="28"/>
      <c r="N73" s="21"/>
      <c r="O73" s="21"/>
      <c r="P73" s="21"/>
      <c r="Q73" s="29"/>
      <c r="S73" s="70" t="s">
        <v>101</v>
      </c>
      <c r="T73" s="71">
        <f>IF(T117=AP117,2.4%,7.2%)</f>
        <v>7.2000000000000008E-2</v>
      </c>
      <c r="U73" s="28"/>
      <c r="V73" s="28"/>
      <c r="W73" s="21"/>
      <c r="X73" s="21"/>
      <c r="Y73" s="21"/>
      <c r="Z73" s="29"/>
      <c r="AB73" s="70" t="s">
        <v>101</v>
      </c>
      <c r="AC73" s="71">
        <f>IF(AC117=AP117,2.4%,7.2%)</f>
        <v>7.2000000000000008E-2</v>
      </c>
      <c r="AD73" s="28"/>
      <c r="AE73" s="28"/>
      <c r="AF73" s="21"/>
      <c r="AG73" s="21"/>
      <c r="AH73" s="21"/>
      <c r="AI73" s="29"/>
    </row>
    <row r="74" spans="1:35">
      <c r="A74" s="49" t="s">
        <v>102</v>
      </c>
      <c r="B74" s="57">
        <f>(B98*B68)-(K47*K29)</f>
        <v>16907.506037590156</v>
      </c>
      <c r="C74" s="28"/>
      <c r="D74" s="28"/>
      <c r="E74" s="21"/>
      <c r="F74" s="21"/>
      <c r="G74" s="21"/>
      <c r="H74" s="29"/>
      <c r="J74" s="49" t="s">
        <v>102</v>
      </c>
      <c r="K74" s="57" t="e">
        <f>(K98*K68)-(K47*K29)</f>
        <v>#VALUE!</v>
      </c>
      <c r="L74" s="28"/>
      <c r="M74" s="28"/>
      <c r="N74" s="21"/>
      <c r="O74" s="21"/>
      <c r="P74" s="21"/>
      <c r="Q74" s="29"/>
      <c r="S74" s="49" t="s">
        <v>102</v>
      </c>
      <c r="T74" s="57" t="e">
        <f>(T98*T68)-(K47*K29)</f>
        <v>#VALUE!</v>
      </c>
      <c r="U74" s="28"/>
      <c r="V74" s="28"/>
      <c r="W74" s="21"/>
      <c r="X74" s="21"/>
      <c r="Y74" s="21"/>
      <c r="Z74" s="29"/>
      <c r="AB74" s="49" t="s">
        <v>102</v>
      </c>
      <c r="AC74" s="57" t="e">
        <f>(AC98*AC68)-(K47*K29)</f>
        <v>#VALUE!</v>
      </c>
      <c r="AD74" s="28"/>
      <c r="AE74" s="28"/>
      <c r="AF74" s="21"/>
      <c r="AG74" s="21"/>
      <c r="AH74" s="21"/>
      <c r="AI74" s="29"/>
    </row>
    <row r="75" spans="1:35">
      <c r="A75" s="66" t="s">
        <v>103</v>
      </c>
      <c r="B75" s="67">
        <v>0.02</v>
      </c>
      <c r="C75" s="28"/>
      <c r="D75" s="28"/>
      <c r="E75" s="21"/>
      <c r="F75" s="21"/>
      <c r="G75" s="21"/>
      <c r="H75" s="29"/>
      <c r="J75" s="66" t="s">
        <v>103</v>
      </c>
      <c r="K75" s="67">
        <v>0.05</v>
      </c>
      <c r="L75" s="28"/>
      <c r="M75" s="28"/>
      <c r="N75" s="21"/>
      <c r="O75" s="21"/>
      <c r="P75" s="21"/>
      <c r="Q75" s="29"/>
      <c r="S75" s="66" t="s">
        <v>103</v>
      </c>
      <c r="T75" s="67">
        <v>5.0000000000000001E-3</v>
      </c>
      <c r="U75" s="28"/>
      <c r="V75" s="28"/>
      <c r="W75" s="21"/>
      <c r="X75" s="21"/>
      <c r="Y75" s="21"/>
      <c r="Z75" s="29"/>
      <c r="AB75" s="66" t="s">
        <v>103</v>
      </c>
      <c r="AC75" s="67">
        <v>5.0000000000000001E-3</v>
      </c>
      <c r="AD75" s="28"/>
      <c r="AE75" s="28"/>
      <c r="AF75" s="21"/>
      <c r="AG75" s="21"/>
      <c r="AH75" s="21"/>
      <c r="AI75" s="29"/>
    </row>
    <row r="76" spans="1:35">
      <c r="A76" s="27"/>
      <c r="B76" s="72">
        <f>B75</f>
        <v>0.02</v>
      </c>
      <c r="C76" s="28"/>
      <c r="D76" s="28"/>
      <c r="E76" s="21"/>
      <c r="F76" s="21"/>
      <c r="G76" s="21"/>
      <c r="H76" s="29"/>
      <c r="J76" s="27" t="s">
        <v>104</v>
      </c>
      <c r="K76" s="72">
        <f>K75+(K75*0.25*(K29/12-1))</f>
        <v>0.05</v>
      </c>
      <c r="L76" s="28"/>
      <c r="M76" s="28"/>
      <c r="N76" s="21"/>
      <c r="O76" s="21"/>
      <c r="P76" s="21"/>
      <c r="Q76" s="29"/>
      <c r="S76" s="27" t="s">
        <v>104</v>
      </c>
      <c r="T76" s="72">
        <f>T75+(T75*0.5*(K29/12-1))</f>
        <v>5.0000000000000001E-3</v>
      </c>
      <c r="U76" s="28"/>
      <c r="V76" s="28"/>
      <c r="W76" s="21"/>
      <c r="X76" s="21"/>
      <c r="Y76" s="21"/>
      <c r="Z76" s="29"/>
      <c r="AB76" s="27" t="s">
        <v>104</v>
      </c>
      <c r="AC76" s="72">
        <f>AC75+(AC75*0.5*(K29/12-1))</f>
        <v>5.0000000000000001E-3</v>
      </c>
      <c r="AD76" s="28"/>
      <c r="AE76" s="28"/>
      <c r="AF76" s="21"/>
      <c r="AG76" s="21"/>
      <c r="AH76" s="21"/>
      <c r="AI76" s="29"/>
    </row>
    <row r="77" spans="1:35">
      <c r="A77" s="49" t="s">
        <v>105</v>
      </c>
      <c r="B77" s="57">
        <f>(G167*B76)</f>
        <v>518.00007999999991</v>
      </c>
      <c r="C77" s="28"/>
      <c r="D77" s="28"/>
      <c r="E77" s="21"/>
      <c r="F77" s="21"/>
      <c r="G77" s="21"/>
      <c r="H77" s="29"/>
      <c r="J77" s="49" t="s">
        <v>105</v>
      </c>
      <c r="K77" s="57">
        <f>K70*K76</f>
        <v>1870.2</v>
      </c>
      <c r="L77" s="28"/>
      <c r="M77" s="28"/>
      <c r="N77" s="21"/>
      <c r="O77" s="21"/>
      <c r="P77" s="21"/>
      <c r="Q77" s="29"/>
      <c r="S77" s="49" t="s">
        <v>105</v>
      </c>
      <c r="T77" s="57">
        <f>T70*T76</f>
        <v>187.02</v>
      </c>
      <c r="U77" s="28"/>
      <c r="V77" s="28"/>
      <c r="W77" s="21"/>
      <c r="X77" s="21"/>
      <c r="Y77" s="21"/>
      <c r="Z77" s="29"/>
      <c r="AB77" s="49" t="s">
        <v>105</v>
      </c>
      <c r="AC77" s="57" t="e">
        <f>AH167*AC76</f>
        <v>#VALUE!</v>
      </c>
      <c r="AD77" s="28"/>
      <c r="AE77" s="28"/>
      <c r="AF77" s="21"/>
      <c r="AG77" s="21"/>
      <c r="AH77" s="21"/>
      <c r="AI77" s="29"/>
    </row>
    <row r="78" spans="1:35">
      <c r="A78" s="66" t="s">
        <v>106</v>
      </c>
      <c r="B78" s="67">
        <v>0</v>
      </c>
      <c r="C78" s="28"/>
      <c r="D78" s="28"/>
      <c r="E78" s="21"/>
      <c r="F78" s="21"/>
      <c r="G78" s="21"/>
      <c r="H78" s="29"/>
      <c r="J78" s="66" t="s">
        <v>106</v>
      </c>
      <c r="K78" s="67">
        <v>0</v>
      </c>
      <c r="L78" s="28"/>
      <c r="M78" s="28"/>
      <c r="N78" s="21"/>
      <c r="O78" s="21"/>
      <c r="P78" s="21"/>
      <c r="Q78" s="29"/>
      <c r="S78" s="66" t="s">
        <v>106</v>
      </c>
      <c r="T78" s="67">
        <v>0</v>
      </c>
      <c r="U78" s="28"/>
      <c r="V78" s="28"/>
      <c r="W78" s="21"/>
      <c r="X78" s="21"/>
      <c r="Y78" s="21"/>
      <c r="Z78" s="29"/>
      <c r="AB78" s="66" t="s">
        <v>106</v>
      </c>
      <c r="AC78" s="67">
        <v>0</v>
      </c>
      <c r="AD78" s="28"/>
      <c r="AE78" s="28"/>
      <c r="AF78" s="21"/>
      <c r="AG78" s="21"/>
      <c r="AH78" s="21"/>
      <c r="AI78" s="29"/>
    </row>
    <row r="79" spans="1:35">
      <c r="A79" s="68" t="s">
        <v>107</v>
      </c>
      <c r="B79" s="69">
        <v>0</v>
      </c>
      <c r="C79" s="28"/>
      <c r="D79" s="28"/>
      <c r="E79" s="21"/>
      <c r="F79" s="21"/>
      <c r="G79" s="21"/>
      <c r="H79" s="29"/>
      <c r="J79" s="68" t="s">
        <v>107</v>
      </c>
      <c r="K79" s="69">
        <v>0</v>
      </c>
      <c r="L79" s="28"/>
      <c r="M79" s="28"/>
      <c r="N79" s="21"/>
      <c r="O79" s="21"/>
      <c r="P79" s="21"/>
      <c r="Q79" s="29"/>
      <c r="S79" s="68" t="s">
        <v>107</v>
      </c>
      <c r="T79" s="69">
        <v>0</v>
      </c>
      <c r="U79" s="28"/>
      <c r="V79" s="28"/>
      <c r="W79" s="21"/>
      <c r="X79" s="21"/>
      <c r="Y79" s="21"/>
      <c r="Z79" s="29"/>
      <c r="AB79" s="68" t="s">
        <v>107</v>
      </c>
      <c r="AC79" s="69">
        <v>0</v>
      </c>
      <c r="AD79" s="28"/>
      <c r="AE79" s="28"/>
      <c r="AF79" s="21"/>
      <c r="AG79" s="21"/>
      <c r="AH79" s="21"/>
      <c r="AI79" s="29"/>
    </row>
    <row r="80" spans="1:35">
      <c r="A80" s="49" t="s">
        <v>108</v>
      </c>
      <c r="B80" s="73">
        <f>B78*(1+B79)</f>
        <v>0</v>
      </c>
      <c r="C80" s="28"/>
      <c r="D80" s="28"/>
      <c r="E80" s="21"/>
      <c r="F80" s="21"/>
      <c r="G80" s="21"/>
      <c r="H80" s="29"/>
      <c r="J80" s="49" t="s">
        <v>108</v>
      </c>
      <c r="K80" s="73">
        <f>K78*(1+K79)</f>
        <v>0</v>
      </c>
      <c r="L80" s="28"/>
      <c r="M80" s="28"/>
      <c r="N80" s="21"/>
      <c r="O80" s="21"/>
      <c r="P80" s="21"/>
      <c r="Q80" s="29"/>
      <c r="S80" s="49" t="s">
        <v>108</v>
      </c>
      <c r="T80" s="73">
        <f>T78*(1+T79)</f>
        <v>0</v>
      </c>
      <c r="U80" s="28"/>
      <c r="V80" s="28"/>
      <c r="W80" s="21"/>
      <c r="X80" s="21"/>
      <c r="Y80" s="21"/>
      <c r="Z80" s="29"/>
      <c r="AB80" s="49" t="s">
        <v>108</v>
      </c>
      <c r="AC80" s="73">
        <f>AC78*(1+AC79)</f>
        <v>0</v>
      </c>
      <c r="AD80" s="28"/>
      <c r="AE80" s="28"/>
      <c r="AF80" s="21"/>
      <c r="AG80" s="21"/>
      <c r="AH80" s="21"/>
      <c r="AI80" s="29"/>
    </row>
    <row r="81" spans="1:35">
      <c r="A81" s="66" t="s">
        <v>109</v>
      </c>
      <c r="B81" s="74">
        <v>0</v>
      </c>
      <c r="C81" s="28"/>
      <c r="D81" s="28"/>
      <c r="E81" s="21"/>
      <c r="F81" s="21"/>
      <c r="G81" s="21"/>
      <c r="H81" s="29"/>
      <c r="J81" s="66" t="s">
        <v>109</v>
      </c>
      <c r="K81" s="74">
        <v>0</v>
      </c>
      <c r="L81" s="28"/>
      <c r="M81" s="28"/>
      <c r="N81" s="21"/>
      <c r="O81" s="21"/>
      <c r="P81" s="21"/>
      <c r="Q81" s="29"/>
      <c r="S81" s="66" t="s">
        <v>109</v>
      </c>
      <c r="T81" s="74">
        <v>0</v>
      </c>
      <c r="U81" s="28"/>
      <c r="V81" s="28"/>
      <c r="W81" s="21"/>
      <c r="X81" s="21"/>
      <c r="Y81" s="21"/>
      <c r="Z81" s="29"/>
      <c r="AB81" s="66" t="s">
        <v>109</v>
      </c>
      <c r="AC81" s="74">
        <v>0</v>
      </c>
      <c r="AD81" s="28"/>
      <c r="AE81" s="28"/>
      <c r="AF81" s="21"/>
      <c r="AG81" s="21"/>
      <c r="AH81" s="21"/>
      <c r="AI81" s="29"/>
    </row>
    <row r="82" spans="1:35">
      <c r="A82" s="68" t="s">
        <v>110</v>
      </c>
      <c r="B82" s="65">
        <v>0</v>
      </c>
      <c r="C82" s="28"/>
      <c r="D82" s="28"/>
      <c r="E82" s="21"/>
      <c r="F82" s="21"/>
      <c r="G82" s="21"/>
      <c r="H82" s="29"/>
      <c r="J82" s="68" t="s">
        <v>110</v>
      </c>
      <c r="K82" s="65">
        <v>0</v>
      </c>
      <c r="L82" s="28"/>
      <c r="M82" s="28"/>
      <c r="N82" s="21"/>
      <c r="O82" s="21"/>
      <c r="P82" s="21"/>
      <c r="Q82" s="29"/>
      <c r="S82" s="68" t="s">
        <v>110</v>
      </c>
      <c r="T82" s="65">
        <v>0</v>
      </c>
      <c r="U82" s="28"/>
      <c r="V82" s="28"/>
      <c r="W82" s="21"/>
      <c r="X82" s="21"/>
      <c r="Y82" s="21"/>
      <c r="Z82" s="29"/>
      <c r="AB82" s="68" t="s">
        <v>110</v>
      </c>
      <c r="AC82" s="65">
        <v>0</v>
      </c>
      <c r="AD82" s="28"/>
      <c r="AE82" s="28"/>
      <c r="AF82" s="21"/>
      <c r="AG82" s="21"/>
      <c r="AH82" s="21"/>
      <c r="AI82" s="29"/>
    </row>
    <row r="83" spans="1:35">
      <c r="A83" s="49" t="s">
        <v>111</v>
      </c>
      <c r="B83" s="57">
        <f>B82*K29</f>
        <v>0</v>
      </c>
      <c r="C83" s="28"/>
      <c r="D83" s="28">
        <f>B83+B81</f>
        <v>0</v>
      </c>
      <c r="E83" s="21"/>
      <c r="F83" s="21"/>
      <c r="G83" s="21"/>
      <c r="H83" s="29"/>
      <c r="J83" s="49" t="s">
        <v>111</v>
      </c>
      <c r="K83" s="57">
        <f>K82*K29</f>
        <v>0</v>
      </c>
      <c r="L83" s="28"/>
      <c r="M83" s="28">
        <f>K83+K81</f>
        <v>0</v>
      </c>
      <c r="N83" s="21"/>
      <c r="O83" s="21"/>
      <c r="P83" s="21"/>
      <c r="Q83" s="29"/>
      <c r="S83" s="49" t="s">
        <v>111</v>
      </c>
      <c r="T83" s="57">
        <f>T82*K29</f>
        <v>0</v>
      </c>
      <c r="U83" s="28"/>
      <c r="V83" s="28">
        <f>T83+T81</f>
        <v>0</v>
      </c>
      <c r="W83" s="21"/>
      <c r="X83" s="21"/>
      <c r="Y83" s="21"/>
      <c r="Z83" s="29"/>
      <c r="AB83" s="49" t="s">
        <v>111</v>
      </c>
      <c r="AC83" s="57">
        <f>AC82*K29</f>
        <v>0</v>
      </c>
      <c r="AD83" s="28"/>
      <c r="AE83" s="28">
        <f>AC83+AC81</f>
        <v>0</v>
      </c>
      <c r="AF83" s="21"/>
      <c r="AG83" s="21"/>
      <c r="AH83" s="21"/>
      <c r="AI83" s="29"/>
    </row>
    <row r="84" spans="1:35">
      <c r="A84" s="68" t="s">
        <v>112</v>
      </c>
      <c r="B84" s="65">
        <v>0</v>
      </c>
      <c r="C84" s="28"/>
      <c r="D84" s="28">
        <f>B84</f>
        <v>0</v>
      </c>
      <c r="E84" s="21"/>
      <c r="F84" s="21"/>
      <c r="G84" s="21"/>
      <c r="H84" s="29"/>
      <c r="J84" s="68" t="s">
        <v>112</v>
      </c>
      <c r="K84" s="65">
        <v>0</v>
      </c>
      <c r="L84" s="28"/>
      <c r="M84" s="28">
        <f>K84</f>
        <v>0</v>
      </c>
      <c r="N84" s="21"/>
      <c r="O84" s="21"/>
      <c r="P84" s="21"/>
      <c r="Q84" s="29"/>
      <c r="S84" s="68" t="s">
        <v>112</v>
      </c>
      <c r="T84" s="65">
        <v>0</v>
      </c>
      <c r="U84" s="28"/>
      <c r="V84" s="28">
        <f>T84</f>
        <v>0</v>
      </c>
      <c r="W84" s="21"/>
      <c r="X84" s="21"/>
      <c r="Y84" s="21"/>
      <c r="Z84" s="29"/>
      <c r="AB84" s="68" t="s">
        <v>112</v>
      </c>
      <c r="AC84" s="65">
        <v>0</v>
      </c>
      <c r="AD84" s="28"/>
      <c r="AE84" s="28">
        <f>AC84</f>
        <v>0</v>
      </c>
      <c r="AF84" s="21"/>
      <c r="AG84" s="21"/>
      <c r="AH84" s="21"/>
      <c r="AI84" s="29"/>
    </row>
    <row r="85" spans="1:35">
      <c r="A85" s="70" t="s">
        <v>113</v>
      </c>
      <c r="B85" s="75">
        <v>0</v>
      </c>
      <c r="C85" s="28"/>
      <c r="D85" s="28">
        <f>B85</f>
        <v>0</v>
      </c>
      <c r="E85" s="21"/>
      <c r="F85" s="28"/>
      <c r="G85" s="21"/>
      <c r="H85" s="29"/>
      <c r="J85" s="70" t="s">
        <v>113</v>
      </c>
      <c r="K85" s="75">
        <v>0</v>
      </c>
      <c r="L85" s="28"/>
      <c r="M85" s="28">
        <f>K85</f>
        <v>0</v>
      </c>
      <c r="N85" s="21"/>
      <c r="O85" s="21"/>
      <c r="P85" s="21"/>
      <c r="Q85" s="29"/>
      <c r="S85" s="70" t="s">
        <v>113</v>
      </c>
      <c r="T85" s="75">
        <v>0</v>
      </c>
      <c r="U85" s="28"/>
      <c r="V85" s="28">
        <f>T85</f>
        <v>0</v>
      </c>
      <c r="W85" s="21"/>
      <c r="X85" s="21"/>
      <c r="Y85" s="21"/>
      <c r="Z85" s="29"/>
      <c r="AB85" s="70" t="s">
        <v>113</v>
      </c>
      <c r="AC85" s="75">
        <v>0</v>
      </c>
      <c r="AD85" s="28"/>
      <c r="AE85" s="28">
        <f>AC85</f>
        <v>0</v>
      </c>
      <c r="AF85" s="21"/>
      <c r="AG85" s="21"/>
      <c r="AH85" s="21"/>
      <c r="AI85" s="29"/>
    </row>
    <row r="86" spans="1:35">
      <c r="A86" s="76" t="s">
        <v>114</v>
      </c>
      <c r="B86" s="77">
        <f>SUM(D74:D85)</f>
        <v>0</v>
      </c>
      <c r="C86" s="28"/>
      <c r="D86" s="28"/>
      <c r="E86" s="21"/>
      <c r="F86" s="28"/>
      <c r="G86" s="28"/>
      <c r="H86" s="29"/>
      <c r="J86" s="76" t="s">
        <v>114</v>
      </c>
      <c r="K86" s="77">
        <f>SUM(M74:M85)</f>
        <v>0</v>
      </c>
      <c r="L86" s="28"/>
      <c r="M86" s="28"/>
      <c r="N86" s="21"/>
      <c r="O86" s="21"/>
      <c r="P86" s="21"/>
      <c r="Q86" s="29"/>
      <c r="S86" s="76" t="s">
        <v>114</v>
      </c>
      <c r="T86" s="77">
        <f>SUM(V74:V85)</f>
        <v>0</v>
      </c>
      <c r="U86" s="28"/>
      <c r="V86" s="28"/>
      <c r="W86" s="21"/>
      <c r="X86" s="21"/>
      <c r="Y86" s="21"/>
      <c r="Z86" s="29"/>
      <c r="AB86" s="76" t="s">
        <v>114</v>
      </c>
      <c r="AC86" s="77">
        <f>SUM(AE74:AE85)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115</v>
      </c>
      <c r="B87" s="29">
        <f>B86/K29</f>
        <v>0</v>
      </c>
      <c r="C87" s="28"/>
      <c r="D87" s="28"/>
      <c r="E87" s="21"/>
      <c r="F87" s="21"/>
      <c r="G87" s="21"/>
      <c r="H87" s="29"/>
      <c r="J87" s="27" t="s">
        <v>115</v>
      </c>
      <c r="K87" s="29">
        <f>K86/K29</f>
        <v>0</v>
      </c>
      <c r="L87" s="28"/>
      <c r="M87" s="28"/>
      <c r="N87" s="21"/>
      <c r="O87" s="21"/>
      <c r="P87" s="21"/>
      <c r="Q87" s="29"/>
      <c r="S87" s="27" t="s">
        <v>115</v>
      </c>
      <c r="T87" s="29">
        <f>T86/K29</f>
        <v>0</v>
      </c>
      <c r="U87" s="28"/>
      <c r="V87" s="28"/>
      <c r="W87" s="21"/>
      <c r="X87" s="21"/>
      <c r="Y87" s="21"/>
      <c r="Z87" s="29"/>
      <c r="AB87" s="27" t="s">
        <v>115</v>
      </c>
      <c r="AC87" s="29">
        <f>AC86/K29</f>
        <v>0</v>
      </c>
      <c r="AD87" s="28"/>
      <c r="AE87" s="28"/>
      <c r="AF87" s="21"/>
      <c r="AG87" s="21"/>
      <c r="AH87" s="21"/>
      <c r="AI87" s="29"/>
    </row>
    <row r="88" spans="1:35">
      <c r="A88" s="78" t="s">
        <v>116</v>
      </c>
      <c r="B88" s="52">
        <f>K49</f>
        <v>277.66666666666669</v>
      </c>
      <c r="C88" s="28"/>
      <c r="D88" s="28"/>
      <c r="E88" s="21"/>
      <c r="F88" s="21"/>
      <c r="G88" s="21"/>
      <c r="H88" s="29"/>
      <c r="J88" s="78" t="s">
        <v>116</v>
      </c>
      <c r="K88" s="52">
        <f>K47</f>
        <v>1</v>
      </c>
      <c r="L88" s="28"/>
      <c r="M88" s="28"/>
      <c r="N88" s="21"/>
      <c r="O88" s="21"/>
      <c r="P88" s="21"/>
      <c r="Q88" s="29"/>
      <c r="S88" s="78" t="s">
        <v>116</v>
      </c>
      <c r="T88" s="52">
        <f>B60</f>
        <v>277.66666666666669</v>
      </c>
      <c r="U88" s="28"/>
      <c r="V88" s="28"/>
      <c r="W88" s="21"/>
      <c r="X88" s="21"/>
      <c r="Y88" s="21"/>
      <c r="Z88" s="29"/>
      <c r="AB88" s="78" t="s">
        <v>116</v>
      </c>
      <c r="AC88" s="52">
        <f>B60</f>
        <v>277.66666666666669</v>
      </c>
      <c r="AD88" s="28"/>
      <c r="AE88" s="28"/>
      <c r="AF88" s="21"/>
      <c r="AG88" s="21"/>
      <c r="AH88" s="21"/>
      <c r="AI88" s="29"/>
    </row>
    <row r="89" spans="1:35">
      <c r="A89" s="27"/>
      <c r="B89" s="28"/>
      <c r="C89" s="28"/>
      <c r="D89" s="28"/>
      <c r="E89" s="21"/>
      <c r="F89" s="21"/>
      <c r="G89" s="21"/>
      <c r="H89" s="29"/>
      <c r="J89" s="27"/>
      <c r="K89" s="28"/>
      <c r="L89" s="28"/>
      <c r="M89" s="28"/>
      <c r="N89" s="21"/>
      <c r="O89" s="21"/>
      <c r="P89" s="21"/>
      <c r="Q89" s="29"/>
      <c r="S89" s="27"/>
      <c r="T89" s="28"/>
      <c r="U89" s="28"/>
      <c r="V89" s="28"/>
      <c r="W89" s="21"/>
      <c r="X89" s="21"/>
      <c r="Y89" s="21"/>
      <c r="Z89" s="29"/>
      <c r="AB89" s="27"/>
      <c r="AC89" s="28"/>
      <c r="AD89" s="28"/>
      <c r="AE89" s="28"/>
      <c r="AF89" s="21"/>
      <c r="AG89" s="21"/>
      <c r="AH89" s="21"/>
      <c r="AI89" s="29"/>
    </row>
    <row r="90" spans="1:35">
      <c r="A90" s="22" t="s">
        <v>117</v>
      </c>
      <c r="B90" s="24">
        <f>F37</f>
        <v>21200</v>
      </c>
      <c r="C90" s="28"/>
      <c r="D90" s="28"/>
      <c r="E90" s="21"/>
      <c r="F90" s="22" t="s">
        <v>117</v>
      </c>
      <c r="G90" s="24">
        <f>F37</f>
        <v>21200</v>
      </c>
      <c r="H90" s="29"/>
      <c r="J90" s="22" t="s">
        <v>117</v>
      </c>
      <c r="K90" s="24" t="e">
        <f>P167</f>
        <v>#VALUE!</v>
      </c>
      <c r="L90" s="28"/>
      <c r="M90" s="28"/>
      <c r="N90" s="21"/>
      <c r="O90" s="21"/>
      <c r="P90" s="21"/>
      <c r="Q90" s="29"/>
      <c r="S90" s="22" t="s">
        <v>117</v>
      </c>
      <c r="T90" s="24" t="e">
        <f>Y167</f>
        <v>#VALUE!</v>
      </c>
      <c r="U90" s="28"/>
      <c r="V90" s="28"/>
      <c r="W90" s="21"/>
      <c r="X90" s="21"/>
      <c r="Y90" s="21"/>
      <c r="Z90" s="29"/>
      <c r="AB90" s="22" t="s">
        <v>117</v>
      </c>
      <c r="AC90" s="24" t="e">
        <f>AH167</f>
        <v>#VALUE!</v>
      </c>
      <c r="AD90" s="28"/>
      <c r="AE90" s="28"/>
      <c r="AF90" s="21"/>
      <c r="AG90" s="21"/>
      <c r="AH90" s="21"/>
      <c r="AI90" s="29"/>
    </row>
    <row r="91" spans="1:35">
      <c r="A91" s="27" t="s">
        <v>118</v>
      </c>
      <c r="B91" s="29">
        <f>IF(A111="YES",A43,0)</f>
        <v>6000</v>
      </c>
      <c r="C91" s="28"/>
      <c r="D91" s="28"/>
      <c r="E91" s="21"/>
      <c r="F91" s="27" t="s">
        <v>118</v>
      </c>
      <c r="G91" s="29">
        <f>IF(A111="YES",A43,0)</f>
        <v>6000</v>
      </c>
      <c r="H91" s="29"/>
      <c r="J91" s="27" t="s">
        <v>118</v>
      </c>
      <c r="K91" s="29">
        <f>IF(J120="YES",A40,0)</f>
        <v>0</v>
      </c>
      <c r="L91" s="28"/>
      <c r="M91" s="28"/>
      <c r="N91" s="21"/>
      <c r="O91" s="21"/>
      <c r="P91" s="21"/>
      <c r="Q91" s="29"/>
      <c r="S91" s="27" t="s">
        <v>118</v>
      </c>
      <c r="T91" s="29" t="str">
        <f>A40</f>
        <v>12</v>
      </c>
      <c r="U91" s="28"/>
      <c r="V91" s="28"/>
      <c r="W91" s="21"/>
      <c r="X91" s="21"/>
      <c r="Y91" s="21"/>
      <c r="Z91" s="29"/>
      <c r="AB91" s="27" t="s">
        <v>118</v>
      </c>
      <c r="AC91" s="29" t="str">
        <f>A40</f>
        <v>12</v>
      </c>
      <c r="AD91" s="28"/>
      <c r="AE91" s="28"/>
      <c r="AF91" s="21"/>
      <c r="AG91" s="21"/>
      <c r="AH91" s="21"/>
      <c r="AI91" s="29"/>
    </row>
    <row r="92" spans="1:35">
      <c r="A92" s="27" t="s">
        <v>119</v>
      </c>
      <c r="B92" s="72">
        <f>B71+B72+B73</f>
        <v>0.1255</v>
      </c>
      <c r="C92" s="28"/>
      <c r="D92" s="28"/>
      <c r="E92" s="21"/>
      <c r="F92" s="27" t="s">
        <v>119</v>
      </c>
      <c r="G92" s="79">
        <f>B72</f>
        <v>6.5000000000000002E-2</v>
      </c>
      <c r="H92" s="29"/>
      <c r="J92" s="27" t="s">
        <v>119</v>
      </c>
      <c r="K92" s="72">
        <f>K71+K72+K73</f>
        <v>0.24000000000000002</v>
      </c>
      <c r="L92" s="28"/>
      <c r="M92" s="28"/>
      <c r="N92" s="21"/>
      <c r="O92" s="21"/>
      <c r="P92" s="21"/>
      <c r="Q92" s="29"/>
      <c r="S92" s="27" t="s">
        <v>119</v>
      </c>
      <c r="T92" s="72">
        <f>T71+T72+T73</f>
        <v>0.1235</v>
      </c>
      <c r="U92" s="28"/>
      <c r="V92" s="28"/>
      <c r="W92" s="21"/>
      <c r="X92" s="21"/>
      <c r="Y92" s="21"/>
      <c r="Z92" s="29"/>
      <c r="AB92" s="27" t="s">
        <v>119</v>
      </c>
      <c r="AC92" s="72">
        <f>AC71+AC72+AC73</f>
        <v>0.1235</v>
      </c>
      <c r="AD92" s="28"/>
      <c r="AE92" s="28"/>
      <c r="AF92" s="21"/>
      <c r="AG92" s="21"/>
      <c r="AH92" s="21"/>
      <c r="AI92" s="29"/>
    </row>
    <row r="93" spans="1:35">
      <c r="A93" s="27" t="s">
        <v>120</v>
      </c>
      <c r="B93" s="72">
        <f>B92/12</f>
        <v>1.0458333333333333E-2</v>
      </c>
      <c r="C93" s="28"/>
      <c r="D93" s="28"/>
      <c r="E93" s="21"/>
      <c r="F93" s="27" t="s">
        <v>120</v>
      </c>
      <c r="G93" s="72">
        <f>G92/12</f>
        <v>5.4166666666666669E-3</v>
      </c>
      <c r="H93" s="29"/>
      <c r="J93" s="27" t="s">
        <v>120</v>
      </c>
      <c r="K93" s="72">
        <f>K92/12</f>
        <v>0.02</v>
      </c>
      <c r="L93" s="28"/>
      <c r="M93" s="28"/>
      <c r="N93" s="21"/>
      <c r="O93" s="21"/>
      <c r="P93" s="21"/>
      <c r="Q93" s="29"/>
      <c r="S93" s="27" t="s">
        <v>120</v>
      </c>
      <c r="T93" s="72">
        <f>T92/12</f>
        <v>1.0291666666666666E-2</v>
      </c>
      <c r="U93" s="28"/>
      <c r="V93" s="28"/>
      <c r="W93" s="21"/>
      <c r="X93" s="21"/>
      <c r="Y93" s="21"/>
      <c r="Z93" s="29"/>
      <c r="AB93" s="27" t="s">
        <v>120</v>
      </c>
      <c r="AC93" s="72">
        <f>AC92/12</f>
        <v>1.0291666666666666E-2</v>
      </c>
      <c r="AD93" s="28"/>
      <c r="AE93" s="28"/>
      <c r="AF93" s="21"/>
      <c r="AG93" s="21"/>
      <c r="AH93" s="21"/>
      <c r="AI93" s="29"/>
    </row>
    <row r="94" spans="1:35">
      <c r="A94" s="27" t="s">
        <v>121</v>
      </c>
      <c r="B94" s="29">
        <f>IF(B91=0,(B68+B67),(B68))</f>
        <v>11</v>
      </c>
      <c r="C94" s="28"/>
      <c r="D94" s="28"/>
      <c r="E94" s="21"/>
      <c r="F94" s="27" t="s">
        <v>121</v>
      </c>
      <c r="G94" s="29">
        <f>IF(G91=0,(B68+B67),(B68))</f>
        <v>11</v>
      </c>
      <c r="H94" s="29"/>
      <c r="J94" s="27" t="s">
        <v>121</v>
      </c>
      <c r="K94" s="29">
        <f>IF(K91=0,(K68+K67),(K68))</f>
        <v>12</v>
      </c>
      <c r="L94" s="28"/>
      <c r="M94" s="28"/>
      <c r="N94" s="21"/>
      <c r="O94" s="21"/>
      <c r="P94" s="21"/>
      <c r="Q94" s="29"/>
      <c r="S94" s="27" t="s">
        <v>121</v>
      </c>
      <c r="T94" s="29">
        <f>T68</f>
        <v>11</v>
      </c>
      <c r="U94" s="28"/>
      <c r="V94" s="28"/>
      <c r="W94" s="21"/>
      <c r="X94" s="21"/>
      <c r="Y94" s="21"/>
      <c r="Z94" s="29"/>
      <c r="AB94" s="27" t="s">
        <v>121</v>
      </c>
      <c r="AC94" s="29">
        <f>AC68</f>
        <v>11</v>
      </c>
      <c r="AD94" s="28"/>
      <c r="AE94" s="28"/>
      <c r="AF94" s="21"/>
      <c r="AG94" s="21"/>
      <c r="AH94" s="21"/>
      <c r="AI94" s="29"/>
    </row>
    <row r="95" spans="1:35">
      <c r="A95" s="27" t="s">
        <v>122</v>
      </c>
      <c r="B95" s="29">
        <f>(B91/((1+B93)^(B94+1)))</f>
        <v>5295.7848332330141</v>
      </c>
      <c r="C95" s="28"/>
      <c r="D95" s="28"/>
      <c r="E95" s="21"/>
      <c r="F95" s="27" t="s">
        <v>122</v>
      </c>
      <c r="G95" s="29">
        <f>(G91/((1+G93)^(G94+1)))</f>
        <v>5623.3910845341579</v>
      </c>
      <c r="H95" s="29"/>
      <c r="J95" s="27" t="s">
        <v>122</v>
      </c>
      <c r="K95" s="29">
        <f>(K91/((1+K93)^(K94+1)))</f>
        <v>0</v>
      </c>
      <c r="L95" s="28"/>
      <c r="M95" s="28"/>
      <c r="N95" s="21"/>
      <c r="O95" s="21"/>
      <c r="P95" s="21"/>
      <c r="Q95" s="29"/>
      <c r="S95" s="27" t="s">
        <v>122</v>
      </c>
      <c r="T95" s="29">
        <f>(T91/((1+T93)^(T94+1)))</f>
        <v>10.612556051563121</v>
      </c>
      <c r="U95" s="28"/>
      <c r="V95" s="28"/>
      <c r="W95" s="21"/>
      <c r="X95" s="21"/>
      <c r="Y95" s="21"/>
      <c r="Z95" s="29"/>
      <c r="AB95" s="27" t="s">
        <v>122</v>
      </c>
      <c r="AC95" s="29">
        <f>(AC91/((1+AC93)^(AC94+1)))</f>
        <v>10.612556051563121</v>
      </c>
      <c r="AD95" s="28"/>
      <c r="AE95" s="28"/>
      <c r="AF95" s="21"/>
      <c r="AG95" s="21"/>
      <c r="AH95" s="21"/>
      <c r="AI95" s="29"/>
    </row>
    <row r="96" spans="1:35">
      <c r="A96" s="27" t="s">
        <v>123</v>
      </c>
      <c r="B96" s="29">
        <f>((1-(1/((1+B93)^B94)))/B93)</f>
        <v>10.339921652899179</v>
      </c>
      <c r="C96" s="28"/>
      <c r="D96" s="28"/>
      <c r="E96" s="21"/>
      <c r="F96" s="27" t="s">
        <v>123</v>
      </c>
      <c r="G96" s="29">
        <f>((1-(1/((1+G93)^G94)))/G93)</f>
        <v>10.65073478229589</v>
      </c>
      <c r="H96" s="29"/>
      <c r="J96" s="27" t="s">
        <v>123</v>
      </c>
      <c r="K96" s="29">
        <f>((1-(1/((1+K93)^K94)))/K93)</f>
        <v>10.575341220917178</v>
      </c>
      <c r="L96" s="28"/>
      <c r="M96" s="28"/>
      <c r="N96" s="21"/>
      <c r="O96" s="21"/>
      <c r="P96" s="21"/>
      <c r="Q96" s="29"/>
      <c r="S96" s="27" t="s">
        <v>123</v>
      </c>
      <c r="T96" s="29">
        <f>((1-(1/((1+T93)^T94)))/T93)</f>
        <v>10.349984283990906</v>
      </c>
      <c r="U96" s="28"/>
      <c r="V96" s="28"/>
      <c r="W96" s="21"/>
      <c r="X96" s="21"/>
      <c r="Y96" s="21"/>
      <c r="Z96" s="29"/>
      <c r="AB96" s="27" t="s">
        <v>123</v>
      </c>
      <c r="AC96" s="29">
        <f>((1-(1/((1+AC93)^AC94)))/AC93)</f>
        <v>10.349984283990906</v>
      </c>
      <c r="AD96" s="28"/>
      <c r="AE96" s="28"/>
      <c r="AF96" s="21"/>
      <c r="AG96" s="21"/>
      <c r="AH96" s="21"/>
      <c r="AI96" s="29"/>
    </row>
    <row r="97" spans="1:35">
      <c r="A97" s="27" t="s">
        <v>124</v>
      </c>
      <c r="B97" s="29">
        <f>B90-B95</f>
        <v>15904.215166766986</v>
      </c>
      <c r="C97" s="28"/>
      <c r="D97" s="28"/>
      <c r="E97" s="21"/>
      <c r="F97" s="27" t="s">
        <v>124</v>
      </c>
      <c r="G97" s="29">
        <f>G90-G95</f>
        <v>15576.608915465842</v>
      </c>
      <c r="H97" s="29"/>
      <c r="J97" s="27" t="s">
        <v>124</v>
      </c>
      <c r="K97" s="29" t="e">
        <f>K90-K95</f>
        <v>#VALUE!</v>
      </c>
      <c r="L97" s="28"/>
      <c r="M97" s="28"/>
      <c r="N97" s="21"/>
      <c r="O97" s="21"/>
      <c r="P97" s="21"/>
      <c r="Q97" s="29"/>
      <c r="S97" s="27" t="s">
        <v>124</v>
      </c>
      <c r="T97" s="29" t="e">
        <f>T90-T95</f>
        <v>#VALUE!</v>
      </c>
      <c r="U97" s="28"/>
      <c r="V97" s="28"/>
      <c r="W97" s="21"/>
      <c r="X97" s="21"/>
      <c r="Y97" s="21"/>
      <c r="Z97" s="29"/>
      <c r="AB97" s="27" t="s">
        <v>124</v>
      </c>
      <c r="AC97" s="29" t="e">
        <f>AC90-AC95</f>
        <v>#VALUE!</v>
      </c>
      <c r="AD97" s="28"/>
      <c r="AE97" s="28"/>
      <c r="AF97" s="21"/>
      <c r="AG97" s="21"/>
      <c r="AH97" s="21"/>
      <c r="AI97" s="29"/>
    </row>
    <row r="98" spans="1:35">
      <c r="A98" s="27" t="s">
        <v>125</v>
      </c>
      <c r="B98" s="29">
        <f>(B97/B96)</f>
        <v>1538.136912508196</v>
      </c>
      <c r="C98" s="28"/>
      <c r="D98" s="28"/>
      <c r="E98" s="21"/>
      <c r="F98" s="27" t="s">
        <v>125</v>
      </c>
      <c r="G98" s="29">
        <f>(G97/G96)</f>
        <v>1462.4914838136756</v>
      </c>
      <c r="H98" s="29"/>
      <c r="J98" s="27" t="s">
        <v>125</v>
      </c>
      <c r="K98" s="29" t="e">
        <f>(K97/K96)</f>
        <v>#VALUE!</v>
      </c>
      <c r="L98" s="28"/>
      <c r="M98" s="28"/>
      <c r="N98" s="21"/>
      <c r="O98" s="21"/>
      <c r="P98" s="21"/>
      <c r="Q98" s="29"/>
      <c r="S98" s="27" t="s">
        <v>125</v>
      </c>
      <c r="T98" s="29" t="e">
        <f>(T97/T96)</f>
        <v>#VALUE!</v>
      </c>
      <c r="U98" s="28"/>
      <c r="V98" s="28"/>
      <c r="W98" s="21"/>
      <c r="X98" s="21"/>
      <c r="Y98" s="21"/>
      <c r="Z98" s="29"/>
      <c r="AB98" s="27" t="s">
        <v>125</v>
      </c>
      <c r="AC98" s="29" t="e">
        <f>(AC97/AC96)</f>
        <v>#VALUE!</v>
      </c>
      <c r="AD98" s="28"/>
      <c r="AE98" s="28"/>
      <c r="AF98" s="21"/>
      <c r="AG98" s="21"/>
      <c r="AH98" s="21"/>
      <c r="AI98" s="29"/>
    </row>
    <row r="99" spans="1:35">
      <c r="A99" s="27" t="s">
        <v>126</v>
      </c>
      <c r="B99" s="29">
        <f>((B98*(B94))+B86)</f>
        <v>16919.506037590156</v>
      </c>
      <c r="C99" s="28"/>
      <c r="D99" s="28"/>
      <c r="E99" s="21"/>
      <c r="F99" s="27" t="s">
        <v>126</v>
      </c>
      <c r="G99" s="29">
        <f>((G98*(G94))+G86)</f>
        <v>16087.406321950431</v>
      </c>
      <c r="H99" s="29"/>
      <c r="J99" s="27" t="s">
        <v>126</v>
      </c>
      <c r="K99" s="29" t="e">
        <f>((K98*(K94))+K86)</f>
        <v>#VALUE!</v>
      </c>
      <c r="L99" s="28"/>
      <c r="M99" s="28"/>
      <c r="N99" s="21"/>
      <c r="O99" s="21"/>
      <c r="P99" s="21"/>
      <c r="Q99" s="29"/>
      <c r="S99" s="27" t="s">
        <v>126</v>
      </c>
      <c r="T99" s="29" t="e">
        <f>(T98*(T94))+T86</f>
        <v>#VALUE!</v>
      </c>
      <c r="U99" s="28"/>
      <c r="V99" s="28"/>
      <c r="W99" s="21"/>
      <c r="X99" s="21"/>
      <c r="Y99" s="21"/>
      <c r="Z99" s="29"/>
      <c r="AB99" s="27" t="s">
        <v>126</v>
      </c>
      <c r="AC99" s="29" t="e">
        <f>(AC98*(AC68))+AC86</f>
        <v>#VALUE!</v>
      </c>
      <c r="AD99" s="28"/>
      <c r="AE99" s="28"/>
      <c r="AF99" s="21"/>
      <c r="AG99" s="21"/>
      <c r="AH99" s="21"/>
      <c r="AI99" s="29"/>
    </row>
    <row r="100" spans="1:35">
      <c r="A100" s="27" t="s">
        <v>127</v>
      </c>
      <c r="B100" s="29">
        <f>(((B98*(B94))+B86)/(1-B80))*B80</f>
        <v>0</v>
      </c>
      <c r="C100" s="28"/>
      <c r="D100" s="28"/>
      <c r="E100" s="21"/>
      <c r="F100" s="27" t="s">
        <v>127</v>
      </c>
      <c r="G100" s="29">
        <f>(((G98*(G94))+G86)/(1-G80))*G80</f>
        <v>0</v>
      </c>
      <c r="H100" s="29"/>
      <c r="J100" s="27" t="s">
        <v>127</v>
      </c>
      <c r="K100" s="29" t="e">
        <f>(K99/(1-K80))*K80</f>
        <v>#VALUE!</v>
      </c>
      <c r="L100" s="28"/>
      <c r="M100" s="28"/>
      <c r="N100" s="21"/>
      <c r="O100" s="21"/>
      <c r="P100" s="21"/>
      <c r="Q100" s="29"/>
      <c r="S100" s="27" t="s">
        <v>127</v>
      </c>
      <c r="T100" s="29" t="e">
        <f>(T99/(1-T80))*T80</f>
        <v>#VALUE!</v>
      </c>
      <c r="U100" s="28"/>
      <c r="V100" s="28"/>
      <c r="W100" s="21"/>
      <c r="X100" s="21"/>
      <c r="Y100" s="21"/>
      <c r="Z100" s="29"/>
      <c r="AB100" s="27" t="s">
        <v>127</v>
      </c>
      <c r="AC100" s="29" t="e">
        <f>(AC99/(1-AC80))*AC80</f>
        <v>#VALUE!</v>
      </c>
      <c r="AD100" s="28"/>
      <c r="AE100" s="28"/>
      <c r="AF100" s="21"/>
      <c r="AG100" s="21"/>
      <c r="AH100" s="21"/>
      <c r="AI100" s="29"/>
    </row>
    <row r="101" spans="1:35">
      <c r="A101" s="49" t="s">
        <v>128</v>
      </c>
      <c r="B101" s="57">
        <f>(B99+B100)</f>
        <v>16919.506037590156</v>
      </c>
      <c r="C101" s="28"/>
      <c r="D101" s="28"/>
      <c r="E101" s="21"/>
      <c r="F101" s="49" t="s">
        <v>128</v>
      </c>
      <c r="G101" s="57">
        <f>(G99+G100)</f>
        <v>16087.406321950431</v>
      </c>
      <c r="H101" s="29"/>
      <c r="J101" s="49" t="s">
        <v>128</v>
      </c>
      <c r="K101" s="57" t="e">
        <f>(K99+K100)</f>
        <v>#VALUE!</v>
      </c>
      <c r="L101" s="28"/>
      <c r="M101" s="28"/>
      <c r="N101" s="21"/>
      <c r="O101" s="21"/>
      <c r="P101" s="21"/>
      <c r="Q101" s="29"/>
      <c r="S101" s="49" t="s">
        <v>128</v>
      </c>
      <c r="T101" s="57" t="e">
        <f>(T99+T100)</f>
        <v>#VALUE!</v>
      </c>
      <c r="U101" s="28"/>
      <c r="V101" s="28"/>
      <c r="W101" s="21"/>
      <c r="X101" s="21"/>
      <c r="Y101" s="21"/>
      <c r="Z101" s="29"/>
      <c r="AB101" s="49" t="s">
        <v>128</v>
      </c>
      <c r="AC101" s="57" t="e">
        <f>(AC99+AC100)</f>
        <v>#VALUE!</v>
      </c>
      <c r="AD101" s="28"/>
      <c r="AE101" s="28"/>
      <c r="AF101" s="21"/>
      <c r="AG101" s="21"/>
      <c r="AH101" s="21"/>
      <c r="AI101" s="29"/>
    </row>
    <row r="102" spans="1:35">
      <c r="A102" s="27"/>
      <c r="B102" s="28"/>
      <c r="C102" s="28"/>
      <c r="D102" s="28"/>
      <c r="E102" s="21"/>
      <c r="F102" s="27"/>
      <c r="G102" s="28"/>
      <c r="H102" s="29"/>
      <c r="J102" s="27"/>
      <c r="K102" s="28"/>
      <c r="L102" s="28"/>
      <c r="M102" s="28"/>
      <c r="N102" s="21"/>
      <c r="O102" s="21"/>
      <c r="P102" s="21"/>
      <c r="Q102" s="29"/>
      <c r="S102" s="27"/>
      <c r="T102" s="28"/>
      <c r="U102" s="28"/>
      <c r="V102" s="28"/>
      <c r="W102" s="21"/>
      <c r="X102" s="21"/>
      <c r="Y102" s="21"/>
      <c r="Z102" s="29"/>
      <c r="AB102" s="27"/>
      <c r="AC102" s="28"/>
      <c r="AD102" s="28"/>
      <c r="AE102" s="28"/>
      <c r="AF102" s="21"/>
      <c r="AG102" s="21"/>
      <c r="AH102" s="21"/>
      <c r="AI102" s="29"/>
    </row>
    <row r="103" spans="1:35">
      <c r="A103" s="76" t="s">
        <v>129</v>
      </c>
      <c r="B103" s="77">
        <f>((A46*A34)+((A46*A34)*A117))/(B68)*1.2</f>
        <v>0</v>
      </c>
      <c r="C103" s="28"/>
      <c r="D103" s="28"/>
      <c r="E103" s="21"/>
      <c r="F103" s="76" t="s">
        <v>129</v>
      </c>
      <c r="G103" s="80" t="str">
        <f>IF(B35="YES",((E49/B94)*(1+A117)*(C54/100)),"0")</f>
        <v>0</v>
      </c>
      <c r="H103" s="29"/>
      <c r="J103" s="76" t="s">
        <v>129</v>
      </c>
      <c r="K103" s="77">
        <f>((E40/K94)*(1+J117))*1.2</f>
        <v>0</v>
      </c>
      <c r="L103" s="28"/>
      <c r="M103" s="28"/>
      <c r="N103" s="21"/>
      <c r="O103" s="21"/>
      <c r="P103" s="21"/>
      <c r="Q103" s="29"/>
      <c r="S103" s="76" t="s">
        <v>129</v>
      </c>
      <c r="T103" s="77">
        <f>((E40/T94)*(1+S117))</f>
        <v>0</v>
      </c>
      <c r="U103" s="28"/>
      <c r="V103" s="28"/>
      <c r="W103" s="21"/>
      <c r="X103" s="21"/>
      <c r="Y103" s="21"/>
      <c r="Z103" s="29"/>
      <c r="AB103" s="76" t="s">
        <v>129</v>
      </c>
      <c r="AC103" s="77">
        <f>((E40/AC94)*(1+AB117))*1.2</f>
        <v>0</v>
      </c>
      <c r="AD103" s="28"/>
      <c r="AE103" s="28"/>
      <c r="AF103" s="21"/>
      <c r="AG103" s="21"/>
      <c r="AH103" s="21"/>
      <c r="AI103" s="29"/>
    </row>
    <row r="104" spans="1:35">
      <c r="A104" s="81" t="s">
        <v>130</v>
      </c>
      <c r="B104" s="82">
        <f>B101/(B94)</f>
        <v>1538.136912508196</v>
      </c>
      <c r="C104" s="28"/>
      <c r="D104" s="28"/>
      <c r="E104" s="21"/>
      <c r="F104" s="81" t="s">
        <v>130</v>
      </c>
      <c r="G104" s="82">
        <f>G101/(G94)</f>
        <v>1462.4914838136756</v>
      </c>
      <c r="H104" s="29"/>
      <c r="J104" s="81" t="s">
        <v>130</v>
      </c>
      <c r="K104" s="82" t="e">
        <f>K101/(K94)</f>
        <v>#VALUE!</v>
      </c>
      <c r="L104" s="28"/>
      <c r="M104" s="28"/>
      <c r="N104" s="21"/>
      <c r="O104" s="21"/>
      <c r="P104" s="21"/>
      <c r="Q104" s="29"/>
      <c r="S104" s="81" t="s">
        <v>130</v>
      </c>
      <c r="T104" s="82" t="e">
        <f>T101/(T94)</f>
        <v>#VALUE!</v>
      </c>
      <c r="U104" s="28"/>
      <c r="V104" s="28"/>
      <c r="W104" s="21"/>
      <c r="X104" s="21"/>
      <c r="Y104" s="21"/>
      <c r="Z104" s="29"/>
      <c r="AB104" s="81" t="s">
        <v>130</v>
      </c>
      <c r="AC104" s="82" t="e">
        <f>AC101/(AC68)</f>
        <v>#VALUE!</v>
      </c>
      <c r="AD104" s="28"/>
      <c r="AE104" s="28"/>
      <c r="AF104" s="21"/>
      <c r="AG104" s="21"/>
      <c r="AH104" s="21"/>
      <c r="AI104" s="29"/>
    </row>
    <row r="105" spans="1:35">
      <c r="A105" s="83" t="s">
        <v>131</v>
      </c>
      <c r="B105" s="84">
        <f>B103+B104</f>
        <v>1538.136912508196</v>
      </c>
      <c r="C105" s="28"/>
      <c r="D105" s="28"/>
      <c r="E105" s="21" t="s">
        <v>385</v>
      </c>
      <c r="F105" s="83" t="s">
        <v>131</v>
      </c>
      <c r="G105" s="84">
        <f>G103+G104</f>
        <v>1462.4914838136756</v>
      </c>
      <c r="H105" s="29"/>
      <c r="J105" s="83" t="s">
        <v>131</v>
      </c>
      <c r="K105" s="84" t="e">
        <f>(K103+K104)</f>
        <v>#VALUE!</v>
      </c>
      <c r="L105" s="28"/>
      <c r="M105" s="28"/>
      <c r="N105" s="21"/>
      <c r="O105" s="21"/>
      <c r="P105" s="21"/>
      <c r="Q105" s="29"/>
      <c r="S105" s="83" t="s">
        <v>131</v>
      </c>
      <c r="T105" s="84" t="e">
        <f>T103+T104</f>
        <v>#VALUE!</v>
      </c>
      <c r="U105" s="28"/>
      <c r="V105" s="28"/>
      <c r="W105" s="21"/>
      <c r="X105" s="21"/>
      <c r="Y105" s="21"/>
      <c r="Z105" s="29"/>
      <c r="AB105" s="83" t="s">
        <v>131</v>
      </c>
      <c r="AC105" s="84" t="e">
        <f>AC103+AC104</f>
        <v>#VALUE!</v>
      </c>
      <c r="AD105" s="28"/>
      <c r="AE105" s="28"/>
      <c r="AF105" s="21"/>
      <c r="AG105" s="21"/>
      <c r="AH105" s="21"/>
      <c r="AI105" s="29"/>
    </row>
    <row r="106" spans="1:35">
      <c r="A106" s="49"/>
      <c r="B106" s="50"/>
      <c r="C106" s="50"/>
      <c r="D106" s="50"/>
      <c r="E106" s="85"/>
      <c r="F106" s="85"/>
      <c r="G106" s="85"/>
      <c r="H106" s="57"/>
      <c r="J106" s="49"/>
      <c r="K106" s="50"/>
      <c r="L106" s="50"/>
      <c r="M106" s="50"/>
      <c r="N106" s="85"/>
      <c r="O106" s="85"/>
      <c r="P106" s="85"/>
      <c r="Q106" s="57"/>
      <c r="S106" s="49"/>
      <c r="T106" s="50"/>
      <c r="U106" s="50"/>
      <c r="V106" s="50"/>
      <c r="W106" s="85"/>
      <c r="X106" s="85"/>
      <c r="Y106" s="85"/>
      <c r="Z106" s="57"/>
      <c r="AB106" s="49"/>
      <c r="AC106" s="50"/>
      <c r="AD106" s="50"/>
      <c r="AE106" s="50"/>
      <c r="AF106" s="85"/>
      <c r="AG106" s="85"/>
      <c r="AH106" s="85"/>
      <c r="AI106" s="57"/>
    </row>
    <row r="107" spans="1:35" ht="14.25">
      <c r="A107" s="21"/>
      <c r="B107" s="21"/>
      <c r="C107" s="21"/>
      <c r="D107" s="21"/>
      <c r="E107" s="21"/>
      <c r="F107" s="21"/>
      <c r="G107" s="21"/>
      <c r="H107" s="21"/>
      <c r="J107" s="21"/>
      <c r="K107" s="21"/>
      <c r="L107" s="21"/>
      <c r="M107" s="21"/>
      <c r="N107" s="21"/>
      <c r="O107" s="21"/>
      <c r="P107" s="21"/>
      <c r="Q107" s="21"/>
      <c r="S107" s="21"/>
      <c r="T107" s="21"/>
      <c r="U107" s="21"/>
      <c r="V107" s="21"/>
      <c r="W107" s="21"/>
      <c r="X107" s="21"/>
      <c r="Y107" s="21"/>
      <c r="Z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4.25">
      <c r="A108" s="21">
        <v>0.2</v>
      </c>
      <c r="B108" s="21">
        <v>0</v>
      </c>
      <c r="C108" s="21"/>
      <c r="D108" s="21">
        <v>0</v>
      </c>
      <c r="E108" s="21"/>
      <c r="F108" s="21"/>
      <c r="G108" s="21"/>
      <c r="H108" s="21"/>
      <c r="J108" s="21"/>
      <c r="K108" s="21"/>
      <c r="L108" s="21"/>
      <c r="M108" s="21"/>
      <c r="N108" s="21"/>
      <c r="O108" s="21"/>
      <c r="P108" s="21"/>
      <c r="Q108" s="21"/>
      <c r="S108" s="21"/>
      <c r="T108" s="21"/>
      <c r="U108" s="21"/>
      <c r="V108" s="21"/>
      <c r="W108" s="21"/>
      <c r="X108" s="21"/>
      <c r="Y108" s="21"/>
      <c r="Z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47.25" customHeight="1">
      <c r="A109" s="344" t="s">
        <v>132</v>
      </c>
      <c r="B109" s="344"/>
      <c r="C109" s="344"/>
      <c r="D109" s="344"/>
      <c r="E109" s="344"/>
      <c r="F109" s="344"/>
      <c r="G109" s="344"/>
      <c r="H109" s="344"/>
      <c r="J109" s="334" t="s">
        <v>133</v>
      </c>
      <c r="K109" s="334"/>
      <c r="L109" s="334"/>
      <c r="M109" s="334"/>
      <c r="N109" s="334"/>
      <c r="O109" s="334"/>
      <c r="P109" s="334"/>
      <c r="Q109" s="334"/>
      <c r="S109" s="344" t="s">
        <v>134</v>
      </c>
      <c r="T109" s="344"/>
      <c r="U109" s="344"/>
      <c r="V109" s="344"/>
      <c r="W109" s="344"/>
      <c r="X109" s="344"/>
      <c r="Y109" s="344"/>
      <c r="Z109" s="344"/>
      <c r="AB109" s="344" t="s">
        <v>135</v>
      </c>
      <c r="AC109" s="344"/>
      <c r="AD109" s="344"/>
      <c r="AE109" s="344"/>
      <c r="AF109" s="344"/>
      <c r="AG109" s="344"/>
      <c r="AH109" s="344"/>
      <c r="AI109" s="344"/>
    </row>
    <row r="110" spans="1:35">
      <c r="A110" s="22"/>
      <c r="B110" s="23"/>
      <c r="C110" s="23"/>
      <c r="D110" s="23"/>
      <c r="E110" s="63"/>
      <c r="F110" s="63"/>
      <c r="G110" s="63"/>
      <c r="H110" s="87"/>
      <c r="J110" s="22"/>
      <c r="K110" s="23"/>
      <c r="L110" s="23"/>
      <c r="M110" s="23"/>
      <c r="N110" s="63"/>
      <c r="O110" s="63"/>
      <c r="P110" s="63"/>
      <c r="Q110" s="87"/>
      <c r="S110" s="22"/>
      <c r="T110" s="23"/>
      <c r="U110" s="23"/>
      <c r="V110" s="23"/>
      <c r="W110" s="63"/>
      <c r="X110" s="63"/>
      <c r="Y110" s="63"/>
      <c r="Z110" s="87"/>
      <c r="AB110" s="22"/>
      <c r="AC110" s="23"/>
      <c r="AD110" s="23"/>
      <c r="AE110" s="23"/>
      <c r="AF110" s="63"/>
      <c r="AG110" s="63"/>
      <c r="AH110" s="63"/>
      <c r="AI110" s="87"/>
    </row>
    <row r="111" spans="1:35" ht="23.25">
      <c r="A111" s="335" t="s">
        <v>385</v>
      </c>
      <c r="B111" s="335">
        <v>0</v>
      </c>
      <c r="C111" s="335"/>
      <c r="D111" s="335"/>
      <c r="E111" s="335">
        <v>0</v>
      </c>
      <c r="F111" s="335"/>
      <c r="G111" s="335"/>
      <c r="H111" s="335"/>
      <c r="J111" s="335" t="s">
        <v>136</v>
      </c>
      <c r="K111" s="335"/>
      <c r="L111" s="335"/>
      <c r="M111" s="335"/>
      <c r="N111" s="335"/>
      <c r="O111" s="335"/>
      <c r="P111" s="335"/>
      <c r="Q111" s="335"/>
      <c r="S111" s="335" t="s">
        <v>136</v>
      </c>
      <c r="T111" s="335"/>
      <c r="U111" s="335"/>
      <c r="V111" s="335"/>
      <c r="W111" s="335"/>
      <c r="X111" s="335"/>
      <c r="Y111" s="335"/>
      <c r="Z111" s="335"/>
      <c r="AB111" s="335" t="s">
        <v>136</v>
      </c>
      <c r="AC111" s="335"/>
      <c r="AD111" s="335"/>
      <c r="AE111" s="335"/>
      <c r="AF111" s="335"/>
      <c r="AG111" s="335"/>
      <c r="AH111" s="335"/>
      <c r="AI111" s="335"/>
    </row>
    <row r="112" spans="1:35">
      <c r="A112" s="27"/>
      <c r="B112" s="28"/>
      <c r="C112" s="28"/>
      <c r="D112" s="28"/>
      <c r="E112" s="21"/>
      <c r="F112" s="21"/>
      <c r="G112" s="21"/>
      <c r="H112" s="88"/>
      <c r="J112" s="27"/>
      <c r="K112" s="28"/>
      <c r="L112" s="28"/>
      <c r="M112" s="28"/>
      <c r="N112" s="21"/>
      <c r="O112" s="21"/>
      <c r="P112" s="21"/>
      <c r="Q112" s="88"/>
      <c r="S112" s="27"/>
      <c r="T112" s="28"/>
      <c r="U112" s="28"/>
      <c r="V112" s="28"/>
      <c r="W112" s="21"/>
      <c r="X112" s="21"/>
      <c r="Y112" s="21"/>
      <c r="Z112" s="88"/>
      <c r="AB112" s="27"/>
      <c r="AC112" s="28"/>
      <c r="AD112" s="28"/>
      <c r="AE112" s="28"/>
      <c r="AF112" s="21"/>
      <c r="AG112" s="21"/>
      <c r="AH112" s="21"/>
      <c r="AI112" s="88"/>
    </row>
    <row r="113" spans="1:42">
      <c r="A113" s="27" t="s">
        <v>137</v>
      </c>
      <c r="B113" s="28" t="s">
        <v>36</v>
      </c>
      <c r="C113" s="28"/>
      <c r="D113" s="28"/>
      <c r="E113" s="28" t="s">
        <v>138</v>
      </c>
      <c r="F113" s="28"/>
      <c r="G113" s="28"/>
      <c r="H113" s="29"/>
      <c r="J113" s="27" t="s">
        <v>137</v>
      </c>
      <c r="K113" s="28" t="s">
        <v>36</v>
      </c>
      <c r="L113" s="28"/>
      <c r="M113" s="28"/>
      <c r="N113" s="28" t="s">
        <v>138</v>
      </c>
      <c r="O113" s="28"/>
      <c r="P113" s="28"/>
      <c r="Q113" s="29"/>
      <c r="S113" s="27" t="s">
        <v>137</v>
      </c>
      <c r="T113" s="28" t="s">
        <v>36</v>
      </c>
      <c r="U113" s="28"/>
      <c r="V113" s="28"/>
      <c r="W113" s="28" t="s">
        <v>138</v>
      </c>
      <c r="X113" s="28"/>
      <c r="Y113" s="28"/>
      <c r="Z113" s="29"/>
      <c r="AB113" s="27" t="s">
        <v>137</v>
      </c>
      <c r="AC113" s="28" t="s">
        <v>36</v>
      </c>
      <c r="AD113" s="28"/>
      <c r="AE113" s="28"/>
      <c r="AF113" s="28" t="s">
        <v>138</v>
      </c>
      <c r="AG113" s="28"/>
      <c r="AH113" s="28"/>
      <c r="AI113" s="29"/>
    </row>
    <row r="114" spans="1:42">
      <c r="A114" s="32" t="s">
        <v>139</v>
      </c>
      <c r="B114" s="345">
        <v>833.33333333333337</v>
      </c>
      <c r="C114" s="345"/>
      <c r="D114" s="345"/>
      <c r="E114" s="346" t="s">
        <v>386</v>
      </c>
      <c r="F114" s="346"/>
      <c r="G114" s="346"/>
      <c r="H114" s="88"/>
      <c r="J114" s="32" t="s">
        <v>139</v>
      </c>
      <c r="K114" s="347" t="s">
        <v>140</v>
      </c>
      <c r="L114" s="347"/>
      <c r="M114" s="347"/>
      <c r="N114" s="346" t="s">
        <v>31</v>
      </c>
      <c r="O114" s="346"/>
      <c r="P114" s="346"/>
      <c r="Q114" s="88"/>
      <c r="S114" s="32" t="s">
        <v>139</v>
      </c>
      <c r="T114" s="345" t="s">
        <v>140</v>
      </c>
      <c r="U114" s="345"/>
      <c r="V114" s="345"/>
      <c r="W114" s="346" t="s">
        <v>31</v>
      </c>
      <c r="X114" s="346"/>
      <c r="Y114" s="346"/>
      <c r="Z114" s="88"/>
      <c r="AB114" s="32" t="s">
        <v>139</v>
      </c>
      <c r="AC114" s="345" t="s">
        <v>140</v>
      </c>
      <c r="AD114" s="345"/>
      <c r="AE114" s="345"/>
      <c r="AF114" s="346" t="s">
        <v>31</v>
      </c>
      <c r="AG114" s="346"/>
      <c r="AH114" s="346"/>
      <c r="AI114" s="88"/>
    </row>
    <row r="115" spans="1:42">
      <c r="A115" s="27"/>
      <c r="B115" s="28"/>
      <c r="C115" s="28"/>
      <c r="D115" s="21"/>
      <c r="E115" s="28"/>
      <c r="F115" s="28"/>
      <c r="G115" s="21"/>
      <c r="H115" s="29"/>
      <c r="J115" s="27"/>
      <c r="K115" s="28"/>
      <c r="L115" s="28"/>
      <c r="M115" s="21"/>
      <c r="N115" s="28"/>
      <c r="O115" s="28"/>
      <c r="P115" s="21"/>
      <c r="Q115" s="29"/>
      <c r="S115" s="27"/>
      <c r="T115" s="28"/>
      <c r="U115" s="28"/>
      <c r="V115" s="21"/>
      <c r="W115" s="28"/>
      <c r="X115" s="28"/>
      <c r="Y115" s="21"/>
      <c r="Z115" s="29"/>
      <c r="AB115" s="27"/>
      <c r="AC115" s="28"/>
      <c r="AD115" s="28"/>
      <c r="AE115" s="21"/>
      <c r="AF115" s="28"/>
      <c r="AG115" s="28"/>
      <c r="AH115" s="21"/>
      <c r="AI115" s="29"/>
    </row>
    <row r="116" spans="1:42">
      <c r="A116" s="27" t="s">
        <v>141</v>
      </c>
      <c r="B116" s="28" t="s">
        <v>142</v>
      </c>
      <c r="C116" s="28"/>
      <c r="D116" s="21"/>
      <c r="E116" s="28" t="s">
        <v>143</v>
      </c>
      <c r="F116" s="28"/>
      <c r="G116" s="21"/>
      <c r="H116" s="88"/>
      <c r="J116" s="27" t="s">
        <v>141</v>
      </c>
      <c r="K116" s="28" t="s">
        <v>142</v>
      </c>
      <c r="L116" s="28"/>
      <c r="M116" s="21"/>
      <c r="N116" s="28" t="s">
        <v>143</v>
      </c>
      <c r="O116" s="28"/>
      <c r="P116" s="21"/>
      <c r="Q116" s="88"/>
      <c r="S116" s="27" t="s">
        <v>141</v>
      </c>
      <c r="T116" s="28" t="s">
        <v>142</v>
      </c>
      <c r="U116" s="28"/>
      <c r="V116" s="21"/>
      <c r="W116" s="28" t="s">
        <v>143</v>
      </c>
      <c r="X116" s="28"/>
      <c r="Y116" s="21"/>
      <c r="Z116" s="88"/>
      <c r="AB116" s="27" t="s">
        <v>141</v>
      </c>
      <c r="AC116" s="28" t="s">
        <v>142</v>
      </c>
      <c r="AD116" s="28"/>
      <c r="AE116" s="21"/>
      <c r="AF116" s="28" t="s">
        <v>143</v>
      </c>
      <c r="AG116" s="28"/>
      <c r="AH116" s="21"/>
      <c r="AI116" s="88"/>
    </row>
    <row r="117" spans="1:42">
      <c r="A117" s="91">
        <v>0.2</v>
      </c>
      <c r="B117" s="348" t="s">
        <v>144</v>
      </c>
      <c r="C117" s="348"/>
      <c r="D117" s="348"/>
      <c r="E117" s="349">
        <f>B92</f>
        <v>0.1255</v>
      </c>
      <c r="F117" s="349"/>
      <c r="G117" s="349"/>
      <c r="H117" s="42"/>
      <c r="J117" s="91">
        <v>0.3</v>
      </c>
      <c r="K117" s="348" t="s">
        <v>144</v>
      </c>
      <c r="L117" s="348"/>
      <c r="M117" s="348"/>
      <c r="N117" s="349">
        <f>K92</f>
        <v>0.24000000000000002</v>
      </c>
      <c r="O117" s="349"/>
      <c r="P117" s="349"/>
      <c r="Q117" s="42"/>
      <c r="S117" s="91">
        <v>0.2</v>
      </c>
      <c r="T117" s="348" t="s">
        <v>145</v>
      </c>
      <c r="U117" s="348"/>
      <c r="V117" s="348"/>
      <c r="W117" s="349">
        <f>T92</f>
        <v>0.1235</v>
      </c>
      <c r="X117" s="349"/>
      <c r="Y117" s="349"/>
      <c r="Z117" s="42"/>
      <c r="AB117" s="91">
        <v>0.2</v>
      </c>
      <c r="AC117" s="348" t="s">
        <v>145</v>
      </c>
      <c r="AD117" s="348"/>
      <c r="AE117" s="348"/>
      <c r="AF117" s="350">
        <f>AC92</f>
        <v>0.1235</v>
      </c>
      <c r="AG117" s="350"/>
      <c r="AH117" s="350"/>
      <c r="AI117" s="42"/>
      <c r="AP117" s="4" t="s">
        <v>146</v>
      </c>
    </row>
    <row r="118" spans="1:42">
      <c r="A118" s="27"/>
      <c r="B118" s="28"/>
      <c r="C118" s="28"/>
      <c r="D118" s="28"/>
      <c r="E118" s="28"/>
      <c r="F118" s="28"/>
      <c r="G118" s="28"/>
      <c r="H118" s="29"/>
      <c r="J118" s="27"/>
      <c r="K118" s="28"/>
      <c r="L118" s="28"/>
      <c r="M118" s="28"/>
      <c r="N118" s="28"/>
      <c r="O118" s="28"/>
      <c r="P118" s="28"/>
      <c r="Q118" s="29"/>
      <c r="S118" s="27"/>
      <c r="T118" s="28"/>
      <c r="U118" s="28"/>
      <c r="V118" s="28"/>
      <c r="W118" s="28"/>
      <c r="X118" s="28"/>
      <c r="Y118" s="28"/>
      <c r="Z118" s="29"/>
      <c r="AB118" s="27"/>
      <c r="AC118" s="28"/>
      <c r="AD118" s="28"/>
      <c r="AE118" s="28"/>
      <c r="AF118" s="28"/>
      <c r="AG118" s="28"/>
      <c r="AH118" s="28"/>
      <c r="AI118" s="29"/>
      <c r="AP118" s="4" t="s">
        <v>144</v>
      </c>
    </row>
    <row r="119" spans="1:42">
      <c r="A119" s="27" t="s">
        <v>147</v>
      </c>
      <c r="B119" s="28" t="s">
        <v>148</v>
      </c>
      <c r="C119" s="28"/>
      <c r="D119" s="28"/>
      <c r="E119" s="28" t="s">
        <v>149</v>
      </c>
      <c r="F119" s="28"/>
      <c r="G119" s="28"/>
      <c r="H119" s="29"/>
      <c r="J119" s="27" t="s">
        <v>147</v>
      </c>
      <c r="K119" s="28" t="s">
        <v>148</v>
      </c>
      <c r="L119" s="28"/>
      <c r="M119" s="28"/>
      <c r="N119" s="28" t="s">
        <v>149</v>
      </c>
      <c r="O119" s="28"/>
      <c r="P119" s="28"/>
      <c r="Q119" s="29"/>
      <c r="S119" s="27" t="s">
        <v>147</v>
      </c>
      <c r="T119" s="28" t="s">
        <v>148</v>
      </c>
      <c r="U119" s="28"/>
      <c r="V119" s="28"/>
      <c r="W119" s="28" t="s">
        <v>149</v>
      </c>
      <c r="X119" s="28"/>
      <c r="Y119" s="28"/>
      <c r="Z119" s="29"/>
      <c r="AB119" s="27" t="s">
        <v>147</v>
      </c>
      <c r="AC119" s="28" t="s">
        <v>148</v>
      </c>
      <c r="AD119" s="28"/>
      <c r="AE119" s="28"/>
      <c r="AF119" s="28" t="s">
        <v>149</v>
      </c>
      <c r="AG119" s="28"/>
      <c r="AH119" s="28"/>
      <c r="AI119" s="29"/>
    </row>
    <row r="120" spans="1:42">
      <c r="A120" s="36" t="s">
        <v>385</v>
      </c>
      <c r="B120" s="348">
        <v>0</v>
      </c>
      <c r="C120" s="348"/>
      <c r="D120" s="348"/>
      <c r="E120" s="348">
        <v>0</v>
      </c>
      <c r="F120" s="348"/>
      <c r="G120" s="348"/>
      <c r="H120" s="88"/>
      <c r="J120" s="36" t="s">
        <v>32</v>
      </c>
      <c r="K120" s="348">
        <v>1000</v>
      </c>
      <c r="L120" s="348"/>
      <c r="M120" s="348"/>
      <c r="N120" s="348">
        <v>0</v>
      </c>
      <c r="O120" s="348"/>
      <c r="P120" s="348"/>
      <c r="Q120" s="88"/>
      <c r="S120" s="36" t="s">
        <v>31</v>
      </c>
      <c r="T120" s="348">
        <v>1000</v>
      </c>
      <c r="U120" s="348"/>
      <c r="V120" s="348"/>
      <c r="W120" s="348">
        <v>0</v>
      </c>
      <c r="X120" s="348"/>
      <c r="Y120" s="348"/>
      <c r="Z120" s="88"/>
      <c r="AB120" s="36" t="s">
        <v>31</v>
      </c>
      <c r="AC120" s="348">
        <v>1000</v>
      </c>
      <c r="AD120" s="348"/>
      <c r="AE120" s="348"/>
      <c r="AF120" s="348">
        <v>0</v>
      </c>
      <c r="AG120" s="348"/>
      <c r="AH120" s="348"/>
      <c r="AI120" s="88"/>
    </row>
    <row r="121" spans="1:42">
      <c r="A121" s="27"/>
      <c r="B121" s="28"/>
      <c r="C121" s="28"/>
      <c r="D121" s="28"/>
      <c r="E121" s="28"/>
      <c r="F121" s="28"/>
      <c r="G121" s="21"/>
      <c r="H121" s="88"/>
      <c r="J121" s="27"/>
      <c r="K121" s="28"/>
      <c r="L121" s="28"/>
      <c r="M121" s="28"/>
      <c r="N121" s="28"/>
      <c r="O121" s="28"/>
      <c r="P121" s="21"/>
      <c r="Q121" s="88"/>
      <c r="S121" s="27"/>
      <c r="T121" s="28"/>
      <c r="U121" s="28"/>
      <c r="V121" s="28"/>
      <c r="W121" s="28"/>
      <c r="X121" s="28"/>
      <c r="Y121" s="21"/>
      <c r="Z121" s="88"/>
      <c r="AB121" s="27"/>
      <c r="AC121" s="28"/>
      <c r="AD121" s="28"/>
      <c r="AE121" s="28"/>
      <c r="AF121" s="28"/>
      <c r="AG121" s="28"/>
      <c r="AH121" s="21"/>
      <c r="AI121" s="88"/>
    </row>
    <row r="122" spans="1:42">
      <c r="A122" s="93" t="s">
        <v>150</v>
      </c>
      <c r="B122" s="28" t="s">
        <v>151</v>
      </c>
      <c r="C122" s="28"/>
      <c r="D122" s="28"/>
      <c r="E122" s="28" t="s">
        <v>152</v>
      </c>
      <c r="F122" s="28"/>
      <c r="G122" s="21"/>
      <c r="H122" s="88"/>
      <c r="J122" s="93" t="s">
        <v>150</v>
      </c>
      <c r="K122" s="28" t="s">
        <v>151</v>
      </c>
      <c r="L122" s="28"/>
      <c r="M122" s="28"/>
      <c r="N122" s="28" t="s">
        <v>152</v>
      </c>
      <c r="O122" s="28"/>
      <c r="P122" s="21"/>
      <c r="Q122" s="88"/>
      <c r="S122" s="93" t="s">
        <v>150</v>
      </c>
      <c r="T122" s="28" t="s">
        <v>151</v>
      </c>
      <c r="U122" s="28"/>
      <c r="V122" s="28"/>
      <c r="W122" s="28" t="s">
        <v>152</v>
      </c>
      <c r="X122" s="28"/>
      <c r="Y122" s="21"/>
      <c r="Z122" s="88"/>
      <c r="AB122" s="93" t="s">
        <v>150</v>
      </c>
      <c r="AC122" s="28" t="s">
        <v>151</v>
      </c>
      <c r="AD122" s="28"/>
      <c r="AE122" s="28"/>
      <c r="AF122" s="28" t="s">
        <v>152</v>
      </c>
      <c r="AG122" s="28"/>
      <c r="AH122" s="21"/>
      <c r="AI122" s="88"/>
    </row>
    <row r="123" spans="1:42">
      <c r="A123" s="94">
        <f>B120+E120</f>
        <v>0</v>
      </c>
      <c r="B123" s="348">
        <v>1000</v>
      </c>
      <c r="C123" s="348"/>
      <c r="D123" s="348"/>
      <c r="E123" s="348">
        <v>0</v>
      </c>
      <c r="F123" s="348"/>
      <c r="G123" s="348"/>
      <c r="H123" s="88"/>
      <c r="J123" s="94">
        <f>K120+N120</f>
        <v>1000</v>
      </c>
      <c r="K123" s="348">
        <v>239.99</v>
      </c>
      <c r="L123" s="348"/>
      <c r="M123" s="348"/>
      <c r="N123" s="348">
        <v>0</v>
      </c>
      <c r="O123" s="348"/>
      <c r="P123" s="348"/>
      <c r="Q123" s="88"/>
      <c r="S123" s="94">
        <f>T120+W120</f>
        <v>1000</v>
      </c>
      <c r="T123" s="348">
        <v>199.99</v>
      </c>
      <c r="U123" s="348"/>
      <c r="V123" s="348"/>
      <c r="W123" s="348">
        <v>0</v>
      </c>
      <c r="X123" s="348"/>
      <c r="Y123" s="348"/>
      <c r="Z123" s="88"/>
      <c r="AB123" s="94">
        <f>AC120+AF120</f>
        <v>1000</v>
      </c>
      <c r="AC123" s="348">
        <v>239.99</v>
      </c>
      <c r="AD123" s="348"/>
      <c r="AE123" s="348"/>
      <c r="AF123" s="348">
        <v>0</v>
      </c>
      <c r="AG123" s="348"/>
      <c r="AH123" s="348"/>
      <c r="AI123" s="88"/>
    </row>
    <row r="124" spans="1:42" ht="14.25">
      <c r="A124" s="95"/>
      <c r="B124" s="21"/>
      <c r="C124" s="21"/>
      <c r="D124" s="21"/>
      <c r="E124" s="21"/>
      <c r="F124" s="21"/>
      <c r="G124" s="21"/>
      <c r="H124" s="88"/>
      <c r="J124" s="95"/>
      <c r="K124" s="21"/>
      <c r="L124" s="21"/>
      <c r="M124" s="21"/>
      <c r="N124" s="21"/>
      <c r="O124" s="21"/>
      <c r="P124" s="21"/>
      <c r="Q124" s="88"/>
      <c r="S124" s="95"/>
      <c r="T124" s="21"/>
      <c r="U124" s="21"/>
      <c r="V124" s="21"/>
      <c r="W124" s="21"/>
      <c r="X124" s="21"/>
      <c r="Y124" s="21"/>
      <c r="Z124" s="88"/>
      <c r="AB124" s="95"/>
      <c r="AC124" s="21"/>
      <c r="AD124" s="21"/>
      <c r="AE124" s="21"/>
      <c r="AF124" s="21"/>
      <c r="AG124" s="21"/>
      <c r="AH124" s="21"/>
      <c r="AI124" s="88"/>
    </row>
    <row r="125" spans="1:42" ht="14.25">
      <c r="A125" s="95"/>
      <c r="B125" s="21"/>
      <c r="C125" s="21"/>
      <c r="D125" s="21"/>
      <c r="E125" s="21"/>
      <c r="F125" s="21"/>
      <c r="G125" s="21"/>
      <c r="H125" s="88"/>
      <c r="J125" s="95"/>
      <c r="K125" s="21"/>
      <c r="L125" s="21"/>
      <c r="M125" s="21"/>
      <c r="N125" s="21"/>
      <c r="O125" s="21"/>
      <c r="P125" s="21"/>
      <c r="Q125" s="88"/>
      <c r="S125" s="95"/>
      <c r="T125" s="21"/>
      <c r="U125" s="21"/>
      <c r="V125" s="21"/>
      <c r="W125" s="21"/>
      <c r="X125" s="21"/>
      <c r="Y125" s="21"/>
      <c r="Z125" s="88"/>
      <c r="AB125" s="95"/>
      <c r="AC125" s="21"/>
      <c r="AD125" s="21"/>
      <c r="AE125" s="21"/>
      <c r="AF125" s="21"/>
      <c r="AG125" s="21"/>
      <c r="AH125" s="21"/>
      <c r="AI125" s="88"/>
    </row>
    <row r="126" spans="1:42" ht="23.25">
      <c r="A126" s="335" t="s">
        <v>153</v>
      </c>
      <c r="B126" s="335"/>
      <c r="C126" s="335"/>
      <c r="D126" s="335"/>
      <c r="E126" s="335"/>
      <c r="F126" s="335"/>
      <c r="G126" s="335"/>
      <c r="H126" s="335"/>
      <c r="J126" s="335" t="s">
        <v>153</v>
      </c>
      <c r="K126" s="335"/>
      <c r="L126" s="335"/>
      <c r="M126" s="335"/>
      <c r="N126" s="335"/>
      <c r="O126" s="335"/>
      <c r="P126" s="335"/>
      <c r="Q126" s="335"/>
      <c r="S126" s="335" t="s">
        <v>153</v>
      </c>
      <c r="T126" s="335"/>
      <c r="U126" s="335"/>
      <c r="V126" s="335"/>
      <c r="W126" s="335"/>
      <c r="X126" s="335"/>
      <c r="Y126" s="335"/>
      <c r="Z126" s="335"/>
      <c r="AB126" s="335" t="s">
        <v>153</v>
      </c>
      <c r="AC126" s="335"/>
      <c r="AD126" s="335"/>
      <c r="AE126" s="335"/>
      <c r="AF126" s="335"/>
      <c r="AG126" s="335"/>
      <c r="AH126" s="335"/>
      <c r="AI126" s="335"/>
    </row>
    <row r="127" spans="1:42" ht="14.25">
      <c r="A127" s="95"/>
      <c r="B127" s="21"/>
      <c r="C127" s="21"/>
      <c r="D127" s="21"/>
      <c r="E127" s="21"/>
      <c r="F127" s="21"/>
      <c r="G127" s="21"/>
      <c r="H127" s="88"/>
      <c r="J127" s="95"/>
      <c r="K127" s="21"/>
      <c r="L127" s="21"/>
      <c r="M127" s="21"/>
      <c r="N127" s="21"/>
      <c r="O127" s="21"/>
      <c r="P127" s="21"/>
      <c r="Q127" s="88"/>
      <c r="S127" s="95"/>
      <c r="T127" s="21"/>
      <c r="U127" s="21"/>
      <c r="V127" s="21"/>
      <c r="W127" s="21"/>
      <c r="X127" s="21"/>
      <c r="Y127" s="21"/>
      <c r="Z127" s="88"/>
      <c r="AB127" s="95"/>
      <c r="AC127" s="21"/>
      <c r="AD127" s="21"/>
      <c r="AE127" s="21"/>
      <c r="AF127" s="21"/>
      <c r="AG127" s="21"/>
      <c r="AH127" s="21"/>
      <c r="AI127" s="88"/>
    </row>
    <row r="128" spans="1:42" ht="21">
      <c r="A128" s="66"/>
      <c r="B128" s="351" t="s">
        <v>154</v>
      </c>
      <c r="C128" s="351"/>
      <c r="D128" s="351" t="s">
        <v>155</v>
      </c>
      <c r="E128" s="351"/>
      <c r="F128" s="351" t="s">
        <v>156</v>
      </c>
      <c r="G128" s="351"/>
      <c r="H128" s="96" t="s">
        <v>157</v>
      </c>
      <c r="J128" s="66"/>
      <c r="K128" s="351" t="s">
        <v>154</v>
      </c>
      <c r="L128" s="351"/>
      <c r="M128" s="351" t="s">
        <v>155</v>
      </c>
      <c r="N128" s="351"/>
      <c r="O128" s="351" t="s">
        <v>156</v>
      </c>
      <c r="P128" s="351"/>
      <c r="Q128" s="96" t="s">
        <v>157</v>
      </c>
      <c r="S128" s="66"/>
      <c r="T128" s="351" t="s">
        <v>154</v>
      </c>
      <c r="U128" s="351"/>
      <c r="V128" s="351" t="s">
        <v>155</v>
      </c>
      <c r="W128" s="351"/>
      <c r="X128" s="351" t="s">
        <v>156</v>
      </c>
      <c r="Y128" s="351"/>
      <c r="Z128" s="96" t="s">
        <v>157</v>
      </c>
      <c r="AB128" s="66"/>
      <c r="AC128" s="351" t="s">
        <v>154</v>
      </c>
      <c r="AD128" s="351"/>
      <c r="AE128" s="351" t="s">
        <v>155</v>
      </c>
      <c r="AF128" s="351"/>
      <c r="AG128" s="351" t="s">
        <v>156</v>
      </c>
      <c r="AH128" s="351"/>
      <c r="AI128" s="96" t="s">
        <v>157</v>
      </c>
    </row>
    <row r="129" spans="1:35" ht="21">
      <c r="A129" s="68"/>
      <c r="B129" s="97" t="s">
        <v>158</v>
      </c>
      <c r="C129" s="98" t="s">
        <v>159</v>
      </c>
      <c r="D129" s="97" t="s">
        <v>158</v>
      </c>
      <c r="E129" s="99" t="s">
        <v>159</v>
      </c>
      <c r="F129" s="97" t="s">
        <v>158</v>
      </c>
      <c r="G129" s="99" t="s">
        <v>159</v>
      </c>
      <c r="H129" s="100"/>
      <c r="J129" s="68"/>
      <c r="K129" s="97" t="s">
        <v>158</v>
      </c>
      <c r="L129" s="98" t="s">
        <v>159</v>
      </c>
      <c r="M129" s="97" t="s">
        <v>158</v>
      </c>
      <c r="N129" s="99" t="s">
        <v>159</v>
      </c>
      <c r="O129" s="97" t="s">
        <v>158</v>
      </c>
      <c r="P129" s="99" t="s">
        <v>159</v>
      </c>
      <c r="Q129" s="100"/>
      <c r="S129" s="68"/>
      <c r="T129" s="97" t="s">
        <v>158</v>
      </c>
      <c r="U129" s="98" t="s">
        <v>159</v>
      </c>
      <c r="V129" s="97" t="s">
        <v>158</v>
      </c>
      <c r="W129" s="99" t="s">
        <v>159</v>
      </c>
      <c r="X129" s="97" t="s">
        <v>158</v>
      </c>
      <c r="Y129" s="99" t="s">
        <v>159</v>
      </c>
      <c r="Z129" s="100"/>
      <c r="AB129" s="68"/>
      <c r="AC129" s="97" t="s">
        <v>158</v>
      </c>
      <c r="AD129" s="98" t="s">
        <v>159</v>
      </c>
      <c r="AE129" s="97" t="s">
        <v>158</v>
      </c>
      <c r="AF129" s="99" t="s">
        <v>159</v>
      </c>
      <c r="AG129" s="97" t="s">
        <v>158</v>
      </c>
      <c r="AH129" s="99" t="s">
        <v>159</v>
      </c>
      <c r="AI129" s="100"/>
    </row>
    <row r="130" spans="1:35">
      <c r="A130" s="22" t="s">
        <v>160</v>
      </c>
      <c r="B130" s="22">
        <f>E19</f>
        <v>22200</v>
      </c>
      <c r="C130" s="36">
        <v>20416.669999999998</v>
      </c>
      <c r="D130" s="22">
        <f>D12</f>
        <v>0</v>
      </c>
      <c r="E130" s="36">
        <f>D130</f>
        <v>0</v>
      </c>
      <c r="F130" s="22">
        <v>0</v>
      </c>
      <c r="G130" s="36">
        <f>F130</f>
        <v>0</v>
      </c>
      <c r="H130" s="101">
        <f>H12</f>
        <v>0</v>
      </c>
      <c r="J130" s="22" t="s">
        <v>160</v>
      </c>
      <c r="K130" s="22">
        <f>B3</f>
        <v>0</v>
      </c>
      <c r="L130" s="36">
        <v>28629.17</v>
      </c>
      <c r="M130" s="22">
        <f>D3</f>
        <v>0</v>
      </c>
      <c r="N130" s="36">
        <f>M130</f>
        <v>0</v>
      </c>
      <c r="O130" s="22" t="str">
        <f>F3</f>
        <v xml:space="preserve"> </v>
      </c>
      <c r="P130" s="36" t="str">
        <f>O130</f>
        <v xml:space="preserve"> </v>
      </c>
      <c r="Q130" s="101">
        <f>H3</f>
        <v>0</v>
      </c>
      <c r="S130" s="22" t="s">
        <v>160</v>
      </c>
      <c r="T130" s="22">
        <f>B3</f>
        <v>0</v>
      </c>
      <c r="U130" s="36">
        <f>T130</f>
        <v>0</v>
      </c>
      <c r="V130" s="22">
        <f>D3</f>
        <v>0</v>
      </c>
      <c r="W130" s="36">
        <f>V130</f>
        <v>0</v>
      </c>
      <c r="X130" s="22" t="str">
        <f>F3</f>
        <v xml:space="preserve"> </v>
      </c>
      <c r="Y130" s="36" t="str">
        <f>X130</f>
        <v xml:space="preserve"> </v>
      </c>
      <c r="Z130" s="101">
        <f>H3</f>
        <v>0</v>
      </c>
      <c r="AB130" s="22" t="s">
        <v>160</v>
      </c>
      <c r="AC130" s="22">
        <f>B3</f>
        <v>0</v>
      </c>
      <c r="AD130" s="36">
        <f>AC130</f>
        <v>0</v>
      </c>
      <c r="AE130" s="22">
        <f>D3</f>
        <v>0</v>
      </c>
      <c r="AF130" s="36">
        <f>AE130</f>
        <v>0</v>
      </c>
      <c r="AG130" s="22" t="str">
        <f>F3</f>
        <v xml:space="preserve"> </v>
      </c>
      <c r="AH130" s="36" t="str">
        <f>AG130</f>
        <v xml:space="preserve"> </v>
      </c>
      <c r="AI130" s="101">
        <f>H3</f>
        <v>0</v>
      </c>
    </row>
    <row r="131" spans="1:35">
      <c r="A131" s="27" t="s">
        <v>161</v>
      </c>
      <c r="B131" s="102">
        <v>0</v>
      </c>
      <c r="C131" s="103">
        <f>B131</f>
        <v>0</v>
      </c>
      <c r="D131" s="102">
        <v>0</v>
      </c>
      <c r="E131" s="103">
        <f>D131</f>
        <v>0</v>
      </c>
      <c r="F131" s="102">
        <v>0</v>
      </c>
      <c r="G131" s="104">
        <f>F131</f>
        <v>0</v>
      </c>
      <c r="H131" s="105"/>
      <c r="J131" s="27" t="s">
        <v>161</v>
      </c>
      <c r="K131" s="102">
        <f>B4</f>
        <v>22200</v>
      </c>
      <c r="L131" s="106">
        <v>0</v>
      </c>
      <c r="M131" s="102">
        <f>D4</f>
        <v>0</v>
      </c>
      <c r="N131" s="106">
        <f>M131</f>
        <v>0</v>
      </c>
      <c r="O131" s="102" t="str">
        <f>F4</f>
        <v xml:space="preserve"> </v>
      </c>
      <c r="P131" s="106" t="str">
        <f>O131</f>
        <v xml:space="preserve"> </v>
      </c>
      <c r="Q131" s="105"/>
      <c r="S131" s="27" t="s">
        <v>161</v>
      </c>
      <c r="T131" s="102">
        <f>B4</f>
        <v>22200</v>
      </c>
      <c r="U131" s="106">
        <v>0.25</v>
      </c>
      <c r="V131" s="102">
        <f>D4</f>
        <v>0</v>
      </c>
      <c r="W131" s="106">
        <f>V131</f>
        <v>0</v>
      </c>
      <c r="X131" s="102" t="str">
        <f>F4</f>
        <v xml:space="preserve"> </v>
      </c>
      <c r="Y131" s="106" t="str">
        <f>X131</f>
        <v xml:space="preserve"> </v>
      </c>
      <c r="Z131" s="105"/>
      <c r="AB131" s="27" t="s">
        <v>161</v>
      </c>
      <c r="AC131" s="102">
        <f>B4</f>
        <v>22200</v>
      </c>
      <c r="AD131" s="106">
        <v>0.25</v>
      </c>
      <c r="AE131" s="102">
        <f>D4</f>
        <v>0</v>
      </c>
      <c r="AF131" s="106">
        <f>AE131</f>
        <v>0</v>
      </c>
      <c r="AG131" s="102" t="str">
        <f>F4</f>
        <v xml:space="preserve"> </v>
      </c>
      <c r="AH131" s="106" t="str">
        <f>AG131</f>
        <v xml:space="preserve"> </v>
      </c>
      <c r="AI131" s="105"/>
    </row>
    <row r="132" spans="1:35">
      <c r="A132" s="27" t="s">
        <v>162</v>
      </c>
      <c r="B132" s="27">
        <v>0</v>
      </c>
      <c r="C132" s="36">
        <f>B132</f>
        <v>0</v>
      </c>
      <c r="D132" s="27">
        <v>0</v>
      </c>
      <c r="E132" s="36">
        <f>D132</f>
        <v>0</v>
      </c>
      <c r="F132" s="27">
        <v>0</v>
      </c>
      <c r="G132" s="36">
        <f>F132</f>
        <v>0</v>
      </c>
      <c r="H132" s="29"/>
      <c r="J132" s="27" t="s">
        <v>162</v>
      </c>
      <c r="K132" s="27">
        <f>B5</f>
        <v>0</v>
      </c>
      <c r="L132" s="36">
        <v>0</v>
      </c>
      <c r="M132" s="27">
        <f>D5</f>
        <v>0</v>
      </c>
      <c r="N132" s="36">
        <f>M132</f>
        <v>0</v>
      </c>
      <c r="O132" s="27" t="str">
        <f>F5</f>
        <v xml:space="preserve"> </v>
      </c>
      <c r="P132" s="36" t="str">
        <f>O132</f>
        <v xml:space="preserve"> </v>
      </c>
      <c r="Q132" s="29"/>
      <c r="S132" s="27" t="s">
        <v>162</v>
      </c>
      <c r="T132" s="27">
        <f>B5</f>
        <v>0</v>
      </c>
      <c r="U132" s="36">
        <v>0</v>
      </c>
      <c r="V132" s="27">
        <f>D5</f>
        <v>0</v>
      </c>
      <c r="W132" s="36">
        <f>V132</f>
        <v>0</v>
      </c>
      <c r="X132" s="27" t="str">
        <f>F5</f>
        <v xml:space="preserve"> </v>
      </c>
      <c r="Y132" s="36" t="str">
        <f>X132</f>
        <v xml:space="preserve"> </v>
      </c>
      <c r="Z132" s="29"/>
      <c r="AB132" s="27" t="s">
        <v>162</v>
      </c>
      <c r="AC132" s="27">
        <f>B5</f>
        <v>0</v>
      </c>
      <c r="AD132" s="36">
        <v>0</v>
      </c>
      <c r="AE132" s="27">
        <f>D5</f>
        <v>0</v>
      </c>
      <c r="AF132" s="36">
        <f>AE132</f>
        <v>0</v>
      </c>
      <c r="AG132" s="27" t="str">
        <f>F5</f>
        <v xml:space="preserve"> </v>
      </c>
      <c r="AH132" s="36" t="str">
        <f>AG132</f>
        <v xml:space="preserve"> </v>
      </c>
      <c r="AI132" s="29"/>
    </row>
    <row r="133" spans="1:35">
      <c r="A133" s="27" t="s">
        <v>163</v>
      </c>
      <c r="B133" s="27">
        <f>(B130*B131)+B132</f>
        <v>0</v>
      </c>
      <c r="C133" s="24">
        <f>(C130*C131/100)+C132</f>
        <v>0</v>
      </c>
      <c r="D133" s="27">
        <f>(D130*D131)+D132</f>
        <v>0</v>
      </c>
      <c r="E133" s="24">
        <f>(E130*E131/100)+E132</f>
        <v>0</v>
      </c>
      <c r="F133" s="27">
        <f>(F130*F131)+F132</f>
        <v>0</v>
      </c>
      <c r="G133" s="24">
        <f>(G130*G131/100)+G132</f>
        <v>0</v>
      </c>
      <c r="H133" s="29"/>
      <c r="J133" s="27" t="s">
        <v>163</v>
      </c>
      <c r="K133" s="27">
        <f t="shared" ref="K133:P133" si="0">(K130*K131)+K132</f>
        <v>0</v>
      </c>
      <c r="L133" s="24">
        <f t="shared" si="0"/>
        <v>0</v>
      </c>
      <c r="M133" s="27">
        <f t="shared" si="0"/>
        <v>0</v>
      </c>
      <c r="N133" s="24">
        <f t="shared" si="0"/>
        <v>0</v>
      </c>
      <c r="O133" s="27" t="e">
        <f t="shared" si="0"/>
        <v>#VALUE!</v>
      </c>
      <c r="P133" s="24" t="e">
        <f t="shared" si="0"/>
        <v>#VALUE!</v>
      </c>
      <c r="Q133" s="29"/>
      <c r="S133" s="27" t="s">
        <v>163</v>
      </c>
      <c r="T133" s="27">
        <f t="shared" ref="T133:Y133" si="1">(T130*T131)+T132</f>
        <v>0</v>
      </c>
      <c r="U133" s="24">
        <f t="shared" si="1"/>
        <v>0</v>
      </c>
      <c r="V133" s="27">
        <f t="shared" si="1"/>
        <v>0</v>
      </c>
      <c r="W133" s="24">
        <f t="shared" si="1"/>
        <v>0</v>
      </c>
      <c r="X133" s="27" t="e">
        <f t="shared" si="1"/>
        <v>#VALUE!</v>
      </c>
      <c r="Y133" s="24" t="e">
        <f t="shared" si="1"/>
        <v>#VALUE!</v>
      </c>
      <c r="Z133" s="29"/>
      <c r="AB133" s="27" t="s">
        <v>163</v>
      </c>
      <c r="AC133" s="27">
        <f t="shared" ref="AC133:AH133" si="2">(AC130*AC131)+AC132</f>
        <v>0</v>
      </c>
      <c r="AD133" s="24">
        <f t="shared" si="2"/>
        <v>0</v>
      </c>
      <c r="AE133" s="27">
        <f t="shared" si="2"/>
        <v>0</v>
      </c>
      <c r="AF133" s="24">
        <f t="shared" si="2"/>
        <v>0</v>
      </c>
      <c r="AG133" s="27" t="e">
        <f t="shared" si="2"/>
        <v>#VALUE!</v>
      </c>
      <c r="AH133" s="24" t="e">
        <f t="shared" si="2"/>
        <v>#VALUE!</v>
      </c>
      <c r="AI133" s="29"/>
    </row>
    <row r="134" spans="1:35">
      <c r="A134" s="49" t="s">
        <v>164</v>
      </c>
      <c r="B134" s="49">
        <f t="shared" ref="B134:G134" si="3">B130-B133</f>
        <v>22200</v>
      </c>
      <c r="C134" s="57">
        <f t="shared" si="3"/>
        <v>20416.669999999998</v>
      </c>
      <c r="D134" s="49">
        <f t="shared" si="3"/>
        <v>0</v>
      </c>
      <c r="E134" s="57">
        <f t="shared" si="3"/>
        <v>0</v>
      </c>
      <c r="F134" s="49">
        <f t="shared" si="3"/>
        <v>0</v>
      </c>
      <c r="G134" s="57">
        <f t="shared" si="3"/>
        <v>0</v>
      </c>
      <c r="H134" s="57"/>
      <c r="J134" s="49" t="s">
        <v>164</v>
      </c>
      <c r="K134" s="49">
        <f t="shared" ref="K134:P134" si="4">K130-K133</f>
        <v>0</v>
      </c>
      <c r="L134" s="57">
        <f t="shared" si="4"/>
        <v>28629.17</v>
      </c>
      <c r="M134" s="49">
        <f t="shared" si="4"/>
        <v>0</v>
      </c>
      <c r="N134" s="57">
        <f t="shared" si="4"/>
        <v>0</v>
      </c>
      <c r="O134" s="49" t="e">
        <f t="shared" si="4"/>
        <v>#VALUE!</v>
      </c>
      <c r="P134" s="57" t="e">
        <f t="shared" si="4"/>
        <v>#VALUE!</v>
      </c>
      <c r="Q134" s="57"/>
      <c r="S134" s="49" t="s">
        <v>164</v>
      </c>
      <c r="T134" s="49">
        <f t="shared" ref="T134:Y134" si="5">T130-T133</f>
        <v>0</v>
      </c>
      <c r="U134" s="57">
        <f t="shared" si="5"/>
        <v>0</v>
      </c>
      <c r="V134" s="49">
        <f t="shared" si="5"/>
        <v>0</v>
      </c>
      <c r="W134" s="57">
        <f t="shared" si="5"/>
        <v>0</v>
      </c>
      <c r="X134" s="49" t="e">
        <f t="shared" si="5"/>
        <v>#VALUE!</v>
      </c>
      <c r="Y134" s="57" t="e">
        <f t="shared" si="5"/>
        <v>#VALUE!</v>
      </c>
      <c r="Z134" s="57"/>
      <c r="AB134" s="49" t="s">
        <v>164</v>
      </c>
      <c r="AC134" s="49">
        <f t="shared" ref="AC134:AH134" si="6">AC130-AC133</f>
        <v>0</v>
      </c>
      <c r="AD134" s="57">
        <f t="shared" si="6"/>
        <v>0</v>
      </c>
      <c r="AE134" s="49">
        <f t="shared" si="6"/>
        <v>0</v>
      </c>
      <c r="AF134" s="57">
        <f t="shared" si="6"/>
        <v>0</v>
      </c>
      <c r="AG134" s="49" t="e">
        <f t="shared" si="6"/>
        <v>#VALUE!</v>
      </c>
      <c r="AH134" s="57" t="e">
        <f t="shared" si="6"/>
        <v>#VALUE!</v>
      </c>
      <c r="AI134" s="57"/>
    </row>
    <row r="135" spans="1:35">
      <c r="A135" s="27"/>
      <c r="B135" s="28"/>
      <c r="C135" s="28"/>
      <c r="D135" s="28"/>
      <c r="E135" s="28"/>
      <c r="F135" s="28"/>
      <c r="G135" s="28"/>
      <c r="H135" s="29"/>
      <c r="J135" s="27"/>
      <c r="K135" s="28"/>
      <c r="L135" s="28"/>
      <c r="M135" s="28"/>
      <c r="N135" s="28"/>
      <c r="O135" s="28"/>
      <c r="P135" s="28"/>
      <c r="Q135" s="29"/>
      <c r="S135" s="27"/>
      <c r="T135" s="28"/>
      <c r="U135" s="28"/>
      <c r="V135" s="28"/>
      <c r="W135" s="28"/>
      <c r="X135" s="28"/>
      <c r="Y135" s="28"/>
      <c r="Z135" s="29"/>
      <c r="AB135" s="27"/>
      <c r="AC135" s="28"/>
      <c r="AD135" s="28"/>
      <c r="AE135" s="28"/>
      <c r="AF135" s="28"/>
      <c r="AG135" s="28"/>
      <c r="AH135" s="28"/>
      <c r="AI135" s="29"/>
    </row>
    <row r="136" spans="1:35" ht="21">
      <c r="A136" s="107"/>
      <c r="B136" s="108"/>
      <c r="C136" s="108"/>
      <c r="D136" s="108"/>
      <c r="E136" s="108"/>
      <c r="F136" s="108"/>
      <c r="G136" s="109" t="s">
        <v>158</v>
      </c>
      <c r="H136" s="110" t="s">
        <v>159</v>
      </c>
      <c r="J136" s="107"/>
      <c r="K136" s="108"/>
      <c r="L136" s="108"/>
      <c r="M136" s="108"/>
      <c r="N136" s="108"/>
      <c r="O136" s="108"/>
      <c r="P136" s="109" t="s">
        <v>158</v>
      </c>
      <c r="Q136" s="110" t="s">
        <v>159</v>
      </c>
      <c r="S136" s="107"/>
      <c r="T136" s="108"/>
      <c r="U136" s="108"/>
      <c r="V136" s="108"/>
      <c r="W136" s="108"/>
      <c r="X136" s="108"/>
      <c r="Y136" s="109" t="s">
        <v>158</v>
      </c>
      <c r="Z136" s="110" t="s">
        <v>159</v>
      </c>
      <c r="AB136" s="107"/>
      <c r="AC136" s="108"/>
      <c r="AD136" s="108"/>
      <c r="AE136" s="108"/>
      <c r="AF136" s="108"/>
      <c r="AG136" s="108"/>
      <c r="AH136" s="109" t="s">
        <v>158</v>
      </c>
      <c r="AI136" s="110" t="s">
        <v>159</v>
      </c>
    </row>
    <row r="137" spans="1:35">
      <c r="A137" s="111" t="s">
        <v>165</v>
      </c>
      <c r="B137" s="112"/>
      <c r="C137" s="112"/>
      <c r="D137" s="112"/>
      <c r="E137" s="112"/>
      <c r="F137" s="112"/>
      <c r="G137" s="113">
        <f>H130</f>
        <v>0</v>
      </c>
      <c r="H137" s="114">
        <f>SUM(H140:H142)</f>
        <v>0</v>
      </c>
      <c r="J137" s="111" t="s">
        <v>165</v>
      </c>
      <c r="K137" s="112"/>
      <c r="L137" s="112"/>
      <c r="M137" s="112"/>
      <c r="N137" s="112"/>
      <c r="O137" s="112"/>
      <c r="P137" s="113">
        <f>Q130</f>
        <v>0</v>
      </c>
      <c r="Q137" s="114">
        <f>SUM(Q140:Q142)</f>
        <v>0</v>
      </c>
      <c r="S137" s="111" t="s">
        <v>165</v>
      </c>
      <c r="T137" s="112"/>
      <c r="U137" s="112"/>
      <c r="V137" s="112"/>
      <c r="W137" s="112"/>
      <c r="X137" s="112"/>
      <c r="Y137" s="113">
        <f>Z130</f>
        <v>0</v>
      </c>
      <c r="Z137" s="114">
        <f>SUM(Z140:Z142)</f>
        <v>0</v>
      </c>
      <c r="AB137" s="111" t="s">
        <v>165</v>
      </c>
      <c r="AC137" s="112"/>
      <c r="AD137" s="112"/>
      <c r="AE137" s="112"/>
      <c r="AF137" s="112"/>
      <c r="AG137" s="112"/>
      <c r="AH137" s="113">
        <f>AI130</f>
        <v>0</v>
      </c>
      <c r="AI137" s="114">
        <f>SUM(AI140:AI142)</f>
        <v>0</v>
      </c>
    </row>
    <row r="138" spans="1:35">
      <c r="A138" s="27"/>
      <c r="B138" s="28"/>
      <c r="C138" s="28"/>
      <c r="D138" s="28"/>
      <c r="E138" s="28"/>
      <c r="F138" s="28"/>
      <c r="G138" s="115"/>
      <c r="H138" s="116"/>
      <c r="J138" s="27"/>
      <c r="K138" s="28"/>
      <c r="L138" s="28"/>
      <c r="M138" s="28"/>
      <c r="N138" s="28"/>
      <c r="O138" s="28"/>
      <c r="P138" s="115"/>
      <c r="Q138" s="116"/>
      <c r="S138" s="27"/>
      <c r="T138" s="28"/>
      <c r="U138" s="28"/>
      <c r="V138" s="28"/>
      <c r="W138" s="28"/>
      <c r="X138" s="28"/>
      <c r="Y138" s="115"/>
      <c r="Z138" s="116"/>
      <c r="AB138" s="27"/>
      <c r="AC138" s="28"/>
      <c r="AD138" s="28"/>
      <c r="AE138" s="28"/>
      <c r="AF138" s="28"/>
      <c r="AG138" s="28"/>
      <c r="AH138" s="115"/>
      <c r="AI138" s="116"/>
    </row>
    <row r="139" spans="1:35">
      <c r="A139" s="117" t="s">
        <v>166</v>
      </c>
      <c r="B139" s="352" t="s">
        <v>167</v>
      </c>
      <c r="C139" s="352"/>
      <c r="D139" s="352" t="s">
        <v>168</v>
      </c>
      <c r="E139" s="352"/>
      <c r="F139" s="352" t="s">
        <v>162</v>
      </c>
      <c r="G139" s="352"/>
      <c r="H139" s="116" t="s">
        <v>159</v>
      </c>
      <c r="J139" s="117" t="s">
        <v>166</v>
      </c>
      <c r="K139" s="353" t="s">
        <v>167</v>
      </c>
      <c r="L139" s="353"/>
      <c r="M139" s="352" t="s">
        <v>168</v>
      </c>
      <c r="N139" s="352"/>
      <c r="O139" s="352" t="s">
        <v>162</v>
      </c>
      <c r="P139" s="352"/>
      <c r="Q139" s="116" t="s">
        <v>159</v>
      </c>
      <c r="S139" s="117" t="s">
        <v>166</v>
      </c>
      <c r="T139" s="352" t="s">
        <v>167</v>
      </c>
      <c r="U139" s="352"/>
      <c r="V139" s="352" t="s">
        <v>168</v>
      </c>
      <c r="W139" s="352"/>
      <c r="X139" s="352" t="s">
        <v>162</v>
      </c>
      <c r="Y139" s="352"/>
      <c r="Z139" s="116" t="s">
        <v>159</v>
      </c>
      <c r="AB139" s="117" t="s">
        <v>166</v>
      </c>
      <c r="AC139" s="352" t="s">
        <v>167</v>
      </c>
      <c r="AD139" s="352"/>
      <c r="AE139" s="352" t="s">
        <v>168</v>
      </c>
      <c r="AF139" s="352"/>
      <c r="AG139" s="352" t="s">
        <v>162</v>
      </c>
      <c r="AH139" s="352"/>
      <c r="AI139" s="116" t="s">
        <v>159</v>
      </c>
    </row>
    <row r="140" spans="1:35">
      <c r="A140" s="27" t="s">
        <v>169</v>
      </c>
      <c r="B140" s="354">
        <f>G137</f>
        <v>0</v>
      </c>
      <c r="C140" s="354"/>
      <c r="D140" s="355">
        <v>0</v>
      </c>
      <c r="E140" s="355"/>
      <c r="F140" s="354">
        <v>0</v>
      </c>
      <c r="G140" s="354"/>
      <c r="H140" s="119">
        <f>(B140-(B140*D140))-F140</f>
        <v>0</v>
      </c>
      <c r="J140" s="27" t="s">
        <v>169</v>
      </c>
      <c r="K140" s="354">
        <f>P137</f>
        <v>0</v>
      </c>
      <c r="L140" s="354"/>
      <c r="M140" s="355">
        <v>0</v>
      </c>
      <c r="N140" s="355"/>
      <c r="O140" s="354">
        <v>0</v>
      </c>
      <c r="P140" s="354"/>
      <c r="Q140" s="119">
        <f>(K140-(K140*M140))-O140</f>
        <v>0</v>
      </c>
      <c r="S140" s="27" t="s">
        <v>169</v>
      </c>
      <c r="T140" s="354">
        <f>Y137</f>
        <v>0</v>
      </c>
      <c r="U140" s="354"/>
      <c r="V140" s="355">
        <v>0</v>
      </c>
      <c r="W140" s="355"/>
      <c r="X140" s="354">
        <v>0</v>
      </c>
      <c r="Y140" s="354"/>
      <c r="Z140" s="119">
        <f>(T140-(T140*V140))-X140</f>
        <v>0</v>
      </c>
      <c r="AB140" s="27" t="s">
        <v>169</v>
      </c>
      <c r="AC140" s="354">
        <f>AH137</f>
        <v>0</v>
      </c>
      <c r="AD140" s="354"/>
      <c r="AE140" s="355">
        <v>0</v>
      </c>
      <c r="AF140" s="355"/>
      <c r="AG140" s="354">
        <v>0</v>
      </c>
      <c r="AH140" s="354"/>
      <c r="AI140" s="119">
        <f>(AC140-(AC140*AE140))-AG140</f>
        <v>0</v>
      </c>
    </row>
    <row r="141" spans="1:35">
      <c r="A141" s="27" t="s">
        <v>170</v>
      </c>
      <c r="B141" s="354">
        <v>0</v>
      </c>
      <c r="C141" s="354"/>
      <c r="D141" s="355">
        <v>0</v>
      </c>
      <c r="E141" s="355"/>
      <c r="F141" s="354">
        <v>0</v>
      </c>
      <c r="G141" s="354"/>
      <c r="H141" s="119">
        <f>(B141-(B141*D141))-F141</f>
        <v>0</v>
      </c>
      <c r="J141" s="27" t="s">
        <v>170</v>
      </c>
      <c r="K141" s="354">
        <v>0</v>
      </c>
      <c r="L141" s="354"/>
      <c r="M141" s="355">
        <v>0</v>
      </c>
      <c r="N141" s="355"/>
      <c r="O141" s="354">
        <v>0</v>
      </c>
      <c r="P141" s="354"/>
      <c r="Q141" s="119">
        <f>(K141-(K141*M141))-O141</f>
        <v>0</v>
      </c>
      <c r="S141" s="27" t="s">
        <v>170</v>
      </c>
      <c r="T141" s="354">
        <v>0</v>
      </c>
      <c r="U141" s="354"/>
      <c r="V141" s="355">
        <v>0</v>
      </c>
      <c r="W141" s="355"/>
      <c r="X141" s="354">
        <v>0</v>
      </c>
      <c r="Y141" s="354"/>
      <c r="Z141" s="119">
        <f>(T141-(T141*V141))-X141</f>
        <v>0</v>
      </c>
      <c r="AB141" s="27" t="s">
        <v>170</v>
      </c>
      <c r="AC141" s="354">
        <v>0</v>
      </c>
      <c r="AD141" s="354"/>
      <c r="AE141" s="355">
        <v>0</v>
      </c>
      <c r="AF141" s="355"/>
      <c r="AG141" s="354">
        <v>0</v>
      </c>
      <c r="AH141" s="354"/>
      <c r="AI141" s="119">
        <f>(AC141-(AC141*AE141))-AG141</f>
        <v>0</v>
      </c>
    </row>
    <row r="142" spans="1:35">
      <c r="A142" s="27" t="s">
        <v>171</v>
      </c>
      <c r="B142" s="354">
        <v>0</v>
      </c>
      <c r="C142" s="354"/>
      <c r="D142" s="355">
        <v>0</v>
      </c>
      <c r="E142" s="355"/>
      <c r="F142" s="354">
        <v>0</v>
      </c>
      <c r="G142" s="354"/>
      <c r="H142" s="119">
        <f>(B142-(B142*D142))-F142</f>
        <v>0</v>
      </c>
      <c r="J142" s="27" t="s">
        <v>171</v>
      </c>
      <c r="K142" s="354">
        <v>0</v>
      </c>
      <c r="L142" s="354"/>
      <c r="M142" s="355">
        <v>0</v>
      </c>
      <c r="N142" s="355"/>
      <c r="O142" s="354">
        <v>0</v>
      </c>
      <c r="P142" s="354"/>
      <c r="Q142" s="119">
        <f>(K142-(K142*M142))-O142</f>
        <v>0</v>
      </c>
      <c r="S142" s="27" t="s">
        <v>171</v>
      </c>
      <c r="T142" s="354">
        <v>0</v>
      </c>
      <c r="U142" s="354"/>
      <c r="V142" s="355">
        <v>0</v>
      </c>
      <c r="W142" s="355"/>
      <c r="X142" s="354">
        <v>0</v>
      </c>
      <c r="Y142" s="354"/>
      <c r="Z142" s="119">
        <f>(T142-(T142*V142))-X142</f>
        <v>0</v>
      </c>
      <c r="AB142" s="27" t="s">
        <v>171</v>
      </c>
      <c r="AC142" s="354">
        <v>0</v>
      </c>
      <c r="AD142" s="354"/>
      <c r="AE142" s="355">
        <v>0</v>
      </c>
      <c r="AF142" s="355"/>
      <c r="AG142" s="354">
        <v>0</v>
      </c>
      <c r="AH142" s="354"/>
      <c r="AI142" s="119">
        <f>(AC142-(AC142*AE142))-AG142</f>
        <v>0</v>
      </c>
    </row>
    <row r="143" spans="1:35">
      <c r="A143" s="27"/>
      <c r="B143" s="28"/>
      <c r="C143" s="28"/>
      <c r="D143" s="28"/>
      <c r="E143" s="28"/>
      <c r="F143" s="28"/>
      <c r="G143" s="115"/>
      <c r="H143" s="116"/>
      <c r="J143" s="27"/>
      <c r="K143" s="28"/>
      <c r="L143" s="28"/>
      <c r="M143" s="28"/>
      <c r="N143" s="28"/>
      <c r="O143" s="28"/>
      <c r="P143" s="115"/>
      <c r="Q143" s="116"/>
      <c r="S143" s="27"/>
      <c r="T143" s="28"/>
      <c r="U143" s="28"/>
      <c r="V143" s="28"/>
      <c r="W143" s="28"/>
      <c r="X143" s="28"/>
      <c r="Y143" s="115"/>
      <c r="Z143" s="116"/>
      <c r="AB143" s="27"/>
      <c r="AC143" s="28"/>
      <c r="AD143" s="28"/>
      <c r="AE143" s="28"/>
      <c r="AF143" s="28"/>
      <c r="AG143" s="28"/>
      <c r="AH143" s="115"/>
      <c r="AI143" s="116"/>
    </row>
    <row r="144" spans="1:35" ht="21">
      <c r="A144" s="356" t="s">
        <v>172</v>
      </c>
      <c r="B144" s="356"/>
      <c r="C144" s="356"/>
      <c r="D144" s="356"/>
      <c r="E144" s="356"/>
      <c r="F144" s="356"/>
      <c r="G144" s="109">
        <f>E21</f>
        <v>18500</v>
      </c>
      <c r="H144" s="120">
        <f>C134+E134+G134+H137</f>
        <v>20416.669999999998</v>
      </c>
      <c r="J144" s="356" t="s">
        <v>172</v>
      </c>
      <c r="K144" s="356"/>
      <c r="L144" s="356"/>
      <c r="M144" s="356"/>
      <c r="N144" s="356"/>
      <c r="O144" s="356"/>
      <c r="P144" s="109">
        <f t="shared" ref="P144:P151" si="7">H9</f>
        <v>0</v>
      </c>
      <c r="Q144" s="120" t="e">
        <f>L134+N134+P134+Q137</f>
        <v>#VALUE!</v>
      </c>
      <c r="S144" s="356" t="s">
        <v>172</v>
      </c>
      <c r="T144" s="356"/>
      <c r="U144" s="356"/>
      <c r="V144" s="356"/>
      <c r="W144" s="356"/>
      <c r="X144" s="356"/>
      <c r="Y144" s="109">
        <f t="shared" ref="Y144:Y151" si="8">H9</f>
        <v>0</v>
      </c>
      <c r="Z144" s="120" t="e">
        <f>U134+W134+Y134+Z137</f>
        <v>#VALUE!</v>
      </c>
      <c r="AB144" s="356" t="s">
        <v>172</v>
      </c>
      <c r="AC144" s="356"/>
      <c r="AD144" s="356"/>
      <c r="AE144" s="356"/>
      <c r="AF144" s="356"/>
      <c r="AG144" s="356"/>
      <c r="AH144" s="109">
        <f t="shared" ref="AH144:AH151" si="9">H9</f>
        <v>0</v>
      </c>
      <c r="AI144" s="120" t="e">
        <f>AD134+AF134+AH134+AI137</f>
        <v>#VALUE!</v>
      </c>
    </row>
    <row r="145" spans="1:35">
      <c r="A145" s="357" t="s">
        <v>173</v>
      </c>
      <c r="B145" s="357"/>
      <c r="C145" s="357"/>
      <c r="D145" s="357"/>
      <c r="E145" s="357"/>
      <c r="F145" s="357"/>
      <c r="G145" s="121">
        <f>H19</f>
        <v>0</v>
      </c>
      <c r="H145" s="29">
        <f>G145</f>
        <v>0</v>
      </c>
      <c r="J145" s="357" t="s">
        <v>173</v>
      </c>
      <c r="K145" s="357"/>
      <c r="L145" s="357"/>
      <c r="M145" s="357"/>
      <c r="N145" s="357"/>
      <c r="O145" s="357"/>
      <c r="P145" s="121">
        <f t="shared" si="7"/>
        <v>0</v>
      </c>
      <c r="Q145" s="29">
        <f>P145</f>
        <v>0</v>
      </c>
      <c r="S145" s="357" t="s">
        <v>173</v>
      </c>
      <c r="T145" s="357"/>
      <c r="U145" s="357"/>
      <c r="V145" s="357"/>
      <c r="W145" s="357"/>
      <c r="X145" s="357"/>
      <c r="Y145" s="121">
        <f t="shared" si="8"/>
        <v>0</v>
      </c>
      <c r="Z145" s="29">
        <f>Y145</f>
        <v>0</v>
      </c>
      <c r="AB145" s="357" t="s">
        <v>173</v>
      </c>
      <c r="AC145" s="357"/>
      <c r="AD145" s="357"/>
      <c r="AE145" s="357"/>
      <c r="AF145" s="357"/>
      <c r="AG145" s="357"/>
      <c r="AH145" s="121">
        <f t="shared" si="9"/>
        <v>0</v>
      </c>
      <c r="AI145" s="29">
        <f>AH145</f>
        <v>0</v>
      </c>
    </row>
    <row r="146" spans="1:35">
      <c r="A146" s="357" t="s">
        <v>174</v>
      </c>
      <c r="B146" s="357"/>
      <c r="C146" s="357"/>
      <c r="D146" s="357"/>
      <c r="E146" s="357"/>
      <c r="F146" s="357"/>
      <c r="G146" s="29">
        <f>(G144+G145)*20%</f>
        <v>3700</v>
      </c>
      <c r="H146" s="29">
        <f>(H144+H145)*20%</f>
        <v>4083.3339999999998</v>
      </c>
      <c r="J146" s="357" t="s">
        <v>174</v>
      </c>
      <c r="K146" s="357"/>
      <c r="L146" s="357"/>
      <c r="M146" s="357"/>
      <c r="N146" s="357"/>
      <c r="O146" s="357"/>
      <c r="P146" s="121">
        <f t="shared" si="7"/>
        <v>0</v>
      </c>
      <c r="Q146" s="29" t="e">
        <f>(Q144+Q145)*20%</f>
        <v>#VALUE!</v>
      </c>
      <c r="S146" s="357" t="s">
        <v>174</v>
      </c>
      <c r="T146" s="357"/>
      <c r="U146" s="357"/>
      <c r="V146" s="357"/>
      <c r="W146" s="357"/>
      <c r="X146" s="357"/>
      <c r="Y146" s="121">
        <f t="shared" si="8"/>
        <v>0</v>
      </c>
      <c r="Z146" s="29" t="e">
        <f>(Z144+Z145)*20%</f>
        <v>#VALUE!</v>
      </c>
      <c r="AB146" s="357" t="s">
        <v>174</v>
      </c>
      <c r="AC146" s="357"/>
      <c r="AD146" s="357"/>
      <c r="AE146" s="357"/>
      <c r="AF146" s="357"/>
      <c r="AG146" s="357"/>
      <c r="AH146" s="121">
        <f t="shared" si="9"/>
        <v>0</v>
      </c>
      <c r="AI146" s="29" t="e">
        <f>(AI144+AI145)*20%</f>
        <v>#VALUE!</v>
      </c>
    </row>
    <row r="147" spans="1:35">
      <c r="A147" s="357" t="s">
        <v>175</v>
      </c>
      <c r="B147" s="357"/>
      <c r="C147" s="357"/>
      <c r="D147" s="357"/>
      <c r="E147" s="357"/>
      <c r="F147" s="357"/>
      <c r="G147" s="121">
        <f>H21</f>
        <v>0</v>
      </c>
      <c r="H147" s="29">
        <v>0</v>
      </c>
      <c r="J147" s="357" t="s">
        <v>175</v>
      </c>
      <c r="K147" s="357"/>
      <c r="L147" s="357"/>
      <c r="M147" s="357"/>
      <c r="N147" s="357"/>
      <c r="O147" s="357"/>
      <c r="P147" s="121">
        <f t="shared" si="7"/>
        <v>0</v>
      </c>
      <c r="Q147" s="29">
        <f>P147</f>
        <v>0</v>
      </c>
      <c r="S147" s="357" t="s">
        <v>175</v>
      </c>
      <c r="T147" s="357"/>
      <c r="U147" s="357"/>
      <c r="V147" s="357"/>
      <c r="W147" s="357"/>
      <c r="X147" s="357"/>
      <c r="Y147" s="121">
        <f t="shared" si="8"/>
        <v>0</v>
      </c>
      <c r="Z147" s="29">
        <f>Y147</f>
        <v>0</v>
      </c>
      <c r="AB147" s="357" t="s">
        <v>175</v>
      </c>
      <c r="AC147" s="357"/>
      <c r="AD147" s="357"/>
      <c r="AE147" s="357"/>
      <c r="AF147" s="357"/>
      <c r="AG147" s="357"/>
      <c r="AH147" s="121">
        <f t="shared" si="9"/>
        <v>0</v>
      </c>
      <c r="AI147" s="29">
        <f>AH147</f>
        <v>0</v>
      </c>
    </row>
    <row r="148" spans="1:35">
      <c r="A148" s="357" t="s">
        <v>176</v>
      </c>
      <c r="B148" s="357"/>
      <c r="C148" s="357"/>
      <c r="D148" s="357"/>
      <c r="E148" s="357"/>
      <c r="F148" s="357"/>
      <c r="G148" s="121">
        <f>H22</f>
        <v>0</v>
      </c>
      <c r="H148" s="29">
        <f>G148</f>
        <v>0</v>
      </c>
      <c r="J148" s="357" t="s">
        <v>176</v>
      </c>
      <c r="K148" s="357"/>
      <c r="L148" s="357"/>
      <c r="M148" s="357"/>
      <c r="N148" s="357"/>
      <c r="O148" s="357"/>
      <c r="P148" s="121">
        <f t="shared" si="7"/>
        <v>0</v>
      </c>
      <c r="Q148" s="29">
        <f>P148</f>
        <v>0</v>
      </c>
      <c r="S148" s="357" t="s">
        <v>176</v>
      </c>
      <c r="T148" s="357"/>
      <c r="U148" s="357"/>
      <c r="V148" s="357"/>
      <c r="W148" s="357"/>
      <c r="X148" s="357"/>
      <c r="Y148" s="121">
        <f t="shared" si="8"/>
        <v>0</v>
      </c>
      <c r="Z148" s="29">
        <f>Y148</f>
        <v>0</v>
      </c>
      <c r="AB148" s="357" t="s">
        <v>176</v>
      </c>
      <c r="AC148" s="357"/>
      <c r="AD148" s="357"/>
      <c r="AE148" s="357"/>
      <c r="AF148" s="357"/>
      <c r="AG148" s="357"/>
      <c r="AH148" s="121">
        <f t="shared" si="9"/>
        <v>0</v>
      </c>
      <c r="AI148" s="29">
        <f>AH148</f>
        <v>0</v>
      </c>
    </row>
    <row r="149" spans="1:35">
      <c r="A149" s="357" t="s">
        <v>177</v>
      </c>
      <c r="B149" s="357"/>
      <c r="C149" s="357"/>
      <c r="D149" s="357"/>
      <c r="E149" s="357"/>
      <c r="F149" s="357"/>
      <c r="G149" s="121">
        <f>H23</f>
        <v>0</v>
      </c>
      <c r="H149" s="29">
        <f>G149</f>
        <v>0</v>
      </c>
      <c r="J149" s="357" t="s">
        <v>177</v>
      </c>
      <c r="K149" s="357"/>
      <c r="L149" s="357"/>
      <c r="M149" s="357"/>
      <c r="N149" s="357"/>
      <c r="O149" s="357"/>
      <c r="P149" s="121">
        <f t="shared" si="7"/>
        <v>0</v>
      </c>
      <c r="Q149" s="29">
        <v>55</v>
      </c>
      <c r="S149" s="357" t="s">
        <v>177</v>
      </c>
      <c r="T149" s="357"/>
      <c r="U149" s="357"/>
      <c r="V149" s="357"/>
      <c r="W149" s="357"/>
      <c r="X149" s="357"/>
      <c r="Y149" s="121">
        <f t="shared" si="8"/>
        <v>0</v>
      </c>
      <c r="Z149" s="29">
        <v>55</v>
      </c>
      <c r="AB149" s="357" t="s">
        <v>177</v>
      </c>
      <c r="AC149" s="357"/>
      <c r="AD149" s="357"/>
      <c r="AE149" s="357"/>
      <c r="AF149" s="357"/>
      <c r="AG149" s="357"/>
      <c r="AH149" s="121">
        <f t="shared" si="9"/>
        <v>0</v>
      </c>
      <c r="AI149" s="29">
        <v>55</v>
      </c>
    </row>
    <row r="150" spans="1:35" ht="21">
      <c r="A150" s="357" t="s">
        <v>178</v>
      </c>
      <c r="B150" s="357"/>
      <c r="C150" s="357"/>
      <c r="D150" s="357"/>
      <c r="E150" s="357"/>
      <c r="F150" s="357"/>
      <c r="G150" s="122">
        <f>(G144+G145+G148+G149+G146)-G147</f>
        <v>22200</v>
      </c>
      <c r="H150" s="122">
        <f>(H144+H145+H148+H149+H146)-H147</f>
        <v>24500.003999999997</v>
      </c>
      <c r="J150" s="357" t="s">
        <v>178</v>
      </c>
      <c r="K150" s="357"/>
      <c r="L150" s="357"/>
      <c r="M150" s="357"/>
      <c r="N150" s="357"/>
      <c r="O150" s="357"/>
      <c r="P150" s="123">
        <f t="shared" si="7"/>
        <v>0</v>
      </c>
      <c r="Q150" s="122" t="e">
        <f>(Q144+Q145+Q148+Q149+Q146)-Q147</f>
        <v>#VALUE!</v>
      </c>
      <c r="S150" s="357" t="s">
        <v>178</v>
      </c>
      <c r="T150" s="357"/>
      <c r="U150" s="357"/>
      <c r="V150" s="357"/>
      <c r="W150" s="357"/>
      <c r="X150" s="357"/>
      <c r="Y150" s="123">
        <f t="shared" si="8"/>
        <v>0</v>
      </c>
      <c r="Z150" s="122" t="e">
        <f>(Z144+Z145+Z148+Z149+Z146)-Z147</f>
        <v>#VALUE!</v>
      </c>
      <c r="AB150" s="357" t="s">
        <v>178</v>
      </c>
      <c r="AC150" s="357"/>
      <c r="AD150" s="357"/>
      <c r="AE150" s="357"/>
      <c r="AF150" s="357"/>
      <c r="AG150" s="357"/>
      <c r="AH150" s="123">
        <f t="shared" si="9"/>
        <v>0</v>
      </c>
      <c r="AI150" s="122" t="e">
        <f>(AI144+AI145+AI148+AI149+AI146)-AI147</f>
        <v>#VALUE!</v>
      </c>
    </row>
    <row r="151" spans="1:35">
      <c r="A151" s="357" t="s">
        <v>179</v>
      </c>
      <c r="B151" s="357"/>
      <c r="C151" s="357"/>
      <c r="D151" s="357"/>
      <c r="E151" s="357"/>
      <c r="F151" s="357"/>
      <c r="G151" s="36">
        <f>F151</f>
        <v>0</v>
      </c>
      <c r="H151" s="36">
        <f>G151</f>
        <v>0</v>
      </c>
      <c r="J151" s="357" t="s">
        <v>179</v>
      </c>
      <c r="K151" s="357"/>
      <c r="L151" s="357"/>
      <c r="M151" s="357"/>
      <c r="N151" s="357"/>
      <c r="O151" s="357"/>
      <c r="P151" s="121">
        <f t="shared" si="7"/>
        <v>0</v>
      </c>
      <c r="Q151" s="36">
        <f>P151</f>
        <v>0</v>
      </c>
      <c r="S151" s="357" t="s">
        <v>179</v>
      </c>
      <c r="T151" s="357"/>
      <c r="U151" s="357"/>
      <c r="V151" s="357"/>
      <c r="W151" s="357"/>
      <c r="X151" s="357"/>
      <c r="Y151" s="121">
        <f t="shared" si="8"/>
        <v>0</v>
      </c>
      <c r="Z151" s="36">
        <f>Y151</f>
        <v>0</v>
      </c>
      <c r="AB151" s="357" t="s">
        <v>179</v>
      </c>
      <c r="AC151" s="357"/>
      <c r="AD151" s="357"/>
      <c r="AE151" s="357"/>
      <c r="AF151" s="357"/>
      <c r="AG151" s="357"/>
      <c r="AH151" s="121">
        <f t="shared" si="9"/>
        <v>0</v>
      </c>
      <c r="AI151" s="36">
        <f>AH151</f>
        <v>0</v>
      </c>
    </row>
    <row r="152" spans="1:35">
      <c r="A152" s="358" t="s">
        <v>180</v>
      </c>
      <c r="B152" s="358"/>
      <c r="C152" s="358"/>
      <c r="D152" s="358"/>
      <c r="E152" s="358">
        <v>0</v>
      </c>
      <c r="F152" s="358"/>
      <c r="G152" s="29">
        <v>0</v>
      </c>
      <c r="H152" s="29"/>
      <c r="J152" s="359" t="s">
        <v>180</v>
      </c>
      <c r="K152" s="359"/>
      <c r="L152" s="359"/>
      <c r="M152" s="359"/>
      <c r="N152" s="359"/>
      <c r="O152" s="359"/>
      <c r="P152" s="34"/>
      <c r="Q152" s="29"/>
      <c r="S152" s="358" t="s">
        <v>180</v>
      </c>
      <c r="T152" s="358"/>
      <c r="U152" s="358"/>
      <c r="V152" s="358"/>
      <c r="W152" s="358"/>
      <c r="X152" s="358"/>
      <c r="Y152" s="34"/>
      <c r="Z152" s="29"/>
      <c r="AB152" s="358" t="s">
        <v>180</v>
      </c>
      <c r="AC152" s="358"/>
      <c r="AD152" s="358"/>
      <c r="AE152" s="358"/>
      <c r="AF152" s="358"/>
      <c r="AG152" s="358"/>
      <c r="AH152" s="34"/>
      <c r="AI152" s="29"/>
    </row>
    <row r="153" spans="1:35">
      <c r="A153" s="124" t="s">
        <v>26</v>
      </c>
      <c r="B153" s="360">
        <v>0</v>
      </c>
      <c r="C153" s="360"/>
      <c r="D153" s="360"/>
      <c r="E153" s="360"/>
      <c r="F153" s="360"/>
      <c r="G153" s="36">
        <v>0</v>
      </c>
      <c r="H153" s="36">
        <v>0</v>
      </c>
      <c r="J153" s="124" t="s">
        <v>26</v>
      </c>
      <c r="K153" s="360" t="s">
        <v>181</v>
      </c>
      <c r="L153" s="360"/>
      <c r="M153" s="360"/>
      <c r="N153" s="360"/>
      <c r="O153" s="360"/>
      <c r="P153" s="121">
        <f>H18</f>
        <v>0</v>
      </c>
      <c r="Q153" s="36">
        <f>P153</f>
        <v>0</v>
      </c>
      <c r="S153" s="124" t="s">
        <v>26</v>
      </c>
      <c r="T153" s="360" t="s">
        <v>181</v>
      </c>
      <c r="U153" s="360"/>
      <c r="V153" s="360"/>
      <c r="W153" s="360"/>
      <c r="X153" s="360"/>
      <c r="Y153" s="121">
        <f>H18</f>
        <v>0</v>
      </c>
      <c r="Z153" s="36">
        <f>Y153</f>
        <v>0</v>
      </c>
      <c r="AB153" s="124" t="s">
        <v>26</v>
      </c>
      <c r="AC153" s="360" t="s">
        <v>181</v>
      </c>
      <c r="AD153" s="360"/>
      <c r="AE153" s="360"/>
      <c r="AF153" s="360"/>
      <c r="AG153" s="360"/>
      <c r="AH153" s="121">
        <f>H18</f>
        <v>0</v>
      </c>
      <c r="AI153" s="36">
        <f>AH153</f>
        <v>0</v>
      </c>
    </row>
    <row r="154" spans="1:35">
      <c r="A154" s="124" t="s">
        <v>28</v>
      </c>
      <c r="B154" s="360" t="s">
        <v>181</v>
      </c>
      <c r="C154" s="360"/>
      <c r="D154" s="360"/>
      <c r="E154" s="360"/>
      <c r="F154" s="360"/>
      <c r="G154" s="36">
        <v>0</v>
      </c>
      <c r="H154" s="36">
        <v>0</v>
      </c>
      <c r="I154" s="4">
        <f>(G151+G154+G155+G153)</f>
        <v>0</v>
      </c>
      <c r="J154" s="124" t="s">
        <v>28</v>
      </c>
      <c r="K154" s="360" t="s">
        <v>181</v>
      </c>
      <c r="L154" s="360"/>
      <c r="M154" s="360"/>
      <c r="N154" s="360"/>
      <c r="O154" s="360"/>
      <c r="P154" s="121">
        <f>H19</f>
        <v>0</v>
      </c>
      <c r="Q154" s="36">
        <f>P154</f>
        <v>0</v>
      </c>
      <c r="S154" s="124" t="s">
        <v>28</v>
      </c>
      <c r="T154" s="360" t="s">
        <v>181</v>
      </c>
      <c r="U154" s="360"/>
      <c r="V154" s="360"/>
      <c r="W154" s="360"/>
      <c r="X154" s="360"/>
      <c r="Y154" s="121">
        <f>H19</f>
        <v>0</v>
      </c>
      <c r="Z154" s="36">
        <f>Y154</f>
        <v>0</v>
      </c>
      <c r="AB154" s="124" t="s">
        <v>28</v>
      </c>
      <c r="AC154" s="360" t="s">
        <v>181</v>
      </c>
      <c r="AD154" s="360"/>
      <c r="AE154" s="360"/>
      <c r="AF154" s="360"/>
      <c r="AG154" s="360"/>
      <c r="AH154" s="121">
        <f>H19</f>
        <v>0</v>
      </c>
      <c r="AI154" s="36">
        <f>AH154</f>
        <v>0</v>
      </c>
    </row>
    <row r="155" spans="1:35">
      <c r="A155" s="125" t="s">
        <v>29</v>
      </c>
      <c r="B155" s="361" t="s">
        <v>181</v>
      </c>
      <c r="C155" s="361"/>
      <c r="D155" s="361"/>
      <c r="E155" s="361"/>
      <c r="F155" s="361"/>
      <c r="G155" s="36">
        <v>0</v>
      </c>
      <c r="H155" s="36">
        <v>0</v>
      </c>
      <c r="I155" s="4">
        <f>(H151+H153+H154+H155)</f>
        <v>0</v>
      </c>
      <c r="J155" s="125" t="s">
        <v>29</v>
      </c>
      <c r="K155" s="361" t="s">
        <v>181</v>
      </c>
      <c r="L155" s="361"/>
      <c r="M155" s="361"/>
      <c r="N155" s="361"/>
      <c r="O155" s="361"/>
      <c r="P155" s="121">
        <f>H20</f>
        <v>0</v>
      </c>
      <c r="Q155" s="36">
        <f>P155</f>
        <v>0</v>
      </c>
      <c r="S155" s="125" t="s">
        <v>29</v>
      </c>
      <c r="T155" s="361" t="s">
        <v>181</v>
      </c>
      <c r="U155" s="361"/>
      <c r="V155" s="361"/>
      <c r="W155" s="361"/>
      <c r="X155" s="361"/>
      <c r="Y155" s="121">
        <f>H20</f>
        <v>0</v>
      </c>
      <c r="Z155" s="36">
        <f>Y155</f>
        <v>0</v>
      </c>
      <c r="AB155" s="125" t="s">
        <v>29</v>
      </c>
      <c r="AC155" s="361" t="s">
        <v>181</v>
      </c>
      <c r="AD155" s="361"/>
      <c r="AE155" s="361"/>
      <c r="AF155" s="361"/>
      <c r="AG155" s="361"/>
      <c r="AH155" s="121">
        <f>H20</f>
        <v>0</v>
      </c>
      <c r="AI155" s="36">
        <f>AH155</f>
        <v>0</v>
      </c>
    </row>
    <row r="156" spans="1:35" ht="21">
      <c r="A156" s="357" t="s">
        <v>182</v>
      </c>
      <c r="B156" s="357"/>
      <c r="C156" s="357"/>
      <c r="D156" s="357"/>
      <c r="E156" s="357"/>
      <c r="F156" s="357"/>
      <c r="G156" s="126">
        <f>G150-((G153*1.2)+(G154*1.2)+(G155*1.2)+(G151*1.2))</f>
        <v>22200</v>
      </c>
      <c r="H156" s="126">
        <f>H150-((H153*1.2)+(H154*1.2)+(H155*1.2)+(H151*1.2))</f>
        <v>24500.003999999997</v>
      </c>
      <c r="J156" s="362" t="s">
        <v>182</v>
      </c>
      <c r="K156" s="362"/>
      <c r="L156" s="362"/>
      <c r="M156" s="362"/>
      <c r="N156" s="362"/>
      <c r="O156" s="362"/>
      <c r="P156" s="123">
        <f>P150-((P153*1.2)+(P154*1.2)+(P155*1.2)+(P151*1.2))</f>
        <v>0</v>
      </c>
      <c r="Q156" s="126" t="e">
        <f>Q150-((Q153*1.2)+(Q154*1.2)+(Q155*1.2)+(Q151*1.2))</f>
        <v>#VALUE!</v>
      </c>
      <c r="S156" s="357" t="s">
        <v>182</v>
      </c>
      <c r="T156" s="357"/>
      <c r="U156" s="357"/>
      <c r="V156" s="357"/>
      <c r="W156" s="357"/>
      <c r="X156" s="357"/>
      <c r="Y156" s="123">
        <f>Y150-((Y153*1.2)+(Y154*1.2)+(Y155*1.2)+(Y151*1.2))</f>
        <v>0</v>
      </c>
      <c r="Z156" s="126" t="e">
        <f>Z150-((Z153*1.2)+(Z154*1.2)+(Z155*1.2)+(Z151*1.2))</f>
        <v>#VALUE!</v>
      </c>
      <c r="AB156" s="357" t="s">
        <v>182</v>
      </c>
      <c r="AC156" s="357"/>
      <c r="AD156" s="357"/>
      <c r="AE156" s="357"/>
      <c r="AF156" s="357"/>
      <c r="AG156" s="357"/>
      <c r="AH156" s="123">
        <f>AH150-((AH153*1.2)+(AH154*1.2)+(AH155*1.2)+(AH151*1.2))</f>
        <v>0</v>
      </c>
      <c r="AI156" s="126" t="e">
        <f>AI150-((AI153*1.2)+(AI154*1.2)+(AI155*1.2)+(AI151*1.2))</f>
        <v>#VALUE!</v>
      </c>
    </row>
    <row r="157" spans="1:35">
      <c r="A157" s="357" t="s">
        <v>183</v>
      </c>
      <c r="B157" s="357"/>
      <c r="C157" s="357"/>
      <c r="D157" s="357"/>
      <c r="E157" s="357"/>
      <c r="F157" s="357"/>
      <c r="G157" s="121"/>
      <c r="H157" s="36">
        <f>((H156-G156)-(H146-G146))+((I155-I154)*0.2)</f>
        <v>1916.6699999999973</v>
      </c>
      <c r="I157" s="4">
        <f>(H157-G90)/1.2</f>
        <v>-16069.441666666669</v>
      </c>
      <c r="J157" s="357" t="s">
        <v>183</v>
      </c>
      <c r="K157" s="357"/>
      <c r="L157" s="357"/>
      <c r="M157" s="357"/>
      <c r="N157" s="357"/>
      <c r="O157" s="357"/>
      <c r="P157" s="121"/>
      <c r="Q157" s="36" t="e">
        <f>Q156-P156</f>
        <v>#VALUE!</v>
      </c>
      <c r="S157" s="357" t="s">
        <v>183</v>
      </c>
      <c r="T157" s="357"/>
      <c r="U157" s="357"/>
      <c r="V157" s="357"/>
      <c r="W157" s="357"/>
      <c r="X157" s="357"/>
      <c r="Y157" s="121"/>
      <c r="Z157" s="36" t="e">
        <f>Z156-Y156</f>
        <v>#VALUE!</v>
      </c>
      <c r="AB157" s="357" t="s">
        <v>183</v>
      </c>
      <c r="AC157" s="357"/>
      <c r="AD157" s="357"/>
      <c r="AE157" s="357"/>
      <c r="AF157" s="357"/>
      <c r="AG157" s="357"/>
      <c r="AH157" s="121"/>
      <c r="AI157" s="36" t="e">
        <f>AI156-AH156</f>
        <v>#VALUE!</v>
      </c>
    </row>
    <row r="158" spans="1:35">
      <c r="A158" s="27"/>
      <c r="B158" s="28"/>
      <c r="C158" s="28"/>
      <c r="D158" s="28"/>
      <c r="E158" s="21"/>
      <c r="F158" s="21"/>
      <c r="G158" s="21"/>
      <c r="H158" s="29"/>
      <c r="J158" s="27"/>
      <c r="K158" s="28"/>
      <c r="L158" s="28"/>
      <c r="M158" s="28"/>
      <c r="N158" s="21"/>
      <c r="O158" s="21"/>
      <c r="P158" s="21"/>
      <c r="Q158" s="29"/>
      <c r="S158" s="27"/>
      <c r="T158" s="28"/>
      <c r="U158" s="28"/>
      <c r="V158" s="28"/>
      <c r="W158" s="21"/>
      <c r="X158" s="21"/>
      <c r="Y158" s="21"/>
      <c r="Z158" s="29"/>
      <c r="AB158" s="27"/>
      <c r="AC158" s="28"/>
      <c r="AD158" s="28"/>
      <c r="AE158" s="28"/>
      <c r="AF158" s="21"/>
      <c r="AG158" s="21"/>
      <c r="AH158" s="21"/>
      <c r="AI158" s="29"/>
    </row>
    <row r="159" spans="1:35" ht="23.25">
      <c r="A159" s="335" t="s">
        <v>184</v>
      </c>
      <c r="B159" s="335"/>
      <c r="C159" s="335"/>
      <c r="D159" s="335"/>
      <c r="E159" s="335"/>
      <c r="F159" s="335"/>
      <c r="G159" s="335"/>
      <c r="H159" s="335"/>
      <c r="J159" s="335" t="s">
        <v>184</v>
      </c>
      <c r="K159" s="335"/>
      <c r="L159" s="335"/>
      <c r="M159" s="335"/>
      <c r="N159" s="335"/>
      <c r="O159" s="335"/>
      <c r="P159" s="335"/>
      <c r="Q159" s="335"/>
      <c r="S159" s="335" t="s">
        <v>184</v>
      </c>
      <c r="T159" s="335"/>
      <c r="U159" s="335"/>
      <c r="V159" s="335"/>
      <c r="W159" s="335"/>
      <c r="X159" s="335"/>
      <c r="Y159" s="335"/>
      <c r="Z159" s="335"/>
      <c r="AB159" s="335" t="s">
        <v>184</v>
      </c>
      <c r="AC159" s="335"/>
      <c r="AD159" s="335"/>
      <c r="AE159" s="335"/>
      <c r="AF159" s="335"/>
      <c r="AG159" s="335"/>
      <c r="AH159" s="335"/>
      <c r="AI159" s="335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 t="s">
        <v>185</v>
      </c>
      <c r="B161" s="28"/>
      <c r="C161" s="28"/>
      <c r="D161" s="21"/>
      <c r="E161" s="348">
        <v>0</v>
      </c>
      <c r="F161" s="348"/>
      <c r="G161" s="348">
        <v>0</v>
      </c>
      <c r="H161" s="348"/>
      <c r="J161" s="27" t="s">
        <v>185</v>
      </c>
      <c r="K161" s="28"/>
      <c r="L161" s="28"/>
      <c r="M161" s="21"/>
      <c r="N161" s="348">
        <v>10000</v>
      </c>
      <c r="O161" s="348"/>
      <c r="P161" s="348">
        <v>5000</v>
      </c>
      <c r="Q161" s="348"/>
      <c r="S161" s="27" t="s">
        <v>185</v>
      </c>
      <c r="T161" s="28"/>
      <c r="U161" s="28"/>
      <c r="V161" s="21"/>
      <c r="W161" s="348">
        <v>10000</v>
      </c>
      <c r="X161" s="348"/>
      <c r="Y161" s="348">
        <v>5000</v>
      </c>
      <c r="Z161" s="348"/>
      <c r="AB161" s="27" t="s">
        <v>185</v>
      </c>
      <c r="AC161" s="28"/>
      <c r="AD161" s="28"/>
      <c r="AE161" s="21"/>
      <c r="AF161" s="348">
        <v>10000</v>
      </c>
      <c r="AG161" s="348"/>
      <c r="AH161" s="348">
        <v>5000</v>
      </c>
      <c r="AI161" s="348"/>
    </row>
    <row r="162" spans="1:35">
      <c r="A162" s="27" t="s">
        <v>186</v>
      </c>
      <c r="B162" s="28"/>
      <c r="C162" s="28"/>
      <c r="D162" s="21"/>
      <c r="E162" s="363">
        <f>G162</f>
        <v>0</v>
      </c>
      <c r="F162" s="363"/>
      <c r="G162" s="348">
        <v>0</v>
      </c>
      <c r="H162" s="348"/>
      <c r="J162" s="27" t="s">
        <v>186</v>
      </c>
      <c r="K162" s="28"/>
      <c r="L162" s="28"/>
      <c r="M162" s="21"/>
      <c r="N162" s="363">
        <f>P162</f>
        <v>7000</v>
      </c>
      <c r="O162" s="363"/>
      <c r="P162" s="348">
        <v>7000</v>
      </c>
      <c r="Q162" s="348"/>
      <c r="S162" s="27" t="s">
        <v>186</v>
      </c>
      <c r="T162" s="28"/>
      <c r="U162" s="28"/>
      <c r="V162" s="21"/>
      <c r="W162" s="363">
        <f>Y162</f>
        <v>7000</v>
      </c>
      <c r="X162" s="363"/>
      <c r="Y162" s="348">
        <v>7000</v>
      </c>
      <c r="Z162" s="348"/>
      <c r="AB162" s="27" t="s">
        <v>186</v>
      </c>
      <c r="AC162" s="28"/>
      <c r="AD162" s="28"/>
      <c r="AE162" s="21"/>
      <c r="AF162" s="363">
        <f>AH162</f>
        <v>7000</v>
      </c>
      <c r="AG162" s="363"/>
      <c r="AH162" s="348">
        <v>7000</v>
      </c>
      <c r="AI162" s="348"/>
    </row>
    <row r="163" spans="1:35">
      <c r="A163" s="27" t="s">
        <v>187</v>
      </c>
      <c r="B163" s="28"/>
      <c r="C163" s="28"/>
      <c r="D163" s="21"/>
      <c r="E163" s="363">
        <f>E161-E162</f>
        <v>0</v>
      </c>
      <c r="F163" s="363"/>
      <c r="G163" s="364">
        <f>G161-G162</f>
        <v>0</v>
      </c>
      <c r="H163" s="364"/>
      <c r="J163" s="27" t="s">
        <v>187</v>
      </c>
      <c r="K163" s="28"/>
      <c r="L163" s="28"/>
      <c r="M163" s="21"/>
      <c r="N163" s="363">
        <f>N161-N162</f>
        <v>3000</v>
      </c>
      <c r="O163" s="363"/>
      <c r="P163" s="364">
        <f>P161-P162</f>
        <v>-2000</v>
      </c>
      <c r="Q163" s="364"/>
      <c r="S163" s="27" t="s">
        <v>187</v>
      </c>
      <c r="T163" s="28"/>
      <c r="U163" s="28"/>
      <c r="V163" s="21"/>
      <c r="W163" s="363">
        <f>W161-W162</f>
        <v>3000</v>
      </c>
      <c r="X163" s="363"/>
      <c r="Y163" s="364">
        <f>Y161-Y162</f>
        <v>-2000</v>
      </c>
      <c r="Z163" s="364"/>
      <c r="AB163" s="27" t="s">
        <v>187</v>
      </c>
      <c r="AC163" s="28"/>
      <c r="AD163" s="28"/>
      <c r="AE163" s="21"/>
      <c r="AF163" s="363">
        <f>AF161-AF162</f>
        <v>3000</v>
      </c>
      <c r="AG163" s="363"/>
      <c r="AH163" s="364">
        <f>AH161-AH162</f>
        <v>-2000</v>
      </c>
      <c r="AI163" s="364"/>
    </row>
    <row r="164" spans="1:35">
      <c r="A164" s="27" t="s">
        <v>188</v>
      </c>
      <c r="B164" s="28"/>
      <c r="C164" s="28"/>
      <c r="D164" s="21"/>
      <c r="E164" s="363">
        <f>E163-G163</f>
        <v>0</v>
      </c>
      <c r="F164" s="363"/>
      <c r="G164" s="21"/>
      <c r="H164" s="29"/>
      <c r="J164" s="27" t="s">
        <v>188</v>
      </c>
      <c r="K164" s="28"/>
      <c r="L164" s="28"/>
      <c r="M164" s="21"/>
      <c r="N164" s="363">
        <f>N163-P163</f>
        <v>5000</v>
      </c>
      <c r="O164" s="363"/>
      <c r="P164" s="21"/>
      <c r="Q164" s="29"/>
      <c r="S164" s="27" t="s">
        <v>188</v>
      </c>
      <c r="T164" s="28"/>
      <c r="U164" s="28"/>
      <c r="V164" s="21"/>
      <c r="W164" s="363">
        <f>W163-Y163</f>
        <v>5000</v>
      </c>
      <c r="X164" s="363"/>
      <c r="Y164" s="21"/>
      <c r="Z164" s="29"/>
      <c r="AB164" s="27" t="s">
        <v>188</v>
      </c>
      <c r="AC164" s="28"/>
      <c r="AD164" s="28"/>
      <c r="AE164" s="21"/>
      <c r="AF164" s="363">
        <f>AF163-AH163</f>
        <v>5000</v>
      </c>
      <c r="AG164" s="363"/>
      <c r="AH164" s="21"/>
      <c r="AI164" s="29"/>
    </row>
    <row r="165" spans="1:35">
      <c r="A165" s="22" t="s">
        <v>189</v>
      </c>
      <c r="B165" s="23"/>
      <c r="C165" s="23"/>
      <c r="D165" s="63"/>
      <c r="E165" s="23"/>
      <c r="F165" s="63"/>
      <c r="G165" s="128" t="s">
        <v>10</v>
      </c>
      <c r="H165" s="36">
        <v>1400</v>
      </c>
      <c r="J165" s="27"/>
      <c r="K165" s="28"/>
      <c r="L165" s="28"/>
      <c r="M165" s="21"/>
      <c r="N165" s="28"/>
      <c r="O165" s="21"/>
      <c r="P165" s="21"/>
      <c r="Q165" s="29"/>
      <c r="S165" s="27"/>
      <c r="T165" s="28"/>
      <c r="U165" s="28"/>
      <c r="V165" s="21"/>
      <c r="W165" s="28"/>
      <c r="X165" s="21"/>
      <c r="Y165" s="21"/>
      <c r="Z165" s="29"/>
      <c r="AB165" s="27"/>
      <c r="AC165" s="28"/>
      <c r="AD165" s="28"/>
      <c r="AE165" s="21"/>
      <c r="AF165" s="28"/>
      <c r="AG165" s="21"/>
      <c r="AH165" s="21"/>
      <c r="AI165" s="29"/>
    </row>
    <row r="166" spans="1:35">
      <c r="A166" s="22" t="s">
        <v>190</v>
      </c>
      <c r="B166" s="23"/>
      <c r="C166" s="23"/>
      <c r="D166" s="63"/>
      <c r="E166" s="23"/>
      <c r="F166" s="63"/>
      <c r="G166" s="365">
        <f>B120</f>
        <v>0</v>
      </c>
      <c r="H166" s="365"/>
      <c r="J166" s="22" t="s">
        <v>190</v>
      </c>
      <c r="K166" s="23"/>
      <c r="L166" s="23"/>
      <c r="M166" s="63"/>
      <c r="N166" s="23"/>
      <c r="O166" s="63"/>
      <c r="P166" s="365">
        <f>K120</f>
        <v>1000</v>
      </c>
      <c r="Q166" s="365"/>
      <c r="S166" s="22" t="s">
        <v>190</v>
      </c>
      <c r="T166" s="23"/>
      <c r="U166" s="23"/>
      <c r="V166" s="63"/>
      <c r="W166" s="23"/>
      <c r="X166" s="63"/>
      <c r="Y166" s="365">
        <f>T120</f>
        <v>1000</v>
      </c>
      <c r="Z166" s="365"/>
      <c r="AB166" s="22" t="s">
        <v>190</v>
      </c>
      <c r="AC166" s="23"/>
      <c r="AD166" s="23"/>
      <c r="AE166" s="63"/>
      <c r="AF166" s="23"/>
      <c r="AG166" s="63"/>
      <c r="AH166" s="365">
        <f>AC120</f>
        <v>1000</v>
      </c>
      <c r="AI166" s="365"/>
    </row>
    <row r="167" spans="1:35" ht="21">
      <c r="A167" s="129" t="s">
        <v>191</v>
      </c>
      <c r="B167" s="28"/>
      <c r="C167" s="28"/>
      <c r="D167" s="21"/>
      <c r="E167" s="28"/>
      <c r="F167" s="21"/>
      <c r="G167" s="366">
        <f>H156-G163-G166+H165</f>
        <v>25900.003999999997</v>
      </c>
      <c r="H167" s="366"/>
      <c r="J167" s="129" t="s">
        <v>191</v>
      </c>
      <c r="K167" s="28"/>
      <c r="L167" s="28"/>
      <c r="M167" s="21"/>
      <c r="N167" s="28"/>
      <c r="O167" s="21"/>
      <c r="P167" s="366" t="e">
        <f>Q156-P163-P166</f>
        <v>#VALUE!</v>
      </c>
      <c r="Q167" s="366"/>
      <c r="S167" s="129" t="s">
        <v>191</v>
      </c>
      <c r="T167" s="28"/>
      <c r="U167" s="28"/>
      <c r="V167" s="21"/>
      <c r="W167" s="28"/>
      <c r="X167" s="21"/>
      <c r="Y167" s="366" t="e">
        <f>Z156-Y163-Y166</f>
        <v>#VALUE!</v>
      </c>
      <c r="Z167" s="366"/>
      <c r="AB167" s="129" t="s">
        <v>191</v>
      </c>
      <c r="AC167" s="28"/>
      <c r="AD167" s="28"/>
      <c r="AE167" s="21"/>
      <c r="AF167" s="28"/>
      <c r="AG167" s="21"/>
      <c r="AH167" s="366" t="e">
        <f>AI156-AH163-AH166</f>
        <v>#VALUE!</v>
      </c>
      <c r="AI167" s="366"/>
    </row>
    <row r="168" spans="1:35">
      <c r="A168" s="49" t="s">
        <v>66</v>
      </c>
      <c r="B168" s="50"/>
      <c r="C168" s="50"/>
      <c r="D168" s="85"/>
      <c r="E168" s="50"/>
      <c r="F168" s="85"/>
      <c r="G168" s="367">
        <f>B123</f>
        <v>1000</v>
      </c>
      <c r="H168" s="367"/>
      <c r="J168" s="49" t="s">
        <v>66</v>
      </c>
      <c r="K168" s="50"/>
      <c r="L168" s="50"/>
      <c r="M168" s="85"/>
      <c r="N168" s="50"/>
      <c r="O168" s="85"/>
      <c r="P168" s="367">
        <f>K123</f>
        <v>239.99</v>
      </c>
      <c r="Q168" s="367"/>
      <c r="S168" s="49" t="s">
        <v>66</v>
      </c>
      <c r="T168" s="50"/>
      <c r="U168" s="50"/>
      <c r="V168" s="85"/>
      <c r="W168" s="50"/>
      <c r="X168" s="85"/>
      <c r="Y168" s="367">
        <f>T123</f>
        <v>199.99</v>
      </c>
      <c r="Z168" s="367"/>
      <c r="AB168" s="49" t="s">
        <v>66</v>
      </c>
      <c r="AC168" s="50"/>
      <c r="AD168" s="50"/>
      <c r="AE168" s="85"/>
      <c r="AF168" s="50"/>
      <c r="AG168" s="85"/>
      <c r="AH168" s="367">
        <f>AC123</f>
        <v>239.99</v>
      </c>
      <c r="AI168" s="367"/>
    </row>
    <row r="169" spans="1:35">
      <c r="A169" s="27"/>
      <c r="B169" s="28"/>
      <c r="C169" s="28"/>
      <c r="D169" s="28"/>
      <c r="E169" s="21"/>
      <c r="F169" s="21"/>
      <c r="G169" s="21"/>
      <c r="H169" s="29"/>
      <c r="J169" s="27"/>
      <c r="K169" s="28"/>
      <c r="L169" s="28"/>
      <c r="M169" s="28"/>
      <c r="N169" s="21"/>
      <c r="O169" s="21"/>
      <c r="P169" s="21"/>
      <c r="Q169" s="29"/>
      <c r="S169" s="27"/>
      <c r="T169" s="28"/>
      <c r="U169" s="28"/>
      <c r="V169" s="28"/>
      <c r="W169" s="21"/>
      <c r="X169" s="21"/>
      <c r="Y169" s="21"/>
      <c r="Z169" s="29"/>
      <c r="AB169" s="27"/>
      <c r="AC169" s="28"/>
      <c r="AD169" s="28"/>
      <c r="AE169" s="28"/>
      <c r="AF169" s="21"/>
      <c r="AG169" s="21"/>
      <c r="AH169" s="21"/>
      <c r="AI169" s="29"/>
    </row>
    <row r="170" spans="1:35">
      <c r="A170" s="27"/>
      <c r="B170" s="28"/>
      <c r="C170" s="28"/>
      <c r="D170" s="28"/>
      <c r="E170" s="21">
        <v>6000</v>
      </c>
      <c r="F170" s="21"/>
      <c r="G170" s="21"/>
      <c r="H170" s="29"/>
      <c r="J170" s="27"/>
      <c r="K170" s="28"/>
      <c r="L170" s="28"/>
      <c r="M170" s="28"/>
      <c r="N170" s="21"/>
      <c r="O170" s="21"/>
      <c r="P170" s="21"/>
      <c r="Q170" s="29"/>
      <c r="S170" s="27"/>
      <c r="T170" s="28"/>
      <c r="U170" s="28"/>
      <c r="V170" s="28"/>
      <c r="W170" s="21"/>
      <c r="X170" s="21"/>
      <c r="Y170" s="21"/>
      <c r="Z170" s="29"/>
      <c r="AB170" s="27"/>
      <c r="AC170" s="28"/>
      <c r="AD170" s="28"/>
      <c r="AE170" s="28"/>
      <c r="AF170" s="21"/>
      <c r="AG170" s="21"/>
      <c r="AH170" s="21"/>
      <c r="AI170" s="29"/>
    </row>
    <row r="171" spans="1:35" ht="23.25">
      <c r="A171" s="335" t="s">
        <v>192</v>
      </c>
      <c r="B171" s="335"/>
      <c r="C171" s="335"/>
      <c r="D171" s="335"/>
      <c r="E171" s="335"/>
      <c r="F171" s="335"/>
      <c r="G171" s="335"/>
      <c r="H171" s="335"/>
      <c r="J171" s="335" t="s">
        <v>192</v>
      </c>
      <c r="K171" s="335"/>
      <c r="L171" s="335"/>
      <c r="M171" s="335"/>
      <c r="N171" s="335"/>
      <c r="O171" s="335"/>
      <c r="P171" s="335"/>
      <c r="Q171" s="335"/>
      <c r="S171" s="335" t="s">
        <v>192</v>
      </c>
      <c r="T171" s="335"/>
      <c r="U171" s="335"/>
      <c r="V171" s="335"/>
      <c r="W171" s="335"/>
      <c r="X171" s="335"/>
      <c r="Y171" s="335"/>
      <c r="Z171" s="335"/>
      <c r="AB171" s="335" t="s">
        <v>192</v>
      </c>
      <c r="AC171" s="335"/>
      <c r="AD171" s="335"/>
      <c r="AE171" s="335"/>
      <c r="AF171" s="335"/>
      <c r="AG171" s="335"/>
      <c r="AH171" s="335"/>
      <c r="AI171" s="335"/>
    </row>
    <row r="172" spans="1:35">
      <c r="A172" s="27"/>
      <c r="B172" s="28"/>
      <c r="C172" s="28"/>
      <c r="D172" s="28"/>
      <c r="E172" s="21"/>
      <c r="F172" s="21"/>
      <c r="G172" s="21"/>
      <c r="H172" s="29"/>
      <c r="J172" s="27"/>
      <c r="K172" s="28"/>
      <c r="L172" s="28"/>
      <c r="M172" s="28"/>
      <c r="N172" s="21"/>
      <c r="O172" s="21"/>
      <c r="P172" s="21"/>
      <c r="Q172" s="29"/>
      <c r="S172" s="27"/>
      <c r="T172" s="28"/>
      <c r="U172" s="28"/>
      <c r="V172" s="28"/>
      <c r="W172" s="21"/>
      <c r="X172" s="21"/>
      <c r="Y172" s="21"/>
      <c r="Z172" s="29"/>
      <c r="AB172" s="27"/>
      <c r="AC172" s="28"/>
      <c r="AD172" s="28"/>
      <c r="AE172" s="28"/>
      <c r="AF172" s="21"/>
      <c r="AG172" s="21"/>
      <c r="AH172" s="21"/>
      <c r="AI172" s="29"/>
    </row>
    <row r="173" spans="1:35">
      <c r="A173" s="27" t="s">
        <v>193</v>
      </c>
      <c r="B173" s="368">
        <v>0</v>
      </c>
      <c r="C173" s="368"/>
      <c r="D173" s="28"/>
      <c r="E173" s="21"/>
      <c r="F173" s="21"/>
      <c r="G173" s="21"/>
      <c r="H173" s="29"/>
      <c r="J173" s="27" t="s">
        <v>193</v>
      </c>
      <c r="K173" s="368">
        <v>0</v>
      </c>
      <c r="L173" s="368"/>
      <c r="M173" s="28"/>
      <c r="N173" s="21"/>
      <c r="O173" s="21"/>
      <c r="P173" s="21"/>
      <c r="Q173" s="29"/>
      <c r="S173" s="27" t="s">
        <v>193</v>
      </c>
      <c r="T173" s="368">
        <v>0</v>
      </c>
      <c r="U173" s="368"/>
      <c r="V173" s="28"/>
      <c r="W173" s="21"/>
      <c r="X173" s="21"/>
      <c r="Y173" s="21"/>
      <c r="Z173" s="29"/>
      <c r="AB173" s="27" t="s">
        <v>193</v>
      </c>
      <c r="AC173" s="368">
        <v>0</v>
      </c>
      <c r="AD173" s="368"/>
      <c r="AE173" s="28"/>
      <c r="AF173" s="21"/>
      <c r="AG173" s="21"/>
      <c r="AH173" s="21"/>
      <c r="AI173" s="29"/>
    </row>
    <row r="174" spans="1:35">
      <c r="A174" s="27"/>
      <c r="B174" s="28"/>
      <c r="C174" s="28"/>
      <c r="D174" s="28"/>
      <c r="E174" s="21"/>
      <c r="F174" s="21"/>
      <c r="G174" s="21"/>
      <c r="H174" s="29"/>
      <c r="J174" s="27"/>
      <c r="K174" s="28"/>
      <c r="L174" s="28"/>
      <c r="M174" s="28"/>
      <c r="N174" s="21"/>
      <c r="O174" s="21"/>
      <c r="P174" s="21"/>
      <c r="Q174" s="29"/>
      <c r="S174" s="27"/>
      <c r="T174" s="28"/>
      <c r="U174" s="28"/>
      <c r="V174" s="28"/>
      <c r="W174" s="21"/>
      <c r="X174" s="21"/>
      <c r="Y174" s="21"/>
      <c r="Z174" s="29"/>
      <c r="AB174" s="27"/>
      <c r="AC174" s="28"/>
      <c r="AD174" s="28"/>
      <c r="AE174" s="28"/>
      <c r="AF174" s="21"/>
      <c r="AG174" s="21"/>
      <c r="AH174" s="21"/>
      <c r="AI174" s="29"/>
    </row>
    <row r="175" spans="1:35">
      <c r="A175" s="130" t="s">
        <v>194</v>
      </c>
      <c r="B175" s="131" t="s">
        <v>195</v>
      </c>
      <c r="C175" s="131"/>
      <c r="D175" s="131"/>
      <c r="E175" s="131" t="s">
        <v>196</v>
      </c>
      <c r="F175" s="21"/>
      <c r="G175" s="21" t="s">
        <v>197</v>
      </c>
      <c r="H175" s="29"/>
      <c r="J175" s="130" t="s">
        <v>194</v>
      </c>
      <c r="K175" s="131" t="s">
        <v>195</v>
      </c>
      <c r="L175" s="131"/>
      <c r="M175" s="131"/>
      <c r="N175" s="131" t="s">
        <v>196</v>
      </c>
      <c r="O175" s="21"/>
      <c r="P175" s="21"/>
      <c r="Q175" s="29"/>
      <c r="S175" s="130" t="s">
        <v>194</v>
      </c>
      <c r="T175" s="131" t="s">
        <v>195</v>
      </c>
      <c r="U175" s="131"/>
      <c r="V175" s="131"/>
      <c r="W175" s="131" t="s">
        <v>196</v>
      </c>
      <c r="X175" s="21"/>
      <c r="Y175" s="21"/>
      <c r="Z175" s="29"/>
      <c r="AB175" s="130" t="s">
        <v>194</v>
      </c>
      <c r="AC175" s="131" t="s">
        <v>195</v>
      </c>
      <c r="AD175" s="131"/>
      <c r="AE175" s="131"/>
      <c r="AF175" s="131" t="s">
        <v>196</v>
      </c>
      <c r="AG175" s="21"/>
      <c r="AH175" s="21"/>
      <c r="AI175" s="29"/>
    </row>
    <row r="176" spans="1:35">
      <c r="A176" s="132">
        <f>B104</f>
        <v>1538.136912508196</v>
      </c>
      <c r="B176" s="133">
        <f>B103</f>
        <v>0</v>
      </c>
      <c r="C176" s="131"/>
      <c r="D176" s="131"/>
      <c r="E176" s="133">
        <f>B105</f>
        <v>1538.136912508196</v>
      </c>
      <c r="F176" s="21"/>
      <c r="G176" s="21">
        <f>ROUND(G104,2)</f>
        <v>1462.49</v>
      </c>
      <c r="H176" s="29"/>
      <c r="J176" s="132" t="e">
        <f>K104</f>
        <v>#VALUE!</v>
      </c>
      <c r="K176" s="133">
        <f>K103</f>
        <v>0</v>
      </c>
      <c r="L176" s="131"/>
      <c r="M176" s="131"/>
      <c r="N176" s="133" t="e">
        <f>K105</f>
        <v>#VALUE!</v>
      </c>
      <c r="O176" s="21"/>
      <c r="P176" s="21"/>
      <c r="Q176" s="29"/>
      <c r="S176" s="132" t="e">
        <f>T104</f>
        <v>#VALUE!</v>
      </c>
      <c r="T176" s="133">
        <f>T103</f>
        <v>0</v>
      </c>
      <c r="U176" s="131"/>
      <c r="V176" s="131"/>
      <c r="W176" s="133" t="e">
        <f>T105</f>
        <v>#VALUE!</v>
      </c>
      <c r="X176" s="21"/>
      <c r="Y176" s="21"/>
      <c r="Z176" s="29"/>
      <c r="AB176" s="132" t="e">
        <f>AC104</f>
        <v>#VALUE!</v>
      </c>
      <c r="AC176" s="133">
        <f>AC103</f>
        <v>0</v>
      </c>
      <c r="AD176" s="131"/>
      <c r="AE176" s="131"/>
      <c r="AF176" s="133" t="e">
        <f>AC105</f>
        <v>#VALUE!</v>
      </c>
      <c r="AG176" s="21"/>
      <c r="AH176" s="21"/>
      <c r="AI176" s="29"/>
    </row>
    <row r="177" spans="1:35">
      <c r="A177" s="27"/>
      <c r="B177" s="28"/>
      <c r="C177" s="28"/>
      <c r="D177" s="28"/>
      <c r="E177" s="21"/>
      <c r="F177" s="21"/>
      <c r="G177" s="21"/>
      <c r="H177" s="29"/>
      <c r="J177" s="27"/>
      <c r="K177" s="28"/>
      <c r="L177" s="28"/>
      <c r="M177" s="28"/>
      <c r="N177" s="21"/>
      <c r="O177" s="21"/>
      <c r="P177" s="21"/>
      <c r="Q177" s="29"/>
      <c r="S177" s="27"/>
      <c r="T177" s="28"/>
      <c r="U177" s="28"/>
      <c r="V177" s="28"/>
      <c r="W177" s="21"/>
      <c r="X177" s="21"/>
      <c r="Y177" s="21"/>
      <c r="Z177" s="29"/>
      <c r="AB177" s="27"/>
      <c r="AC177" s="28"/>
      <c r="AD177" s="28"/>
      <c r="AE177" s="28"/>
      <c r="AF177" s="21"/>
      <c r="AG177" s="21"/>
      <c r="AH177" s="21"/>
      <c r="AI177" s="29"/>
    </row>
    <row r="178" spans="1:35">
      <c r="A178" s="27" t="s">
        <v>94</v>
      </c>
      <c r="B178" s="28" t="s">
        <v>95</v>
      </c>
      <c r="C178" s="28"/>
      <c r="D178" s="21"/>
      <c r="E178" s="28" t="s">
        <v>198</v>
      </c>
      <c r="F178" s="21"/>
      <c r="G178" s="21"/>
      <c r="H178" s="29"/>
      <c r="J178" s="27" t="s">
        <v>94</v>
      </c>
      <c r="K178" s="28" t="s">
        <v>95</v>
      </c>
      <c r="L178" s="28"/>
      <c r="M178" s="21"/>
      <c r="N178" s="28" t="s">
        <v>198</v>
      </c>
      <c r="O178" s="21"/>
      <c r="P178" s="21"/>
      <c r="Q178" s="29"/>
      <c r="S178" s="27" t="s">
        <v>94</v>
      </c>
      <c r="T178" s="28" t="s">
        <v>95</v>
      </c>
      <c r="U178" s="28"/>
      <c r="V178" s="21"/>
      <c r="W178" s="28" t="s">
        <v>198</v>
      </c>
      <c r="X178" s="21"/>
      <c r="Y178" s="21"/>
      <c r="Z178" s="29"/>
      <c r="AB178" s="27" t="s">
        <v>94</v>
      </c>
      <c r="AC178" s="28" t="s">
        <v>95</v>
      </c>
      <c r="AD178" s="28"/>
      <c r="AE178" s="21"/>
      <c r="AF178" s="28" t="s">
        <v>198</v>
      </c>
      <c r="AG178" s="21"/>
      <c r="AH178" s="21"/>
      <c r="AI178" s="29"/>
    </row>
    <row r="179" spans="1:35">
      <c r="A179" s="134">
        <f>B38</f>
        <v>0</v>
      </c>
      <c r="B179" s="135">
        <f>B39</f>
        <v>0</v>
      </c>
      <c r="C179" s="136"/>
      <c r="D179" s="21"/>
      <c r="E179" s="137">
        <f>B91</f>
        <v>6000</v>
      </c>
      <c r="F179" s="21"/>
      <c r="G179" s="21"/>
      <c r="H179" s="29"/>
      <c r="J179" s="134" t="str">
        <f>K29</f>
        <v>12</v>
      </c>
      <c r="K179" s="135" t="str">
        <f>K30</f>
        <v>5000</v>
      </c>
      <c r="L179" s="136"/>
      <c r="M179" s="21"/>
      <c r="N179" s="137" t="str">
        <f>IF(A120="YES",A40,0)</f>
        <v>12</v>
      </c>
      <c r="O179" s="21"/>
      <c r="P179" s="21"/>
      <c r="Q179" s="29"/>
      <c r="S179" s="134" t="str">
        <f>K29</f>
        <v>12</v>
      </c>
      <c r="T179" s="135" t="str">
        <f>K30</f>
        <v>5000</v>
      </c>
      <c r="U179" s="136"/>
      <c r="V179" s="21"/>
      <c r="W179" s="137" t="str">
        <f>IF(A120="YES",A40,0)</f>
        <v>12</v>
      </c>
      <c r="X179" s="21"/>
      <c r="Y179" s="21"/>
      <c r="Z179" s="29"/>
      <c r="AB179" s="134" t="str">
        <f>K29</f>
        <v>12</v>
      </c>
      <c r="AC179" s="135" t="str">
        <f>K30</f>
        <v>5000</v>
      </c>
      <c r="AD179" s="136"/>
      <c r="AE179" s="21"/>
      <c r="AF179" s="137" t="str">
        <f>IF(A120="YES",A40,0)</f>
        <v>12</v>
      </c>
      <c r="AG179" s="21"/>
      <c r="AH179" s="21"/>
      <c r="AI179" s="29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199</v>
      </c>
      <c r="B181" s="28" t="s">
        <v>200</v>
      </c>
      <c r="C181" s="28"/>
      <c r="D181" s="21"/>
      <c r="E181" s="28" t="s">
        <v>201</v>
      </c>
      <c r="F181" s="21"/>
      <c r="G181" s="21"/>
      <c r="H181" s="29"/>
      <c r="J181" s="27" t="s">
        <v>199</v>
      </c>
      <c r="K181" s="28" t="s">
        <v>200</v>
      </c>
      <c r="L181" s="28"/>
      <c r="M181" s="21"/>
      <c r="N181" s="28" t="s">
        <v>201</v>
      </c>
      <c r="O181" s="21"/>
      <c r="P181" s="21"/>
      <c r="Q181" s="29"/>
      <c r="S181" s="27" t="s">
        <v>199</v>
      </c>
      <c r="T181" s="28" t="s">
        <v>200</v>
      </c>
      <c r="U181" s="28"/>
      <c r="V181" s="21"/>
      <c r="W181" s="28" t="s">
        <v>201</v>
      </c>
      <c r="X181" s="21"/>
      <c r="Y181" s="21"/>
      <c r="Z181" s="29"/>
      <c r="AB181" s="27" t="s">
        <v>199</v>
      </c>
      <c r="AC181" s="28" t="s">
        <v>200</v>
      </c>
      <c r="AD181" s="28"/>
      <c r="AE181" s="21"/>
      <c r="AF181" s="28" t="s">
        <v>201</v>
      </c>
      <c r="AG181" s="21"/>
      <c r="AH181" s="21"/>
      <c r="AI181" s="29"/>
    </row>
    <row r="182" spans="1:35">
      <c r="A182" s="138">
        <f>H150-H146-H148-H149</f>
        <v>20416.669999999998</v>
      </c>
      <c r="B182" s="34">
        <f>H146</f>
        <v>4083.3339999999998</v>
      </c>
      <c r="C182" s="38"/>
      <c r="D182" s="21"/>
      <c r="E182" s="137">
        <f>H148+H149</f>
        <v>0</v>
      </c>
      <c r="F182" s="21"/>
      <c r="G182" s="21"/>
      <c r="H182" s="29"/>
      <c r="J182" s="138" t="e">
        <f>Q150-Q146-Q148-Q149</f>
        <v>#VALUE!</v>
      </c>
      <c r="K182" s="34" t="e">
        <f>Q146</f>
        <v>#VALUE!</v>
      </c>
      <c r="L182" s="38"/>
      <c r="M182" s="21"/>
      <c r="N182" s="137">
        <f>Q148+Q149</f>
        <v>55</v>
      </c>
      <c r="O182" s="21"/>
      <c r="P182" s="21"/>
      <c r="Q182" s="29"/>
      <c r="S182" s="138" t="e">
        <f>Z150-Z146-Z148-Z149</f>
        <v>#VALUE!</v>
      </c>
      <c r="T182" s="34" t="e">
        <f>Z146</f>
        <v>#VALUE!</v>
      </c>
      <c r="U182" s="38"/>
      <c r="V182" s="21"/>
      <c r="W182" s="137">
        <f>Z148+Z149</f>
        <v>55</v>
      </c>
      <c r="X182" s="21"/>
      <c r="Y182" s="21"/>
      <c r="Z182" s="29"/>
      <c r="AB182" s="138" t="e">
        <f>AI150-AI146-AI148-AI149</f>
        <v>#VALUE!</v>
      </c>
      <c r="AC182" s="34" t="e">
        <f>AI146</f>
        <v>#VALUE!</v>
      </c>
      <c r="AD182" s="38"/>
      <c r="AE182" s="21"/>
      <c r="AF182" s="137">
        <f>AI148+AI149</f>
        <v>55</v>
      </c>
      <c r="AG182" s="21"/>
      <c r="AH182" s="21"/>
      <c r="AI182" s="29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202</v>
      </c>
      <c r="B184" s="28" t="s">
        <v>148</v>
      </c>
      <c r="C184" s="28"/>
      <c r="D184" s="21"/>
      <c r="E184" s="28" t="s">
        <v>149</v>
      </c>
      <c r="F184" s="21"/>
      <c r="G184" s="21"/>
      <c r="H184" s="29"/>
      <c r="J184" s="27" t="s">
        <v>202</v>
      </c>
      <c r="K184" s="28" t="s">
        <v>148</v>
      </c>
      <c r="L184" s="28"/>
      <c r="M184" s="21"/>
      <c r="N184" s="28" t="s">
        <v>149</v>
      </c>
      <c r="O184" s="21"/>
      <c r="P184" s="21"/>
      <c r="Q184" s="29"/>
      <c r="S184" s="27" t="s">
        <v>202</v>
      </c>
      <c r="T184" s="28" t="s">
        <v>148</v>
      </c>
      <c r="U184" s="28"/>
      <c r="V184" s="21"/>
      <c r="W184" s="28" t="s">
        <v>149</v>
      </c>
      <c r="X184" s="21"/>
      <c r="Y184" s="21"/>
      <c r="Z184" s="29"/>
      <c r="AB184" s="27" t="s">
        <v>202</v>
      </c>
      <c r="AC184" s="28" t="s">
        <v>148</v>
      </c>
      <c r="AD184" s="28"/>
      <c r="AE184" s="21"/>
      <c r="AF184" s="28" t="s">
        <v>149</v>
      </c>
      <c r="AG184" s="21"/>
      <c r="AH184" s="21"/>
      <c r="AI184" s="29"/>
    </row>
    <row r="185" spans="1:35">
      <c r="A185" s="138">
        <f>H150</f>
        <v>24500.003999999997</v>
      </c>
      <c r="B185" s="34">
        <f>B120</f>
        <v>0</v>
      </c>
      <c r="C185" s="34"/>
      <c r="D185" s="21"/>
      <c r="E185" s="34">
        <f>E120</f>
        <v>0</v>
      </c>
      <c r="F185" s="21"/>
      <c r="G185" s="21"/>
      <c r="H185" s="90"/>
      <c r="J185" s="138" t="e">
        <f>Q150</f>
        <v>#VALUE!</v>
      </c>
      <c r="K185" s="34">
        <f>K120</f>
        <v>1000</v>
      </c>
      <c r="L185" s="34"/>
      <c r="M185" s="21"/>
      <c r="N185" s="34">
        <f>N120</f>
        <v>0</v>
      </c>
      <c r="O185" s="21"/>
      <c r="P185" s="21"/>
      <c r="Q185" s="90"/>
      <c r="S185" s="138" t="e">
        <f>Z150</f>
        <v>#VALUE!</v>
      </c>
      <c r="T185" s="34">
        <f>T120</f>
        <v>1000</v>
      </c>
      <c r="U185" s="34"/>
      <c r="V185" s="21"/>
      <c r="W185" s="34">
        <f>W120</f>
        <v>0</v>
      </c>
      <c r="X185" s="21"/>
      <c r="Y185" s="21"/>
      <c r="Z185" s="90"/>
      <c r="AB185" s="138" t="e">
        <f>AI150</f>
        <v>#VALUE!</v>
      </c>
      <c r="AC185" s="34">
        <f>AC120</f>
        <v>1000</v>
      </c>
      <c r="AD185" s="34"/>
      <c r="AE185" s="21"/>
      <c r="AF185" s="34">
        <f>AF120</f>
        <v>0</v>
      </c>
      <c r="AG185" s="21"/>
      <c r="AH185" s="21"/>
      <c r="AI185" s="90"/>
    </row>
    <row r="186" spans="1:35">
      <c r="A186" s="27"/>
      <c r="B186" s="28"/>
      <c r="C186" s="28"/>
      <c r="D186" s="21"/>
      <c r="E186" s="28"/>
      <c r="F186" s="21"/>
      <c r="G186" s="21"/>
      <c r="H186" s="29"/>
      <c r="J186" s="27"/>
      <c r="K186" s="28"/>
      <c r="L186" s="28"/>
      <c r="M186" s="21"/>
      <c r="N186" s="28"/>
      <c r="O186" s="21"/>
      <c r="P186" s="21"/>
      <c r="Q186" s="29"/>
      <c r="S186" s="27"/>
      <c r="T186" s="28"/>
      <c r="U186" s="28"/>
      <c r="V186" s="21"/>
      <c r="W186" s="28"/>
      <c r="X186" s="21"/>
      <c r="Y186" s="21"/>
      <c r="Z186" s="29"/>
      <c r="AB186" s="27"/>
      <c r="AC186" s="28"/>
      <c r="AD186" s="28"/>
      <c r="AE186" s="21"/>
      <c r="AF186" s="28"/>
      <c r="AG186" s="21"/>
      <c r="AH186" s="21"/>
      <c r="AI186" s="29"/>
    </row>
    <row r="187" spans="1:35">
      <c r="A187" s="27" t="s">
        <v>150</v>
      </c>
      <c r="B187" s="28" t="s">
        <v>185</v>
      </c>
      <c r="C187" s="28"/>
      <c r="D187" s="21"/>
      <c r="E187" s="28" t="s">
        <v>191</v>
      </c>
      <c r="F187" s="21"/>
      <c r="G187" s="21"/>
      <c r="H187" s="29"/>
      <c r="J187" s="27" t="s">
        <v>150</v>
      </c>
      <c r="K187" s="28" t="s">
        <v>185</v>
      </c>
      <c r="L187" s="28"/>
      <c r="M187" s="21"/>
      <c r="N187" s="28" t="s">
        <v>191</v>
      </c>
      <c r="O187" s="21"/>
      <c r="P187" s="21"/>
      <c r="Q187" s="29"/>
      <c r="S187" s="27" t="s">
        <v>150</v>
      </c>
      <c r="T187" s="28" t="s">
        <v>185</v>
      </c>
      <c r="U187" s="28"/>
      <c r="V187" s="21"/>
      <c r="W187" s="28" t="s">
        <v>191</v>
      </c>
      <c r="X187" s="21"/>
      <c r="Y187" s="21"/>
      <c r="Z187" s="29"/>
      <c r="AB187" s="27" t="s">
        <v>150</v>
      </c>
      <c r="AC187" s="28" t="s">
        <v>185</v>
      </c>
      <c r="AD187" s="28"/>
      <c r="AE187" s="21"/>
      <c r="AF187" s="28" t="s">
        <v>191</v>
      </c>
      <c r="AG187" s="21"/>
      <c r="AH187" s="21"/>
      <c r="AI187" s="29"/>
    </row>
    <row r="188" spans="1:35">
      <c r="A188" s="94">
        <f>B185+E185</f>
        <v>0</v>
      </c>
      <c r="B188" s="34">
        <f>G163</f>
        <v>0</v>
      </c>
      <c r="C188" s="34"/>
      <c r="D188" s="21"/>
      <c r="E188" s="34">
        <f>G167</f>
        <v>25900.003999999997</v>
      </c>
      <c r="F188" s="21"/>
      <c r="G188" s="21"/>
      <c r="H188" s="90"/>
      <c r="J188" s="94">
        <f>K185+N185</f>
        <v>1000</v>
      </c>
      <c r="K188" s="34">
        <f>P163</f>
        <v>-2000</v>
      </c>
      <c r="L188" s="34"/>
      <c r="M188" s="21"/>
      <c r="N188" s="34" t="e">
        <f>J185-J188-K188</f>
        <v>#VALUE!</v>
      </c>
      <c r="O188" s="21"/>
      <c r="P188" s="21"/>
      <c r="Q188" s="90"/>
      <c r="S188" s="94">
        <f>T185+W185</f>
        <v>1000</v>
      </c>
      <c r="T188" s="34">
        <f>Y163</f>
        <v>-2000</v>
      </c>
      <c r="U188" s="34"/>
      <c r="V188" s="21"/>
      <c r="W188" s="34" t="e">
        <f>S185-S188-T188</f>
        <v>#VALUE!</v>
      </c>
      <c r="X188" s="21"/>
      <c r="Y188" s="21"/>
      <c r="Z188" s="90"/>
      <c r="AB188" s="94">
        <f>AC185+AF185</f>
        <v>1000</v>
      </c>
      <c r="AC188" s="34">
        <f>AH163</f>
        <v>-2000</v>
      </c>
      <c r="AD188" s="34"/>
      <c r="AE188" s="21"/>
      <c r="AF188" s="34" t="e">
        <f>AB185-AB188-AC188</f>
        <v>#VALUE!</v>
      </c>
      <c r="AG188" s="21"/>
      <c r="AH188" s="21"/>
      <c r="AI188" s="90"/>
    </row>
    <row r="189" spans="1:35">
      <c r="A189" s="27"/>
      <c r="B189" s="28"/>
      <c r="C189" s="28"/>
      <c r="D189" s="21"/>
      <c r="E189" s="28"/>
      <c r="F189" s="21"/>
      <c r="G189" s="21"/>
      <c r="H189" s="29"/>
      <c r="J189" s="27"/>
      <c r="K189" s="28"/>
      <c r="L189" s="28"/>
      <c r="M189" s="21"/>
      <c r="N189" s="28"/>
      <c r="O189" s="21"/>
      <c r="P189" s="21"/>
      <c r="Q189" s="29"/>
      <c r="S189" s="27"/>
      <c r="T189" s="28"/>
      <c r="U189" s="28"/>
      <c r="V189" s="21"/>
      <c r="W189" s="28"/>
      <c r="X189" s="21"/>
      <c r="Y189" s="21"/>
      <c r="Z189" s="29"/>
      <c r="AB189" s="27"/>
      <c r="AC189" s="28"/>
      <c r="AD189" s="28"/>
      <c r="AE189" s="21"/>
      <c r="AF189" s="28"/>
      <c r="AG189" s="21"/>
      <c r="AH189" s="21"/>
      <c r="AI189" s="29"/>
    </row>
    <row r="190" spans="1:35">
      <c r="A190" s="27" t="s">
        <v>203</v>
      </c>
      <c r="B190" s="28" t="s">
        <v>66</v>
      </c>
      <c r="C190" s="28"/>
      <c r="D190" s="21"/>
      <c r="E190" s="28" t="s">
        <v>204</v>
      </c>
      <c r="F190" s="21"/>
      <c r="G190" s="21"/>
      <c r="H190" s="29"/>
      <c r="J190" s="27" t="s">
        <v>203</v>
      </c>
      <c r="K190" s="28" t="s">
        <v>66</v>
      </c>
      <c r="L190" s="28"/>
      <c r="M190" s="21"/>
      <c r="N190" s="28" t="s">
        <v>204</v>
      </c>
      <c r="O190" s="21"/>
      <c r="P190" s="21"/>
      <c r="Q190" s="29"/>
      <c r="S190" s="27" t="s">
        <v>203</v>
      </c>
      <c r="T190" s="28" t="s">
        <v>66</v>
      </c>
      <c r="U190" s="28"/>
      <c r="V190" s="21"/>
      <c r="W190" s="28" t="s">
        <v>204</v>
      </c>
      <c r="X190" s="21"/>
      <c r="Y190" s="21"/>
      <c r="Z190" s="29"/>
      <c r="AB190" s="27" t="s">
        <v>203</v>
      </c>
      <c r="AC190" s="28" t="s">
        <v>66</v>
      </c>
      <c r="AD190" s="28"/>
      <c r="AE190" s="21"/>
      <c r="AF190" s="28" t="s">
        <v>204</v>
      </c>
      <c r="AG190" s="21"/>
      <c r="AH190" s="21"/>
      <c r="AI190" s="29"/>
    </row>
    <row r="191" spans="1:35">
      <c r="A191" s="94">
        <f>(A176*B68)+E194-E188-A194</f>
        <v>-2980.4979624098414</v>
      </c>
      <c r="B191" s="34">
        <f>B123</f>
        <v>1000</v>
      </c>
      <c r="C191" s="34"/>
      <c r="D191" s="21"/>
      <c r="E191" s="34">
        <f>E188+A191+B191+A194</f>
        <v>23929.506037590156</v>
      </c>
      <c r="F191" s="21"/>
      <c r="G191" s="21"/>
      <c r="H191" s="90"/>
      <c r="J191" s="94" t="e">
        <f>(J176*K68)+N194-N188-J194</f>
        <v>#VALUE!</v>
      </c>
      <c r="K191" s="34">
        <f>K123</f>
        <v>239.99</v>
      </c>
      <c r="L191" s="34"/>
      <c r="M191" s="21"/>
      <c r="N191" s="34" t="e">
        <f>N188+J191+K191+J194</f>
        <v>#VALUE!</v>
      </c>
      <c r="O191" s="21"/>
      <c r="P191" s="21"/>
      <c r="Q191" s="90"/>
      <c r="S191" s="94" t="e">
        <f>(S176*T68)+W194-W188-S194</f>
        <v>#VALUE!</v>
      </c>
      <c r="T191" s="34">
        <f>T123</f>
        <v>199.99</v>
      </c>
      <c r="U191" s="34"/>
      <c r="V191" s="21"/>
      <c r="W191" s="34" t="e">
        <f>W188+S191+T191+S194</f>
        <v>#VALUE!</v>
      </c>
      <c r="X191" s="21"/>
      <c r="Y191" s="21"/>
      <c r="Z191" s="90"/>
      <c r="AB191" s="94" t="e">
        <f>(AB176*AC68)+AF194-AF188-AB194</f>
        <v>#VALUE!</v>
      </c>
      <c r="AC191" s="34">
        <f>AC123</f>
        <v>239.99</v>
      </c>
      <c r="AD191" s="34"/>
      <c r="AE191" s="21"/>
      <c r="AF191" s="34" t="e">
        <f>AF188+AB191+AC191+AB194</f>
        <v>#VALUE!</v>
      </c>
      <c r="AG191" s="21"/>
      <c r="AH191" s="21"/>
      <c r="AI191" s="90"/>
    </row>
    <row r="192" spans="1:35">
      <c r="A192" s="27"/>
      <c r="B192" s="28"/>
      <c r="C192" s="28"/>
      <c r="D192" s="21"/>
      <c r="E192" s="28"/>
      <c r="F192" s="21"/>
      <c r="G192" s="21"/>
      <c r="H192" s="29"/>
      <c r="J192" s="27"/>
      <c r="K192" s="28"/>
      <c r="L192" s="28"/>
      <c r="M192" s="21"/>
      <c r="N192" s="28"/>
      <c r="O192" s="21"/>
      <c r="P192" s="21"/>
      <c r="Q192" s="29"/>
      <c r="S192" s="27"/>
      <c r="T192" s="28"/>
      <c r="U192" s="28"/>
      <c r="V192" s="21"/>
      <c r="W192" s="28"/>
      <c r="X192" s="21"/>
      <c r="Y192" s="21"/>
      <c r="Z192" s="29"/>
      <c r="AB192" s="27"/>
      <c r="AC192" s="28"/>
      <c r="AD192" s="28"/>
      <c r="AE192" s="21"/>
      <c r="AF192" s="28"/>
      <c r="AG192" s="21"/>
      <c r="AH192" s="21"/>
      <c r="AI192" s="29"/>
    </row>
    <row r="193" spans="1:35">
      <c r="A193" s="27" t="s">
        <v>205</v>
      </c>
      <c r="B193" s="28" t="s">
        <v>206</v>
      </c>
      <c r="C193" s="28"/>
      <c r="D193" s="21"/>
      <c r="E193" s="28" t="s">
        <v>207</v>
      </c>
      <c r="F193" s="21"/>
      <c r="G193" s="21"/>
      <c r="H193" s="29"/>
      <c r="J193" s="27" t="s">
        <v>205</v>
      </c>
      <c r="K193" s="28" t="s">
        <v>206</v>
      </c>
      <c r="L193" s="28"/>
      <c r="M193" s="21"/>
      <c r="N193" s="28" t="s">
        <v>207</v>
      </c>
      <c r="O193" s="21"/>
      <c r="P193" s="21"/>
      <c r="Q193" s="29"/>
      <c r="S193" s="27" t="s">
        <v>205</v>
      </c>
      <c r="T193" s="28" t="s">
        <v>206</v>
      </c>
      <c r="U193" s="28"/>
      <c r="V193" s="21"/>
      <c r="W193" s="28" t="s">
        <v>207</v>
      </c>
      <c r="X193" s="21"/>
      <c r="Y193" s="21"/>
      <c r="Z193" s="29"/>
      <c r="AB193" s="27" t="s">
        <v>205</v>
      </c>
      <c r="AC193" s="28" t="s">
        <v>206</v>
      </c>
      <c r="AD193" s="28"/>
      <c r="AE193" s="21"/>
      <c r="AF193" s="28" t="s">
        <v>207</v>
      </c>
      <c r="AG193" s="21"/>
      <c r="AH193" s="21"/>
      <c r="AI193" s="29"/>
    </row>
    <row r="194" spans="1:35">
      <c r="A194" s="94">
        <f>B69</f>
        <v>10</v>
      </c>
      <c r="B194" s="34">
        <f>A188+B191</f>
        <v>1000</v>
      </c>
      <c r="C194" s="34"/>
      <c r="D194" s="21"/>
      <c r="E194" s="34">
        <f>IF( E179=0, A194+E176, E179+A194)</f>
        <v>6010</v>
      </c>
      <c r="F194" s="21"/>
      <c r="G194" s="21"/>
      <c r="H194" s="90"/>
      <c r="J194" s="94">
        <f>K69</f>
        <v>20</v>
      </c>
      <c r="K194" s="34">
        <f>J188+K191</f>
        <v>1239.99</v>
      </c>
      <c r="L194" s="34"/>
      <c r="M194" s="21"/>
      <c r="N194" s="34">
        <f>N179+J194</f>
        <v>32</v>
      </c>
      <c r="O194" s="21"/>
      <c r="P194" s="21"/>
      <c r="Q194" s="90"/>
      <c r="S194" s="94">
        <f>T69</f>
        <v>10</v>
      </c>
      <c r="T194" s="34">
        <f>S188+T191</f>
        <v>1199.99</v>
      </c>
      <c r="U194" s="34"/>
      <c r="V194" s="21"/>
      <c r="W194" s="34">
        <f>W179+S194</f>
        <v>22</v>
      </c>
      <c r="X194" s="21"/>
      <c r="Y194" s="21"/>
      <c r="Z194" s="90"/>
      <c r="AB194" s="94">
        <f>AC69</f>
        <v>10</v>
      </c>
      <c r="AC194" s="34">
        <f>AB188+AC191</f>
        <v>1239.99</v>
      </c>
      <c r="AD194" s="34"/>
      <c r="AE194" s="21"/>
      <c r="AF194" s="34">
        <f>AF179+AB194</f>
        <v>22</v>
      </c>
      <c r="AG194" s="21"/>
      <c r="AH194" s="21"/>
      <c r="AI194" s="90"/>
    </row>
    <row r="195" spans="1:35">
      <c r="A195" s="27"/>
      <c r="B195" s="28"/>
      <c r="C195" s="28"/>
      <c r="D195" s="28"/>
      <c r="E195" s="21"/>
      <c r="F195" s="21"/>
      <c r="G195" s="21"/>
      <c r="H195" s="29"/>
      <c r="J195" s="27"/>
      <c r="K195" s="28"/>
      <c r="L195" s="28"/>
      <c r="M195" s="28"/>
      <c r="N195" s="21"/>
      <c r="O195" s="21"/>
      <c r="P195" s="21"/>
      <c r="Q195" s="29"/>
      <c r="S195" s="27"/>
      <c r="T195" s="28"/>
      <c r="U195" s="28"/>
      <c r="V195" s="28"/>
      <c r="W195" s="21"/>
      <c r="X195" s="28"/>
      <c r="Y195" s="28"/>
      <c r="Z195" s="29"/>
      <c r="AB195" s="27"/>
      <c r="AC195" s="28"/>
      <c r="AD195" s="28"/>
      <c r="AE195" s="28"/>
      <c r="AF195" s="21"/>
      <c r="AG195" s="21"/>
      <c r="AH195" s="21"/>
      <c r="AI195" s="29"/>
    </row>
    <row r="196" spans="1:35">
      <c r="A196" s="27" t="s">
        <v>208</v>
      </c>
      <c r="B196" s="28" t="s">
        <v>209</v>
      </c>
      <c r="C196" s="28"/>
      <c r="D196" s="28"/>
      <c r="E196" s="35" t="s">
        <v>210</v>
      </c>
      <c r="F196" s="21"/>
      <c r="G196" s="21"/>
      <c r="H196" s="29"/>
      <c r="J196" s="27" t="s">
        <v>208</v>
      </c>
      <c r="K196" s="28" t="s">
        <v>209</v>
      </c>
      <c r="L196" s="28"/>
      <c r="M196" s="28"/>
      <c r="N196" s="35" t="s">
        <v>210</v>
      </c>
      <c r="O196" s="21"/>
      <c r="P196" s="21"/>
      <c r="Q196" s="29"/>
      <c r="S196" s="27" t="s">
        <v>208</v>
      </c>
      <c r="T196" s="28" t="s">
        <v>209</v>
      </c>
      <c r="U196" s="28"/>
      <c r="V196" s="28"/>
      <c r="W196" s="35" t="s">
        <v>210</v>
      </c>
      <c r="X196" s="28"/>
      <c r="Y196" s="28"/>
      <c r="Z196" s="29"/>
      <c r="AB196" s="27" t="s">
        <v>208</v>
      </c>
      <c r="AC196" s="28" t="s">
        <v>209</v>
      </c>
      <c r="AD196" s="28"/>
      <c r="AE196" s="28"/>
      <c r="AF196" s="35" t="s">
        <v>210</v>
      </c>
      <c r="AG196" s="28"/>
      <c r="AH196" s="28"/>
      <c r="AI196" s="29"/>
    </row>
    <row r="197" spans="1:35">
      <c r="A197" s="94">
        <f>J18*0.000002*100*1.2</f>
        <v>8.9769600000000001</v>
      </c>
      <c r="B197" s="34">
        <f>(G167*B76)</f>
        <v>518.00007999999991</v>
      </c>
      <c r="C197" s="28"/>
      <c r="D197" s="28"/>
      <c r="E197" s="34">
        <f>K55*A117*0.1</f>
        <v>0</v>
      </c>
      <c r="F197" s="21"/>
      <c r="G197" s="21"/>
      <c r="H197" s="29"/>
      <c r="J197" s="94">
        <f>IF(N114="YES",H15*0.000002,0)</f>
        <v>0</v>
      </c>
      <c r="K197" s="34" t="e">
        <f>(P167*K76)/1.2</f>
        <v>#VALUE!</v>
      </c>
      <c r="L197" s="28"/>
      <c r="M197" s="28"/>
      <c r="N197" s="34">
        <f>(E40*J117)*0.1</f>
        <v>0</v>
      </c>
      <c r="O197" s="21"/>
      <c r="P197" s="21"/>
      <c r="Q197" s="29"/>
      <c r="S197" s="94">
        <f>IF(W114="YES",Z15*0.000002,0)</f>
        <v>0</v>
      </c>
      <c r="T197" s="34" t="e">
        <f>(Y167*T76)/1.2</f>
        <v>#VALUE!</v>
      </c>
      <c r="U197" s="28"/>
      <c r="V197" s="28"/>
      <c r="W197" s="34">
        <f>(E40*S117)*0.1</f>
        <v>0</v>
      </c>
      <c r="X197" s="28"/>
      <c r="Y197" s="28"/>
      <c r="Z197" s="29"/>
      <c r="AB197" s="94">
        <f>IF(AF114="YES",AI15*0.000002,0)</f>
        <v>0</v>
      </c>
      <c r="AC197" s="34" t="e">
        <f>(AH167*AC76)/1.2</f>
        <v>#VALUE!</v>
      </c>
      <c r="AD197" s="28"/>
      <c r="AE197" s="28"/>
      <c r="AF197" s="34">
        <f>(E40*AB117)*0.1</f>
        <v>0</v>
      </c>
      <c r="AG197" s="28"/>
      <c r="AH197" s="28"/>
      <c r="AI197" s="29"/>
    </row>
    <row r="198" spans="1:35">
      <c r="A198" s="94"/>
      <c r="B198" s="34"/>
      <c r="C198" s="28"/>
      <c r="D198" s="28"/>
      <c r="E198" s="21"/>
      <c r="F198" s="21"/>
      <c r="G198" s="21"/>
      <c r="H198" s="29"/>
      <c r="J198" s="94"/>
      <c r="K198" s="34"/>
      <c r="L198" s="28"/>
      <c r="M198" s="28"/>
      <c r="N198" s="21"/>
      <c r="O198" s="21"/>
      <c r="P198" s="21"/>
      <c r="Q198" s="29"/>
      <c r="S198" s="94"/>
      <c r="T198" s="34"/>
      <c r="U198" s="28"/>
      <c r="V198" s="28"/>
      <c r="W198" s="21"/>
      <c r="X198" s="28"/>
      <c r="Y198" s="28"/>
      <c r="Z198" s="29"/>
      <c r="AB198" s="94"/>
      <c r="AC198" s="34"/>
      <c r="AD198" s="28"/>
      <c r="AE198" s="28"/>
      <c r="AF198" s="21"/>
      <c r="AG198" s="28"/>
      <c r="AH198" s="28"/>
      <c r="AI198" s="29"/>
    </row>
    <row r="199" spans="1:35">
      <c r="A199" s="53" t="s">
        <v>211</v>
      </c>
      <c r="B199" s="35" t="s">
        <v>212</v>
      </c>
      <c r="C199" s="28"/>
      <c r="D199" s="28"/>
      <c r="E199" s="35" t="s">
        <v>213</v>
      </c>
      <c r="F199" s="21"/>
      <c r="G199" s="21"/>
      <c r="H199" s="29"/>
      <c r="J199" s="53" t="s">
        <v>211</v>
      </c>
      <c r="K199" s="35" t="s">
        <v>212</v>
      </c>
      <c r="L199" s="28"/>
      <c r="M199" s="28"/>
      <c r="N199" s="35" t="s">
        <v>213</v>
      </c>
      <c r="O199" s="21"/>
      <c r="P199" s="21"/>
      <c r="Q199" s="29"/>
      <c r="S199" s="53" t="s">
        <v>211</v>
      </c>
      <c r="T199" s="35" t="s">
        <v>212</v>
      </c>
      <c r="U199" s="28"/>
      <c r="V199" s="28"/>
      <c r="W199" s="35" t="s">
        <v>213</v>
      </c>
      <c r="X199" s="28"/>
      <c r="Y199" s="28"/>
      <c r="Z199" s="29"/>
      <c r="AB199" s="53" t="s">
        <v>211</v>
      </c>
      <c r="AC199" s="35" t="s">
        <v>212</v>
      </c>
      <c r="AD199" s="28"/>
      <c r="AE199" s="28"/>
      <c r="AF199" s="35" t="s">
        <v>213</v>
      </c>
      <c r="AG199" s="28"/>
      <c r="AH199" s="28"/>
      <c r="AI199" s="29"/>
    </row>
    <row r="200" spans="1:35">
      <c r="A200" s="94">
        <v>10</v>
      </c>
      <c r="B200" s="34">
        <f>B197+E197+A200</f>
        <v>528.00007999999991</v>
      </c>
      <c r="C200" s="28"/>
      <c r="D200" s="28"/>
      <c r="E200" s="34">
        <f>H157</f>
        <v>1916.6699999999973</v>
      </c>
      <c r="F200" s="21"/>
      <c r="G200" s="21"/>
      <c r="H200" s="29"/>
      <c r="J200" s="94">
        <f>K194-100</f>
        <v>1139.99</v>
      </c>
      <c r="K200" s="34" t="e">
        <f>K197+N197+J200</f>
        <v>#VALUE!</v>
      </c>
      <c r="L200" s="28"/>
      <c r="M200" s="28"/>
      <c r="N200" s="34" t="e">
        <f>Q157</f>
        <v>#VALUE!</v>
      </c>
      <c r="O200" s="21"/>
      <c r="P200" s="21"/>
      <c r="Q200" s="29"/>
      <c r="S200" s="94">
        <f>T194-100</f>
        <v>1099.99</v>
      </c>
      <c r="T200" s="34" t="e">
        <f>T197+W197+S200</f>
        <v>#VALUE!</v>
      </c>
      <c r="U200" s="28"/>
      <c r="V200" s="28"/>
      <c r="W200" s="34" t="e">
        <f>Z157</f>
        <v>#VALUE!</v>
      </c>
      <c r="X200" s="28"/>
      <c r="Y200" s="28"/>
      <c r="Z200" s="29"/>
      <c r="AB200" s="94">
        <f>AC194-100</f>
        <v>1139.99</v>
      </c>
      <c r="AC200" s="34" t="e">
        <f>AC197+AF197+AB200</f>
        <v>#VALUE!</v>
      </c>
      <c r="AD200" s="28"/>
      <c r="AE200" s="28"/>
      <c r="AF200" s="34" t="e">
        <f>AI157</f>
        <v>#VALUE!</v>
      </c>
      <c r="AG200" s="28"/>
      <c r="AH200" s="28"/>
      <c r="AI200" s="29"/>
    </row>
    <row r="201" spans="1:35">
      <c r="A201" s="27"/>
      <c r="B201" s="28"/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58" t="s">
        <v>214</v>
      </c>
      <c r="B202" s="28"/>
      <c r="C202" s="28"/>
      <c r="D202" s="59"/>
      <c r="E202" s="59"/>
      <c r="F202" s="59"/>
      <c r="G202" s="59"/>
      <c r="H202" s="60"/>
      <c r="J202" s="58" t="s">
        <v>214</v>
      </c>
      <c r="K202" s="28"/>
      <c r="L202" s="28"/>
      <c r="M202" s="59"/>
      <c r="N202" s="59"/>
      <c r="O202" s="59"/>
      <c r="P202" s="59"/>
      <c r="Q202" s="60"/>
      <c r="S202" s="58" t="s">
        <v>214</v>
      </c>
      <c r="T202" s="28"/>
      <c r="U202" s="28"/>
      <c r="V202" s="59"/>
      <c r="W202" s="59"/>
      <c r="X202" s="59"/>
      <c r="Y202" s="59"/>
      <c r="Z202" s="60"/>
      <c r="AB202" s="58" t="s">
        <v>214</v>
      </c>
      <c r="AC202" s="28"/>
      <c r="AD202" s="28"/>
      <c r="AE202" s="59"/>
      <c r="AF202" s="59"/>
      <c r="AG202" s="59"/>
      <c r="AH202" s="59"/>
      <c r="AI202" s="60"/>
    </row>
    <row r="203" spans="1:35">
      <c r="A203" s="27"/>
      <c r="B203" s="61"/>
      <c r="C203" s="61"/>
      <c r="D203" s="28"/>
      <c r="E203" s="21"/>
      <c r="F203" s="21"/>
      <c r="G203" s="21"/>
      <c r="H203" s="29"/>
      <c r="J203" s="27"/>
      <c r="K203" s="61"/>
      <c r="L203" s="61"/>
      <c r="M203" s="28"/>
      <c r="N203" s="21"/>
      <c r="O203" s="21"/>
      <c r="P203" s="21"/>
      <c r="Q203" s="29"/>
      <c r="S203" s="27"/>
      <c r="T203" s="61"/>
      <c r="U203" s="61"/>
      <c r="V203" s="28"/>
      <c r="W203" s="21"/>
      <c r="X203" s="21"/>
      <c r="Y203" s="21"/>
      <c r="Z203" s="29"/>
      <c r="AB203" s="27"/>
      <c r="AC203" s="61"/>
      <c r="AD203" s="61"/>
      <c r="AE203" s="28"/>
      <c r="AF203" s="21"/>
      <c r="AG203" s="21"/>
      <c r="AH203" s="21"/>
      <c r="AI203" s="29"/>
    </row>
    <row r="204" spans="1:35" ht="21">
      <c r="A204" s="369" t="s">
        <v>94</v>
      </c>
      <c r="B204" s="341" t="s">
        <v>95</v>
      </c>
      <c r="C204" s="341"/>
      <c r="D204" s="341"/>
      <c r="E204" s="21"/>
      <c r="F204" s="21"/>
      <c r="G204" s="21"/>
      <c r="H204" s="29"/>
      <c r="J204" s="369" t="s">
        <v>94</v>
      </c>
      <c r="K204" s="370" t="s">
        <v>95</v>
      </c>
      <c r="L204" s="370"/>
      <c r="M204" s="370"/>
      <c r="N204" s="21"/>
      <c r="O204" s="21"/>
      <c r="P204" s="21"/>
      <c r="Q204" s="29"/>
      <c r="S204" s="369" t="s">
        <v>94</v>
      </c>
      <c r="T204" s="341" t="s">
        <v>95</v>
      </c>
      <c r="U204" s="341"/>
      <c r="V204" s="341"/>
      <c r="W204" s="21"/>
      <c r="X204" s="21"/>
      <c r="Y204" s="21"/>
      <c r="Z204" s="29"/>
      <c r="AB204" s="369" t="s">
        <v>94</v>
      </c>
      <c r="AC204" s="341" t="s">
        <v>95</v>
      </c>
      <c r="AD204" s="341"/>
      <c r="AE204" s="341"/>
      <c r="AF204" s="21"/>
      <c r="AG204" s="21"/>
      <c r="AH204" s="21"/>
      <c r="AI204" s="29"/>
    </row>
    <row r="205" spans="1:35" ht="19.5" customHeight="1">
      <c r="A205" s="369"/>
      <c r="B205" s="342" t="str">
        <f>K30</f>
        <v>5000</v>
      </c>
      <c r="C205" s="342"/>
      <c r="D205" s="342"/>
      <c r="E205" s="21"/>
      <c r="F205" s="21"/>
      <c r="G205" s="21"/>
      <c r="H205" s="29"/>
      <c r="J205" s="369"/>
      <c r="K205" s="371" t="str">
        <f>K30</f>
        <v>5000</v>
      </c>
      <c r="L205" s="371"/>
      <c r="M205" s="371"/>
      <c r="N205" s="21"/>
      <c r="O205" s="21"/>
      <c r="P205" s="21"/>
      <c r="Q205" s="29"/>
      <c r="S205" s="369"/>
      <c r="T205" s="342" t="str">
        <f>K30</f>
        <v>5000</v>
      </c>
      <c r="U205" s="342"/>
      <c r="V205" s="342"/>
      <c r="W205" s="21"/>
      <c r="X205" s="21"/>
      <c r="Y205" s="21"/>
      <c r="Z205" s="29"/>
      <c r="AB205" s="369"/>
      <c r="AC205" s="342" t="str">
        <f>K30</f>
        <v>5000</v>
      </c>
      <c r="AD205" s="342"/>
      <c r="AE205" s="342"/>
      <c r="AF205" s="21"/>
      <c r="AG205" s="21"/>
      <c r="AH205" s="21"/>
      <c r="AI205" s="29"/>
    </row>
    <row r="206" spans="1:35">
      <c r="A206" s="62" t="str">
        <f>K29</f>
        <v>12</v>
      </c>
      <c r="B206" s="343">
        <f>B105</f>
        <v>1538.136912508196</v>
      </c>
      <c r="C206" s="343"/>
      <c r="D206" s="343"/>
      <c r="E206" s="21"/>
      <c r="F206" s="21"/>
      <c r="G206" s="21"/>
      <c r="H206" s="29"/>
      <c r="J206" s="62" t="str">
        <f>K29</f>
        <v>12</v>
      </c>
      <c r="K206" s="343" t="e">
        <f>K105</f>
        <v>#VALUE!</v>
      </c>
      <c r="L206" s="343"/>
      <c r="M206" s="343"/>
      <c r="N206" s="21"/>
      <c r="O206" s="21"/>
      <c r="P206" s="21"/>
      <c r="Q206" s="29"/>
      <c r="S206" s="62" t="str">
        <f>K29</f>
        <v>12</v>
      </c>
      <c r="T206" s="343" t="e">
        <f>T105</f>
        <v>#VALUE!</v>
      </c>
      <c r="U206" s="343"/>
      <c r="V206" s="343"/>
      <c r="W206" s="21"/>
      <c r="X206" s="21"/>
      <c r="Y206" s="21"/>
      <c r="Z206" s="29"/>
      <c r="AB206" s="62" t="str">
        <f>K29</f>
        <v>12</v>
      </c>
      <c r="AC206" s="343" t="e">
        <f>AC105</f>
        <v>#VALUE!</v>
      </c>
      <c r="AD206" s="343"/>
      <c r="AE206" s="343"/>
      <c r="AF206" s="21"/>
      <c r="AG206" s="21"/>
      <c r="AH206" s="21"/>
      <c r="AI206" s="29"/>
    </row>
    <row r="207" spans="1:35">
      <c r="A207" s="27"/>
      <c r="B207" s="28"/>
      <c r="C207" s="28"/>
      <c r="D207" s="28"/>
      <c r="E207" s="21"/>
      <c r="F207" s="21"/>
      <c r="G207" s="21"/>
      <c r="H207" s="29"/>
      <c r="J207" s="27"/>
      <c r="K207" s="28"/>
      <c r="L207" s="28"/>
      <c r="M207" s="28"/>
      <c r="N207" s="21"/>
      <c r="O207" s="21"/>
      <c r="P207" s="21"/>
      <c r="Q207" s="29"/>
      <c r="S207" s="27"/>
      <c r="T207" s="28"/>
      <c r="U207" s="28"/>
      <c r="V207" s="28"/>
      <c r="W207" s="21"/>
      <c r="X207" s="21"/>
      <c r="Y207" s="21"/>
      <c r="Z207" s="29"/>
      <c r="AB207" s="27"/>
      <c r="AC207" s="28"/>
      <c r="AD207" s="28"/>
      <c r="AE207" s="28"/>
      <c r="AF207" s="21"/>
      <c r="AG207" s="21"/>
      <c r="AH207" s="21"/>
      <c r="AI207" s="29"/>
    </row>
    <row r="208" spans="1:35">
      <c r="A208" s="27"/>
      <c r="B208" s="28"/>
      <c r="C208" s="28"/>
      <c r="D208" s="28"/>
      <c r="E208" s="21"/>
      <c r="F208" s="21"/>
      <c r="G208" s="21"/>
      <c r="H208" s="29"/>
      <c r="J208" s="27"/>
      <c r="K208" s="28"/>
      <c r="L208" s="28"/>
      <c r="M208" s="28"/>
      <c r="N208" s="21"/>
      <c r="O208" s="21"/>
      <c r="P208" s="21"/>
      <c r="Q208" s="29"/>
      <c r="S208" s="27"/>
      <c r="T208" s="28"/>
      <c r="U208" s="28"/>
      <c r="V208" s="28"/>
      <c r="W208" s="21"/>
      <c r="X208" s="21"/>
      <c r="Y208" s="21"/>
      <c r="Z208" s="29"/>
      <c r="AB208" s="27"/>
      <c r="AC208" s="28"/>
      <c r="AD208" s="28"/>
      <c r="AE208" s="28"/>
      <c r="AF208" s="21"/>
      <c r="AG208" s="21"/>
      <c r="AH208" s="21"/>
      <c r="AI208" s="29"/>
    </row>
    <row r="209" spans="1:35">
      <c r="A209" s="27" t="s">
        <v>215</v>
      </c>
      <c r="B209" s="28" t="s">
        <v>216</v>
      </c>
      <c r="C209" s="28"/>
      <c r="D209" s="28"/>
      <c r="E209" s="21"/>
      <c r="F209" s="21"/>
      <c r="G209" s="21"/>
      <c r="H209" s="29"/>
      <c r="J209" s="27"/>
      <c r="K209" s="28"/>
      <c r="L209" s="28"/>
      <c r="M209" s="28"/>
      <c r="N209" s="21"/>
      <c r="O209" s="21"/>
      <c r="P209" s="21"/>
      <c r="Q209" s="29"/>
      <c r="S209" s="27"/>
      <c r="T209" s="28"/>
      <c r="U209" s="28"/>
      <c r="V209" s="28"/>
      <c r="W209" s="21"/>
      <c r="X209" s="21"/>
      <c r="Y209" s="21"/>
      <c r="Z209" s="29"/>
      <c r="AB209" s="27"/>
      <c r="AC209" s="28"/>
      <c r="AD209" s="28"/>
      <c r="AE209" s="28"/>
      <c r="AF209" s="21"/>
      <c r="AG209" s="21"/>
      <c r="AH209" s="21"/>
      <c r="AI209" s="29"/>
    </row>
    <row r="210" spans="1:35">
      <c r="A210" s="32">
        <f>IF(A49=0,((G176*(B68+1))-E188),((G176*B68)+E194-E188-A194))</f>
        <v>-3812.6139999999978</v>
      </c>
      <c r="B210" s="38">
        <f>E188+A210+B191+A194</f>
        <v>23097.39</v>
      </c>
      <c r="C210" s="28"/>
      <c r="D210" s="28"/>
      <c r="E210" s="21"/>
      <c r="F210" s="21"/>
      <c r="G210" s="21"/>
      <c r="H210" s="29"/>
      <c r="J210" s="27"/>
      <c r="K210" s="28"/>
      <c r="L210" s="28"/>
      <c r="M210" s="28"/>
      <c r="N210" s="21"/>
      <c r="O210" s="21"/>
      <c r="P210" s="21"/>
      <c r="Q210" s="29"/>
      <c r="S210" s="27"/>
      <c r="T210" s="28"/>
      <c r="U210" s="28"/>
      <c r="V210" s="28"/>
      <c r="W210" s="21"/>
      <c r="X210" s="21"/>
      <c r="Y210" s="21"/>
      <c r="Z210" s="29"/>
      <c r="AB210" s="27"/>
      <c r="AC210" s="28"/>
      <c r="AD210" s="28"/>
      <c r="AE210" s="28"/>
      <c r="AF210" s="21"/>
      <c r="AG210" s="21"/>
      <c r="AH210" s="21"/>
      <c r="AI210" s="29"/>
    </row>
    <row r="211" spans="1:35">
      <c r="A211" s="49"/>
      <c r="B211" s="50"/>
      <c r="C211" s="50"/>
      <c r="D211" s="50"/>
      <c r="E211" s="50"/>
      <c r="F211" s="50"/>
      <c r="G211" s="50"/>
      <c r="H211" s="57"/>
      <c r="J211" s="49"/>
      <c r="K211" s="50"/>
      <c r="L211" s="50"/>
      <c r="M211" s="50"/>
      <c r="N211" s="50"/>
      <c r="O211" s="50"/>
      <c r="P211" s="50"/>
      <c r="Q211" s="57"/>
      <c r="S211" s="49"/>
      <c r="T211" s="50"/>
      <c r="U211" s="50"/>
      <c r="V211" s="50"/>
      <c r="W211" s="50"/>
      <c r="X211" s="50"/>
      <c r="Y211" s="50"/>
      <c r="Z211" s="57"/>
      <c r="AB211" s="49"/>
      <c r="AC211" s="50"/>
      <c r="AD211" s="50"/>
      <c r="AE211" s="50"/>
      <c r="AF211" s="50"/>
      <c r="AG211" s="50"/>
      <c r="AH211" s="50"/>
      <c r="AI211" s="57"/>
    </row>
    <row r="215" spans="1:35" ht="23.25">
      <c r="A215" s="372" t="s">
        <v>192</v>
      </c>
      <c r="B215" s="372"/>
      <c r="C215" s="372"/>
      <c r="D215" s="372"/>
      <c r="E215" s="372"/>
      <c r="F215" s="372"/>
      <c r="G215" s="372"/>
      <c r="H215" s="372"/>
    </row>
    <row r="216" spans="1:35">
      <c r="A216" s="27"/>
      <c r="B216" s="28"/>
      <c r="C216" s="28"/>
      <c r="D216" s="28"/>
      <c r="E216" s="21"/>
      <c r="F216" s="21"/>
      <c r="G216" s="21"/>
      <c r="H216" s="29"/>
    </row>
    <row r="217" spans="1:35">
      <c r="A217" s="139" t="s">
        <v>137</v>
      </c>
      <c r="B217" s="140" t="s">
        <v>52</v>
      </c>
      <c r="C217" s="140"/>
      <c r="D217" s="140"/>
      <c r="E217" s="140" t="s">
        <v>53</v>
      </c>
      <c r="F217" s="141"/>
      <c r="G217" s="21"/>
      <c r="H217" s="29"/>
    </row>
    <row r="218" spans="1:35">
      <c r="A218" s="142" t="s">
        <v>217</v>
      </c>
      <c r="B218" s="131" t="str">
        <f>A206</f>
        <v>12</v>
      </c>
      <c r="C218" s="131"/>
      <c r="D218" s="131"/>
      <c r="E218" s="131" t="str">
        <f>B205</f>
        <v>5000</v>
      </c>
      <c r="F218" s="141"/>
      <c r="G218" s="21"/>
      <c r="H218" s="29"/>
    </row>
    <row r="219" spans="1:35">
      <c r="A219" s="27"/>
      <c r="B219" s="28"/>
      <c r="C219" s="28"/>
      <c r="D219" s="28"/>
      <c r="E219" s="21"/>
      <c r="F219" s="21"/>
      <c r="G219" s="21"/>
      <c r="H219" s="29"/>
    </row>
    <row r="220" spans="1:35">
      <c r="A220" s="139" t="s">
        <v>194</v>
      </c>
      <c r="B220" s="140" t="s">
        <v>195</v>
      </c>
      <c r="C220" s="140"/>
      <c r="D220" s="140"/>
      <c r="E220" s="140" t="s">
        <v>196</v>
      </c>
      <c r="F220" s="21"/>
      <c r="G220" s="21"/>
      <c r="H220" s="29"/>
    </row>
    <row r="221" spans="1:35">
      <c r="A221" s="132">
        <f>A176</f>
        <v>1538.136912508196</v>
      </c>
      <c r="B221" s="133">
        <f>B176</f>
        <v>0</v>
      </c>
      <c r="C221" s="131"/>
      <c r="D221" s="131"/>
      <c r="E221" s="133">
        <f>E176</f>
        <v>1538.136912508196</v>
      </c>
      <c r="F221" s="21"/>
      <c r="G221" s="21"/>
      <c r="H221" s="29"/>
    </row>
    <row r="222" spans="1:35">
      <c r="A222" s="27"/>
      <c r="B222" s="28"/>
      <c r="C222" s="28"/>
      <c r="D222" s="28"/>
      <c r="E222" s="21"/>
      <c r="F222" s="21"/>
      <c r="G222" s="21"/>
      <c r="H222" s="29"/>
    </row>
    <row r="223" spans="1:35">
      <c r="A223" s="27" t="s">
        <v>199</v>
      </c>
      <c r="B223" s="28" t="s">
        <v>200</v>
      </c>
      <c r="C223" s="28"/>
      <c r="D223" s="21"/>
      <c r="E223" s="28" t="s">
        <v>201</v>
      </c>
      <c r="F223" s="21"/>
      <c r="G223" s="21"/>
      <c r="H223" s="29"/>
    </row>
    <row r="224" spans="1:35">
      <c r="A224" s="138">
        <f>A182</f>
        <v>20416.669999999998</v>
      </c>
      <c r="B224" s="34">
        <f>B182</f>
        <v>4083.3339999999998</v>
      </c>
      <c r="C224" s="38"/>
      <c r="D224" s="21"/>
      <c r="E224" s="137">
        <f>E182</f>
        <v>0</v>
      </c>
      <c r="F224" s="21"/>
      <c r="G224" s="21"/>
      <c r="H224" s="29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202</v>
      </c>
      <c r="B226" s="28" t="s">
        <v>148</v>
      </c>
      <c r="C226" s="28"/>
      <c r="D226" s="21"/>
      <c r="E226" s="28" t="s">
        <v>149</v>
      </c>
      <c r="F226" s="21"/>
      <c r="G226" s="21"/>
      <c r="H226" s="29"/>
    </row>
    <row r="227" spans="1:8">
      <c r="A227" s="138">
        <f>A185</f>
        <v>24500.003999999997</v>
      </c>
      <c r="B227" s="34">
        <f>B185</f>
        <v>0</v>
      </c>
      <c r="C227" s="34"/>
      <c r="D227" s="21"/>
      <c r="E227" s="34">
        <f>E185</f>
        <v>0</v>
      </c>
      <c r="F227" s="21"/>
      <c r="G227" s="21"/>
      <c r="H227" s="90"/>
    </row>
    <row r="228" spans="1:8">
      <c r="A228" s="27"/>
      <c r="B228" s="28"/>
      <c r="C228" s="28"/>
      <c r="D228" s="21"/>
      <c r="E228" s="28"/>
      <c r="F228" s="21"/>
      <c r="G228" s="21"/>
      <c r="H228" s="29"/>
    </row>
    <row r="229" spans="1:8">
      <c r="A229" s="27" t="s">
        <v>150</v>
      </c>
      <c r="B229" s="28" t="s">
        <v>185</v>
      </c>
      <c r="C229" s="28"/>
      <c r="D229" s="21"/>
      <c r="E229" s="28" t="s">
        <v>191</v>
      </c>
      <c r="F229" s="21"/>
      <c r="G229" s="21"/>
      <c r="H229" s="29"/>
    </row>
    <row r="230" spans="1:8">
      <c r="A230" s="94">
        <f>A188</f>
        <v>0</v>
      </c>
      <c r="B230" s="34">
        <f>B188</f>
        <v>0</v>
      </c>
      <c r="C230" s="34"/>
      <c r="D230" s="21"/>
      <c r="E230" s="34">
        <f>E188</f>
        <v>25900.003999999997</v>
      </c>
      <c r="F230" s="21"/>
      <c r="G230" s="21"/>
      <c r="H230" s="90"/>
    </row>
    <row r="231" spans="1:8">
      <c r="A231" s="27"/>
      <c r="B231" s="28"/>
      <c r="C231" s="28"/>
      <c r="D231" s="21"/>
      <c r="E231" s="28"/>
      <c r="F231" s="21"/>
      <c r="G231" s="21"/>
      <c r="H231" s="29"/>
    </row>
    <row r="232" spans="1:8">
      <c r="A232" s="27" t="s">
        <v>203</v>
      </c>
      <c r="B232" s="28" t="s">
        <v>66</v>
      </c>
      <c r="C232" s="28"/>
      <c r="D232" s="21"/>
      <c r="E232" s="28" t="s">
        <v>204</v>
      </c>
      <c r="F232" s="21"/>
      <c r="G232" s="21"/>
      <c r="H232" s="29"/>
    </row>
    <row r="233" spans="1:8">
      <c r="A233" s="94">
        <f>A191</f>
        <v>-2980.4979624098414</v>
      </c>
      <c r="B233" s="34">
        <f>B191</f>
        <v>1000</v>
      </c>
      <c r="C233" s="34"/>
      <c r="D233" s="21"/>
      <c r="E233" s="34">
        <f>E191</f>
        <v>23929.506037590156</v>
      </c>
      <c r="F233" s="21"/>
      <c r="G233" s="21"/>
      <c r="H233" s="90"/>
    </row>
    <row r="234" spans="1:8">
      <c r="A234" s="27"/>
      <c r="B234" s="28"/>
      <c r="C234" s="28"/>
      <c r="D234" s="21"/>
      <c r="E234" s="28"/>
      <c r="F234" s="21"/>
      <c r="G234" s="21"/>
      <c r="H234" s="29"/>
    </row>
    <row r="235" spans="1:8">
      <c r="A235" s="27" t="s">
        <v>205</v>
      </c>
      <c r="B235" s="28" t="s">
        <v>206</v>
      </c>
      <c r="C235" s="28"/>
      <c r="D235" s="21"/>
      <c r="E235" s="28" t="s">
        <v>218</v>
      </c>
      <c r="F235" s="21"/>
      <c r="G235" s="21"/>
      <c r="H235" s="29"/>
    </row>
    <row r="236" spans="1:8">
      <c r="A236" s="94">
        <f>A194</f>
        <v>10</v>
      </c>
      <c r="B236" s="34">
        <f>B194</f>
        <v>1000</v>
      </c>
      <c r="C236" s="34"/>
      <c r="D236" s="21"/>
      <c r="E236" s="34">
        <f>B68</f>
        <v>11</v>
      </c>
      <c r="F236" s="21"/>
      <c r="G236" s="21"/>
      <c r="H236" s="90"/>
    </row>
    <row r="237" spans="1:8">
      <c r="A237" s="27"/>
      <c r="B237" s="28"/>
      <c r="C237" s="28"/>
      <c r="D237" s="28"/>
      <c r="E237" s="21"/>
      <c r="F237" s="21"/>
      <c r="G237" s="21"/>
      <c r="H237" s="29"/>
    </row>
    <row r="238" spans="1:8">
      <c r="A238" s="27" t="s">
        <v>194</v>
      </c>
      <c r="B238" s="28" t="s">
        <v>195</v>
      </c>
      <c r="C238" s="28"/>
      <c r="D238" s="28"/>
      <c r="E238" s="28" t="s">
        <v>196</v>
      </c>
      <c r="F238" s="21"/>
      <c r="G238" s="21"/>
      <c r="H238" s="29"/>
    </row>
    <row r="239" spans="1:8">
      <c r="A239" s="94">
        <f>A176</f>
        <v>1538.136912508196</v>
      </c>
      <c r="B239" s="34">
        <f>B176</f>
        <v>0</v>
      </c>
      <c r="C239" s="38"/>
      <c r="D239" s="38"/>
      <c r="E239" s="34">
        <f>E176</f>
        <v>1538.136912508196</v>
      </c>
      <c r="F239" s="21"/>
      <c r="G239" s="21"/>
      <c r="H239" s="29"/>
    </row>
    <row r="240" spans="1:8">
      <c r="A240" s="27"/>
      <c r="B240" s="28"/>
      <c r="C240" s="28"/>
      <c r="D240" s="28"/>
      <c r="E240" s="21"/>
      <c r="F240" s="21"/>
      <c r="G240" s="21"/>
      <c r="H240" s="29"/>
    </row>
    <row r="241" spans="1:8">
      <c r="A241" s="27" t="s">
        <v>219</v>
      </c>
      <c r="B241" s="28" t="s">
        <v>220</v>
      </c>
      <c r="C241" s="28"/>
      <c r="D241" s="28"/>
      <c r="E241" s="28" t="s">
        <v>80</v>
      </c>
      <c r="F241" s="21"/>
      <c r="G241" s="21"/>
      <c r="H241" s="29"/>
    </row>
    <row r="242" spans="1:8">
      <c r="A242" s="94">
        <f>E179</f>
        <v>6000</v>
      </c>
      <c r="B242" s="34">
        <f>E194</f>
        <v>6010</v>
      </c>
      <c r="C242" s="28"/>
      <c r="D242" s="28"/>
      <c r="E242" s="34">
        <f>J18*0.000006*100*1.2</f>
        <v>26.930880000000002</v>
      </c>
      <c r="F242" s="21"/>
      <c r="G242" s="21"/>
      <c r="H242" s="29"/>
    </row>
    <row r="243" spans="1:8">
      <c r="A243" s="94"/>
      <c r="B243" s="34"/>
      <c r="C243" s="28"/>
      <c r="D243" s="28"/>
      <c r="E243" s="34"/>
      <c r="F243" s="21"/>
      <c r="G243" s="21"/>
      <c r="H243" s="29"/>
    </row>
    <row r="244" spans="1:8">
      <c r="A244" s="53" t="s">
        <v>221</v>
      </c>
      <c r="B244" s="35" t="s">
        <v>85</v>
      </c>
      <c r="C244" s="28"/>
      <c r="D244" s="28"/>
      <c r="E244" s="35" t="s">
        <v>142</v>
      </c>
      <c r="F244" s="21"/>
      <c r="G244" s="21"/>
      <c r="H244" s="29"/>
    </row>
    <row r="245" spans="1:8">
      <c r="A245" s="94">
        <f>A197</f>
        <v>8.9769600000000001</v>
      </c>
      <c r="B245" s="34">
        <f>E242+A245</f>
        <v>35.90784</v>
      </c>
      <c r="C245" s="28"/>
      <c r="D245" s="28"/>
      <c r="E245" s="34"/>
      <c r="F245" s="21"/>
      <c r="G245" s="21"/>
      <c r="H245" s="29"/>
    </row>
    <row r="246" spans="1:8">
      <c r="A246" s="94"/>
      <c r="B246" s="34"/>
      <c r="C246" s="28"/>
      <c r="D246" s="28"/>
      <c r="E246" s="34"/>
      <c r="F246" s="21"/>
      <c r="G246" s="21"/>
      <c r="H246" s="29"/>
    </row>
    <row r="247" spans="1:8" ht="23.25">
      <c r="A247" s="373" t="s">
        <v>222</v>
      </c>
      <c r="B247" s="373"/>
      <c r="C247" s="373"/>
      <c r="D247" s="373"/>
      <c r="E247" s="373"/>
      <c r="F247" s="373"/>
      <c r="G247" s="373"/>
      <c r="H247" s="373"/>
    </row>
    <row r="248" spans="1:8">
      <c r="A248" s="27" t="s">
        <v>223</v>
      </c>
      <c r="B248" s="28" t="s">
        <v>209</v>
      </c>
      <c r="C248" s="28"/>
      <c r="D248" s="28"/>
      <c r="E248" s="35" t="s">
        <v>210</v>
      </c>
      <c r="F248" s="21"/>
      <c r="G248" s="21"/>
      <c r="H248" s="29"/>
    </row>
    <row r="249" spans="1:8">
      <c r="A249" s="94">
        <f>H157</f>
        <v>1916.6699999999973</v>
      </c>
      <c r="B249" s="34">
        <f>B197</f>
        <v>518.00007999999991</v>
      </c>
      <c r="C249" s="28"/>
      <c r="D249" s="28"/>
      <c r="E249" s="34">
        <f>E197</f>
        <v>0</v>
      </c>
      <c r="F249" s="21"/>
      <c r="G249" s="21"/>
      <c r="H249" s="29"/>
    </row>
    <row r="250" spans="1:8">
      <c r="A250" s="94"/>
      <c r="B250" s="34"/>
      <c r="C250" s="28"/>
      <c r="D250" s="28"/>
      <c r="E250" s="21"/>
      <c r="F250" s="21"/>
      <c r="G250" s="21"/>
      <c r="H250" s="29"/>
    </row>
    <row r="251" spans="1:8">
      <c r="A251" s="53" t="s">
        <v>211</v>
      </c>
      <c r="B251" s="35" t="s">
        <v>212</v>
      </c>
      <c r="C251" s="28"/>
      <c r="D251" s="28"/>
      <c r="E251" s="35"/>
      <c r="F251" s="21"/>
      <c r="G251" s="21"/>
      <c r="H251" s="29"/>
    </row>
    <row r="252" spans="1:8">
      <c r="A252" s="94">
        <f>A200</f>
        <v>10</v>
      </c>
      <c r="B252" s="34">
        <f>B249+E249+A252+A249-H165</f>
        <v>1044.6700799999971</v>
      </c>
      <c r="C252" s="28"/>
      <c r="D252" s="28"/>
      <c r="E252" s="34"/>
      <c r="F252" s="21"/>
      <c r="G252" s="21"/>
      <c r="H252" s="29"/>
    </row>
    <row r="253" spans="1:8">
      <c r="A253" s="27"/>
      <c r="B253" s="28"/>
      <c r="C253" s="28"/>
      <c r="D253" s="28"/>
      <c r="E253" s="21"/>
      <c r="F253" s="21"/>
      <c r="G253" s="21"/>
      <c r="H253" s="29"/>
    </row>
    <row r="254" spans="1:8">
      <c r="A254" s="49"/>
      <c r="B254" s="50"/>
      <c r="C254" s="50"/>
      <c r="D254" s="50"/>
      <c r="E254" s="50"/>
      <c r="F254" s="50"/>
      <c r="G254" s="50"/>
      <c r="H254" s="57"/>
    </row>
    <row r="260" spans="1:8" ht="23.25">
      <c r="A260" s="372" t="s">
        <v>224</v>
      </c>
      <c r="B260" s="372"/>
      <c r="C260" s="372"/>
      <c r="D260" s="372"/>
      <c r="E260" s="372"/>
      <c r="F260" s="372"/>
      <c r="G260" s="372"/>
      <c r="H260" s="372"/>
    </row>
    <row r="261" spans="1:8">
      <c r="A261" s="27"/>
      <c r="B261" s="28"/>
      <c r="C261" s="28"/>
      <c r="D261" s="28"/>
      <c r="E261" s="21"/>
      <c r="F261" s="21"/>
      <c r="G261" s="21"/>
      <c r="H261" s="29"/>
    </row>
    <row r="262" spans="1:8">
      <c r="A262" s="139" t="s">
        <v>225</v>
      </c>
      <c r="B262" s="143">
        <f>B72</f>
        <v>6.5000000000000002E-2</v>
      </c>
      <c r="C262" s="144"/>
      <c r="D262" s="374" t="s">
        <v>226</v>
      </c>
      <c r="E262" s="374"/>
      <c r="F262" s="143">
        <f>B92</f>
        <v>0.1255</v>
      </c>
      <c r="G262" s="21"/>
      <c r="H262" s="29"/>
    </row>
    <row r="263" spans="1:8">
      <c r="A263" s="139" t="s">
        <v>227</v>
      </c>
      <c r="B263" s="145">
        <f>(E191-B191)-(B210-B191-A194)</f>
        <v>842.11603759015634</v>
      </c>
      <c r="C263" s="144"/>
      <c r="D263" s="374" t="s">
        <v>228</v>
      </c>
      <c r="E263" s="374"/>
      <c r="F263" s="146">
        <f>F270+F276+F278+B279+B280</f>
        <v>518.00007999999991</v>
      </c>
      <c r="G263" s="21"/>
      <c r="H263" s="29"/>
    </row>
    <row r="264" spans="1:8">
      <c r="A264" s="139" t="s">
        <v>229</v>
      </c>
      <c r="B264" s="146">
        <f>F271+B272</f>
        <v>10</v>
      </c>
      <c r="C264" s="144"/>
      <c r="D264" s="374" t="s">
        <v>230</v>
      </c>
      <c r="E264" s="374"/>
      <c r="F264" s="146">
        <f>(B263-F263)+B264</f>
        <v>334.11595759015643</v>
      </c>
      <c r="G264" s="21"/>
      <c r="H264" s="29"/>
    </row>
    <row r="265" spans="1:8">
      <c r="A265" s="147"/>
      <c r="B265" s="144"/>
      <c r="C265" s="148"/>
      <c r="D265" s="148"/>
      <c r="E265" s="148"/>
      <c r="F265" s="148"/>
      <c r="G265" s="149"/>
      <c r="H265" s="150"/>
    </row>
    <row r="266" spans="1:8">
      <c r="A266" s="27" t="s">
        <v>225</v>
      </c>
      <c r="B266" s="151">
        <f>B262</f>
        <v>6.5000000000000002E-2</v>
      </c>
      <c r="C266" s="144"/>
      <c r="D266" s="144"/>
      <c r="E266" s="144"/>
      <c r="F266" s="144"/>
      <c r="G266" s="21"/>
      <c r="H266" s="29"/>
    </row>
    <row r="267" spans="1:8">
      <c r="A267" s="152"/>
      <c r="B267" s="153"/>
      <c r="C267" s="154"/>
      <c r="D267" s="154"/>
      <c r="E267" s="149"/>
      <c r="F267" s="149"/>
      <c r="G267" s="149"/>
      <c r="H267" s="150"/>
    </row>
    <row r="268" spans="1:8">
      <c r="A268" s="27" t="s">
        <v>231</v>
      </c>
      <c r="B268" s="151">
        <f>B73</f>
        <v>0.05</v>
      </c>
      <c r="C268" s="28"/>
      <c r="D268" s="363" t="s">
        <v>232</v>
      </c>
      <c r="E268" s="363"/>
      <c r="F268" s="151">
        <v>0</v>
      </c>
      <c r="G268" s="21"/>
      <c r="H268" s="29"/>
    </row>
    <row r="269" spans="1:8">
      <c r="A269" s="93" t="s">
        <v>226</v>
      </c>
      <c r="B269" s="155">
        <f>B92</f>
        <v>0.1255</v>
      </c>
      <c r="C269" s="38"/>
      <c r="D269" s="363" t="s">
        <v>227</v>
      </c>
      <c r="E269" s="363"/>
      <c r="F269" s="115">
        <f>B263</f>
        <v>842.11603759015634</v>
      </c>
      <c r="G269" s="21"/>
      <c r="H269" s="29"/>
    </row>
    <row r="270" spans="1:8">
      <c r="A270" s="27" t="s">
        <v>233</v>
      </c>
      <c r="B270" s="155">
        <f>B76</f>
        <v>0.02</v>
      </c>
      <c r="C270" s="28"/>
      <c r="D270" s="363" t="s">
        <v>233</v>
      </c>
      <c r="E270" s="363"/>
      <c r="F270" s="119">
        <f>B77</f>
        <v>518.00007999999991</v>
      </c>
      <c r="G270" s="21"/>
      <c r="H270" s="29"/>
    </row>
    <row r="271" spans="1:8">
      <c r="A271" s="27" t="s">
        <v>234</v>
      </c>
      <c r="B271" s="151">
        <f>A117</f>
        <v>0.2</v>
      </c>
      <c r="C271" s="28"/>
      <c r="D271" s="363" t="s">
        <v>234</v>
      </c>
      <c r="E271" s="363"/>
      <c r="F271" s="115">
        <f>E249*10</f>
        <v>0</v>
      </c>
      <c r="G271" s="21"/>
      <c r="H271" s="29"/>
    </row>
    <row r="272" spans="1:8">
      <c r="A272" s="27" t="s">
        <v>235</v>
      </c>
      <c r="B272" s="115">
        <f>A252</f>
        <v>10</v>
      </c>
      <c r="C272" s="28"/>
      <c r="D272" s="35" t="s">
        <v>230</v>
      </c>
      <c r="E272" s="35"/>
      <c r="F272" s="115">
        <f>(B263-F263)+B264</f>
        <v>334.11595759015643</v>
      </c>
      <c r="G272" s="21"/>
      <c r="H272" s="29"/>
    </row>
    <row r="273" spans="1:8">
      <c r="A273" s="94"/>
      <c r="B273" s="34"/>
      <c r="C273" s="28"/>
      <c r="D273" s="28"/>
      <c r="E273" s="34"/>
      <c r="F273" s="21"/>
      <c r="G273" s="21"/>
      <c r="H273" s="29"/>
    </row>
    <row r="274" spans="1:8" ht="23.25">
      <c r="A274" s="373" t="s">
        <v>236</v>
      </c>
      <c r="B274" s="373"/>
      <c r="C274" s="373"/>
      <c r="D274" s="373"/>
      <c r="E274" s="373"/>
      <c r="F274" s="373"/>
      <c r="G274" s="373"/>
      <c r="H274" s="373"/>
    </row>
    <row r="275" spans="1:8">
      <c r="A275" s="27" t="s">
        <v>237</v>
      </c>
      <c r="B275" s="119">
        <v>0</v>
      </c>
      <c r="C275" s="28"/>
      <c r="D275" s="375" t="s">
        <v>238</v>
      </c>
      <c r="E275" s="375"/>
      <c r="F275" s="119">
        <v>0</v>
      </c>
      <c r="G275" s="21"/>
      <c r="H275" s="29"/>
    </row>
    <row r="276" spans="1:8">
      <c r="A276" s="94"/>
      <c r="B276" s="115"/>
      <c r="C276" s="28"/>
      <c r="D276" s="363" t="s">
        <v>239</v>
      </c>
      <c r="E276" s="363"/>
      <c r="F276" s="115">
        <f>B275+F275*B218</f>
        <v>0</v>
      </c>
      <c r="G276" s="21"/>
      <c r="H276" s="29"/>
    </row>
    <row r="277" spans="1:8">
      <c r="A277" s="53" t="s">
        <v>240</v>
      </c>
      <c r="B277" s="156" t="s">
        <v>10</v>
      </c>
      <c r="C277" s="28"/>
      <c r="D277" s="363" t="s">
        <v>241</v>
      </c>
      <c r="E277" s="363"/>
      <c r="F277" s="156">
        <f>B79</f>
        <v>0</v>
      </c>
      <c r="G277" s="21"/>
      <c r="H277" s="29"/>
    </row>
    <row r="278" spans="1:8">
      <c r="A278" s="53"/>
      <c r="B278" s="121"/>
      <c r="C278" s="28"/>
      <c r="D278" s="363" t="s">
        <v>242</v>
      </c>
      <c r="E278" s="363"/>
      <c r="F278" s="115">
        <f>B100</f>
        <v>0</v>
      </c>
      <c r="G278" s="21"/>
      <c r="H278" s="29"/>
    </row>
    <row r="279" spans="1:8">
      <c r="A279" s="53" t="s">
        <v>243</v>
      </c>
      <c r="B279" s="119">
        <v>0</v>
      </c>
      <c r="C279" s="28"/>
      <c r="D279" s="28"/>
      <c r="E279" s="34"/>
      <c r="F279" s="21"/>
      <c r="G279" s="21"/>
      <c r="H279" s="29"/>
    </row>
    <row r="280" spans="1:8">
      <c r="A280" s="27" t="s">
        <v>244</v>
      </c>
      <c r="B280" s="119">
        <v>0</v>
      </c>
      <c r="C280" s="28"/>
      <c r="D280" s="28"/>
      <c r="E280" s="21"/>
      <c r="F280" s="21"/>
      <c r="G280" s="21"/>
      <c r="H280" s="29"/>
    </row>
    <row r="281" spans="1:8">
      <c r="A281" s="49"/>
      <c r="B281" s="50"/>
      <c r="C281" s="50"/>
      <c r="D281" s="50"/>
      <c r="E281" s="50"/>
      <c r="F281" s="50"/>
      <c r="G281" s="50"/>
      <c r="H281" s="57"/>
    </row>
  </sheetData>
  <mergeCells count="267">
    <mergeCell ref="D278:E278"/>
    <mergeCell ref="D264:E264"/>
    <mergeCell ref="D268:E268"/>
    <mergeCell ref="D269:E269"/>
    <mergeCell ref="D270:E270"/>
    <mergeCell ref="D271:E271"/>
    <mergeCell ref="A274:H274"/>
    <mergeCell ref="D275:E275"/>
    <mergeCell ref="D276:E276"/>
    <mergeCell ref="D277:E277"/>
    <mergeCell ref="B206:D206"/>
    <mergeCell ref="K206:M206"/>
    <mergeCell ref="T206:V206"/>
    <mergeCell ref="AC206:AE206"/>
    <mergeCell ref="A215:H215"/>
    <mergeCell ref="A247:H247"/>
    <mergeCell ref="A260:H260"/>
    <mergeCell ref="D262:E262"/>
    <mergeCell ref="D263:E263"/>
    <mergeCell ref="A204:A205"/>
    <mergeCell ref="B204:D204"/>
    <mergeCell ref="J204:J205"/>
    <mergeCell ref="K204:M204"/>
    <mergeCell ref="S204:S205"/>
    <mergeCell ref="T204:V204"/>
    <mergeCell ref="AB204:AB205"/>
    <mergeCell ref="AC204:AE204"/>
    <mergeCell ref="B205:D205"/>
    <mergeCell ref="K205:M205"/>
    <mergeCell ref="T205:V205"/>
    <mergeCell ref="AC205:AE205"/>
    <mergeCell ref="G168:H168"/>
    <mergeCell ref="P168:Q168"/>
    <mergeCell ref="Y168:Z168"/>
    <mergeCell ref="AH168:AI168"/>
    <mergeCell ref="A171:H171"/>
    <mergeCell ref="J171:Q171"/>
    <mergeCell ref="S171:Z171"/>
    <mergeCell ref="AB171:AI171"/>
    <mergeCell ref="B173:C173"/>
    <mergeCell ref="K173:L173"/>
    <mergeCell ref="T173:U173"/>
    <mergeCell ref="AC173:AD173"/>
    <mergeCell ref="E164:F164"/>
    <mergeCell ref="N164:O164"/>
    <mergeCell ref="W164:X164"/>
    <mergeCell ref="AF164:AG164"/>
    <mergeCell ref="G166:H166"/>
    <mergeCell ref="P166:Q166"/>
    <mergeCell ref="Y166:Z166"/>
    <mergeCell ref="AH166:AI166"/>
    <mergeCell ref="G167:H167"/>
    <mergeCell ref="P167:Q167"/>
    <mergeCell ref="Y167:Z167"/>
    <mergeCell ref="AH167:AI167"/>
    <mergeCell ref="E162:F162"/>
    <mergeCell ref="G162:H162"/>
    <mergeCell ref="N162:O162"/>
    <mergeCell ref="P162:Q162"/>
    <mergeCell ref="W162:X162"/>
    <mergeCell ref="Y162:Z162"/>
    <mergeCell ref="AF162:AG162"/>
    <mergeCell ref="AH162:AI162"/>
    <mergeCell ref="E163:F163"/>
    <mergeCell ref="G163:H163"/>
    <mergeCell ref="N163:O163"/>
    <mergeCell ref="P163:Q163"/>
    <mergeCell ref="W163:X163"/>
    <mergeCell ref="Y163:Z163"/>
    <mergeCell ref="AF163:AG163"/>
    <mergeCell ref="AH163:AI163"/>
    <mergeCell ref="A159:H159"/>
    <mergeCell ref="J159:Q159"/>
    <mergeCell ref="S159:Z159"/>
    <mergeCell ref="AB159:AI159"/>
    <mergeCell ref="E161:F161"/>
    <mergeCell ref="G161:H161"/>
    <mergeCell ref="N161:O161"/>
    <mergeCell ref="P161:Q161"/>
    <mergeCell ref="W161:X161"/>
    <mergeCell ref="Y161:Z161"/>
    <mergeCell ref="AF161:AG161"/>
    <mergeCell ref="AH161:AI161"/>
    <mergeCell ref="B155:F155"/>
    <mergeCell ref="K155:O155"/>
    <mergeCell ref="T155:X155"/>
    <mergeCell ref="AC155:AG155"/>
    <mergeCell ref="A156:F156"/>
    <mergeCell ref="J156:O156"/>
    <mergeCell ref="S156:X156"/>
    <mergeCell ref="AB156:AG156"/>
    <mergeCell ref="A157:F157"/>
    <mergeCell ref="J157:O157"/>
    <mergeCell ref="S157:X157"/>
    <mergeCell ref="AB157:AG157"/>
    <mergeCell ref="A152:F152"/>
    <mergeCell ref="J152:O152"/>
    <mergeCell ref="S152:X152"/>
    <mergeCell ref="AB152:AG152"/>
    <mergeCell ref="B153:F153"/>
    <mergeCell ref="K153:O153"/>
    <mergeCell ref="T153:X153"/>
    <mergeCell ref="AC153:AG153"/>
    <mergeCell ref="B154:F154"/>
    <mergeCell ref="K154:O154"/>
    <mergeCell ref="T154:X154"/>
    <mergeCell ref="AC154:AG154"/>
    <mergeCell ref="A149:F149"/>
    <mergeCell ref="J149:O149"/>
    <mergeCell ref="S149:X149"/>
    <mergeCell ref="AB149:AG149"/>
    <mergeCell ref="A150:F150"/>
    <mergeCell ref="J150:O150"/>
    <mergeCell ref="S150:X150"/>
    <mergeCell ref="AB150:AG150"/>
    <mergeCell ref="A151:F151"/>
    <mergeCell ref="J151:O151"/>
    <mergeCell ref="S151:X151"/>
    <mergeCell ref="AB151:AG151"/>
    <mergeCell ref="A146:F146"/>
    <mergeCell ref="J146:O146"/>
    <mergeCell ref="S146:X146"/>
    <mergeCell ref="AB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C142:AD142"/>
    <mergeCell ref="AE142:AF142"/>
    <mergeCell ref="AG142:AH142"/>
    <mergeCell ref="A144:F144"/>
    <mergeCell ref="J144:O144"/>
    <mergeCell ref="S144:X144"/>
    <mergeCell ref="AB144:AG144"/>
    <mergeCell ref="A145:F145"/>
    <mergeCell ref="J145:O145"/>
    <mergeCell ref="S145:X145"/>
    <mergeCell ref="AB145:AG145"/>
    <mergeCell ref="B142:C142"/>
    <mergeCell ref="D142:E142"/>
    <mergeCell ref="F142:G142"/>
    <mergeCell ref="K142:L142"/>
    <mergeCell ref="M142:N142"/>
    <mergeCell ref="O142:P142"/>
    <mergeCell ref="T142:U142"/>
    <mergeCell ref="V142:W142"/>
    <mergeCell ref="X142:Y142"/>
    <mergeCell ref="AC140:AD140"/>
    <mergeCell ref="AE140:AF140"/>
    <mergeCell ref="AG140:AH140"/>
    <mergeCell ref="B141:C141"/>
    <mergeCell ref="D141:E141"/>
    <mergeCell ref="F141:G141"/>
    <mergeCell ref="K141:L141"/>
    <mergeCell ref="M141:N141"/>
    <mergeCell ref="O141:P141"/>
    <mergeCell ref="T141:U141"/>
    <mergeCell ref="V141:W141"/>
    <mergeCell ref="X141:Y141"/>
    <mergeCell ref="AC141:AD141"/>
    <mergeCell ref="AE141:AF141"/>
    <mergeCell ref="AG141:AH141"/>
    <mergeCell ref="B140:C140"/>
    <mergeCell ref="D140:E140"/>
    <mergeCell ref="F140:G140"/>
    <mergeCell ref="K140:L140"/>
    <mergeCell ref="M140:N140"/>
    <mergeCell ref="O140:P140"/>
    <mergeCell ref="T140:U140"/>
    <mergeCell ref="V140:W140"/>
    <mergeCell ref="X140:Y140"/>
    <mergeCell ref="AC128:AD128"/>
    <mergeCell ref="AE128:AF128"/>
    <mergeCell ref="AG128:AH128"/>
    <mergeCell ref="B139:C139"/>
    <mergeCell ref="D139:E139"/>
    <mergeCell ref="F139:G139"/>
    <mergeCell ref="K139:L139"/>
    <mergeCell ref="M139:N139"/>
    <mergeCell ref="O139:P139"/>
    <mergeCell ref="T139:U139"/>
    <mergeCell ref="V139:W139"/>
    <mergeCell ref="X139:Y139"/>
    <mergeCell ref="AC139:AD139"/>
    <mergeCell ref="AE139:AF139"/>
    <mergeCell ref="AG139:AH139"/>
    <mergeCell ref="B128:C128"/>
    <mergeCell ref="D128:E128"/>
    <mergeCell ref="F128:G128"/>
    <mergeCell ref="K128:L128"/>
    <mergeCell ref="M128:N128"/>
    <mergeCell ref="O128:P128"/>
    <mergeCell ref="T128:U128"/>
    <mergeCell ref="V128:W128"/>
    <mergeCell ref="X128:Y128"/>
    <mergeCell ref="B123:D123"/>
    <mergeCell ref="E123:G123"/>
    <mergeCell ref="K123:M123"/>
    <mergeCell ref="N123:P123"/>
    <mergeCell ref="T123:V123"/>
    <mergeCell ref="W123:Y123"/>
    <mergeCell ref="AC123:AE123"/>
    <mergeCell ref="AF123:AH123"/>
    <mergeCell ref="A126:H126"/>
    <mergeCell ref="J126:Q126"/>
    <mergeCell ref="S126:Z126"/>
    <mergeCell ref="AB126:AI126"/>
    <mergeCell ref="B117:D117"/>
    <mergeCell ref="E117:G117"/>
    <mergeCell ref="K117:M117"/>
    <mergeCell ref="N117:P117"/>
    <mergeCell ref="T117:V117"/>
    <mergeCell ref="W117:Y117"/>
    <mergeCell ref="AC117:AE117"/>
    <mergeCell ref="AF117:AH117"/>
    <mergeCell ref="B120:D120"/>
    <mergeCell ref="E120:G120"/>
    <mergeCell ref="K120:M120"/>
    <mergeCell ref="N120:P120"/>
    <mergeCell ref="T120:V120"/>
    <mergeCell ref="W120:Y120"/>
    <mergeCell ref="AC120:AE120"/>
    <mergeCell ref="AF120:AH120"/>
    <mergeCell ref="A111:H111"/>
    <mergeCell ref="J111:Q111"/>
    <mergeCell ref="S111:Z111"/>
    <mergeCell ref="AB111:AI111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C53:E53"/>
    <mergeCell ref="A58:A59"/>
    <mergeCell ref="B58:D58"/>
    <mergeCell ref="B59:D59"/>
    <mergeCell ref="B60:D60"/>
    <mergeCell ref="A109:H109"/>
    <mergeCell ref="J109:Q109"/>
    <mergeCell ref="S109:Z109"/>
    <mergeCell ref="AB109:AI109"/>
    <mergeCell ref="C34:D34"/>
    <mergeCell ref="F34:G34"/>
    <mergeCell ref="C37:D37"/>
    <mergeCell ref="J38:K38"/>
    <mergeCell ref="C40:D40"/>
    <mergeCell ref="F40:G40"/>
    <mergeCell ref="C43:D43"/>
    <mergeCell ref="F43:G43"/>
    <mergeCell ref="C46:D46"/>
    <mergeCell ref="F46:G46"/>
    <mergeCell ref="A1:F1"/>
    <mergeCell ref="D7:E18"/>
    <mergeCell ref="A16:C18"/>
    <mergeCell ref="A19:D19"/>
    <mergeCell ref="A21:D21"/>
    <mergeCell ref="A24:H24"/>
    <mergeCell ref="A26:H26"/>
    <mergeCell ref="C31:D31"/>
    <mergeCell ref="F31:G31"/>
  </mergeCells>
  <dataValidations count="5">
    <dataValidation type="list" allowBlank="1" showInputMessage="1" showErrorMessage="1" sqref="B114 K114 T114 AC114" xr:uid="{00000000-0002-0000-1900-000000000000}">
      <formula1>$Y$136:$Y$145</formula1>
      <formula2>0</formula2>
    </dataValidation>
    <dataValidation type="list" allowBlank="1" showInputMessage="1" showErrorMessage="1" sqref="E114 N114 W114 AF114 A120 J120 S120 AB120" xr:uid="{00000000-0002-0000-1900-000001000000}">
      <formula1>$Z$19:$Z$20</formula1>
      <formula2>0</formula2>
    </dataValidation>
    <dataValidation type="list" allowBlank="1" showInputMessage="1" showErrorMessage="1" sqref="B117:D117 K117:M117 T117:V117 AC117:AE117" xr:uid="{00000000-0002-0000-1900-000002000000}">
      <formula1>$AP$117:$AP$118</formula1>
      <formula2>0</formula2>
    </dataValidation>
    <dataValidation type="list" allowBlank="1" showInputMessage="1" showErrorMessage="1" sqref="A153:A155" xr:uid="{00000000-0002-0000-1900-000003000000}">
      <formula1>#REF!</formula1>
      <formula2>0</formula2>
    </dataValidation>
    <dataValidation type="list" allowBlank="1" showInputMessage="1" showErrorMessage="1" sqref="J153:J155 S153:S155 AB153:AB155" xr:uid="{00000000-0002-0000-1900-000004000000}">
      <formula1>$AB$16:$AB$18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P281"/>
  <sheetViews>
    <sheetView topLeftCell="A264" zoomScale="110" zoomScaleNormal="110" workbookViewId="0">
      <selection activeCell="F270" sqref="F270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2" customWidth="true" style="4" width="18.875"/>
    <col min="13" max="13" customWidth="true" style="4" width="24.25"/>
    <col min="14" max="14" customWidth="true" style="4" width="16.75"/>
    <col min="15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30" t="s">
        <v>14</v>
      </c>
      <c r="B1" s="330"/>
      <c r="C1" s="330"/>
      <c r="D1" s="330"/>
      <c r="E1" s="330"/>
      <c r="F1" s="330"/>
      <c r="J1" s="5"/>
    </row>
    <row r="2" spans="1:25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J2" s="5"/>
    </row>
    <row r="3" spans="1:25">
      <c r="A3" s="9"/>
      <c r="B3" s="9"/>
      <c r="C3" s="9"/>
      <c r="D3" s="9"/>
      <c r="E3" s="9"/>
      <c r="F3" s="6" t="s">
        <v>10</v>
      </c>
      <c r="J3" s="5"/>
    </row>
    <row r="4" spans="1:25">
      <c r="A4" s="6" t="s">
        <v>18</v>
      </c>
      <c r="B4" s="7">
        <f>B15+C15</f>
        <v>22200</v>
      </c>
      <c r="C4" s="9"/>
      <c r="D4" s="9"/>
      <c r="E4" s="9"/>
      <c r="F4" s="6" t="s">
        <v>10</v>
      </c>
      <c r="H4" s="10"/>
      <c r="J4" s="5"/>
    </row>
    <row r="5" spans="1:25">
      <c r="A5" s="11"/>
      <c r="B5" s="11"/>
      <c r="C5" s="11"/>
      <c r="D5" s="11"/>
      <c r="E5" s="11"/>
      <c r="F5" s="11" t="s">
        <v>10</v>
      </c>
      <c r="J5" s="5"/>
    </row>
    <row r="6" spans="1:25">
      <c r="A6" s="11"/>
      <c r="B6" s="11"/>
      <c r="C6" s="11"/>
      <c r="D6" s="11"/>
      <c r="E6" s="11"/>
      <c r="F6" s="11"/>
      <c r="J6" s="5"/>
    </row>
    <row r="7" spans="1:25">
      <c r="A7" s="12" t="s">
        <v>19</v>
      </c>
      <c r="B7" s="12" t="s">
        <v>20</v>
      </c>
      <c r="C7" s="12" t="s">
        <v>16</v>
      </c>
      <c r="D7" s="331"/>
      <c r="E7" s="331"/>
      <c r="F7" s="11"/>
      <c r="J7" s="5"/>
    </row>
    <row r="8" spans="1:25">
      <c r="A8" s="13"/>
      <c r="B8" s="11" t="s">
        <v>10</v>
      </c>
      <c r="C8" s="11"/>
      <c r="D8" s="331"/>
      <c r="E8" s="331"/>
      <c r="F8" s="11"/>
      <c r="J8" s="5"/>
      <c r="L8" s="14" t="s">
        <v>17</v>
      </c>
      <c r="M8" s="11">
        <f>H13+H14</f>
        <v>0</v>
      </c>
    </row>
    <row r="9" spans="1:25">
      <c r="A9" s="12" t="s">
        <v>21</v>
      </c>
      <c r="B9" s="15">
        <v>18500</v>
      </c>
      <c r="C9" s="11">
        <f>B9*0.2</f>
        <v>3700</v>
      </c>
      <c r="D9" s="331"/>
      <c r="E9" s="331"/>
      <c r="F9" s="11"/>
      <c r="J9" s="5"/>
      <c r="L9" s="11"/>
      <c r="M9" s="11"/>
    </row>
    <row r="10" spans="1:25">
      <c r="A10" s="12"/>
      <c r="B10" s="11"/>
      <c r="C10" s="11"/>
      <c r="D10" s="331"/>
      <c r="E10" s="331"/>
      <c r="F10" s="11"/>
      <c r="J10" s="5"/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31"/>
      <c r="E11" s="331"/>
      <c r="F11" s="11"/>
      <c r="J11" s="5"/>
      <c r="L11" s="11"/>
      <c r="M11" s="11"/>
    </row>
    <row r="12" spans="1:25">
      <c r="A12" s="12"/>
      <c r="B12" s="11"/>
      <c r="C12" s="11"/>
      <c r="D12" s="331"/>
      <c r="E12" s="331"/>
      <c r="F12" s="11"/>
      <c r="J12" s="5"/>
    </row>
    <row r="13" spans="1:25">
      <c r="A13" s="12" t="s">
        <v>23</v>
      </c>
      <c r="B13" s="15">
        <v>0</v>
      </c>
      <c r="C13" s="11"/>
      <c r="D13" s="331"/>
      <c r="E13" s="331"/>
      <c r="F13" s="11"/>
      <c r="J13" s="5"/>
    </row>
    <row r="14" spans="1:25">
      <c r="A14" s="12"/>
      <c r="B14" s="11"/>
      <c r="C14" s="11"/>
      <c r="D14" s="331"/>
      <c r="E14" s="331"/>
      <c r="F14" s="11"/>
      <c r="J14" s="5" t="s">
        <v>24</v>
      </c>
    </row>
    <row r="15" spans="1:25">
      <c r="A15" s="12" t="s">
        <v>25</v>
      </c>
      <c r="B15" s="11">
        <f>SUM(B9:B13)</f>
        <v>18500</v>
      </c>
      <c r="C15" s="11">
        <f>SUM(C9:C13)</f>
        <v>3700</v>
      </c>
      <c r="D15" s="331"/>
      <c r="E15" s="331"/>
      <c r="F15" s="11"/>
      <c r="J15" s="17">
        <f>H15</f>
        <v>0</v>
      </c>
    </row>
    <row r="16" spans="1:25">
      <c r="A16" s="332"/>
      <c r="B16" s="332"/>
      <c r="C16" s="332"/>
      <c r="D16" s="331"/>
      <c r="E16" s="331"/>
      <c r="F16" s="11"/>
      <c r="J16" s="5"/>
      <c r="Y16" s="18" t="s">
        <v>26</v>
      </c>
    </row>
    <row r="17" spans="1:26">
      <c r="A17" s="332"/>
      <c r="B17" s="332"/>
      <c r="C17" s="332"/>
      <c r="D17" s="331"/>
      <c r="E17" s="331"/>
      <c r="F17" s="11"/>
      <c r="J17" s="19" t="s">
        <v>27</v>
      </c>
      <c r="Y17" s="18" t="s">
        <v>28</v>
      </c>
    </row>
    <row r="18" spans="1:26">
      <c r="A18" s="332"/>
      <c r="B18" s="332"/>
      <c r="C18" s="332"/>
      <c r="D18" s="331"/>
      <c r="E18" s="331"/>
      <c r="F18" s="11"/>
      <c r="J18" s="20">
        <v>37404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22200</v>
      </c>
      <c r="F19" s="11"/>
      <c r="J19" s="5"/>
      <c r="Z19" s="5" t="s">
        <v>31</v>
      </c>
    </row>
    <row r="20" spans="1:26">
      <c r="A20" s="11"/>
      <c r="B20" s="11"/>
      <c r="C20" s="11"/>
      <c r="D20" s="11"/>
      <c r="E20" s="11"/>
      <c r="F20" s="11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18500</v>
      </c>
      <c r="F21" s="11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 ht="23.25">
      <c r="A26" s="335" t="s">
        <v>35</v>
      </c>
      <c r="B26" s="335"/>
      <c r="C26" s="335"/>
      <c r="D26" s="335"/>
      <c r="E26" s="335"/>
      <c r="F26" s="335"/>
      <c r="G26" s="335"/>
      <c r="H26" s="335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>
      <c r="A28" s="32" t="s">
        <v>36</v>
      </c>
      <c r="B28" s="28" t="s">
        <v>39</v>
      </c>
      <c r="C28" s="28"/>
      <c r="D28" s="28"/>
      <c r="E28" s="28"/>
      <c r="F28" s="28"/>
      <c r="G28" s="28"/>
      <c r="H28" s="29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/>
      <c r="I29" s="28"/>
      <c r="J29" s="25" t="s">
        <v>41</v>
      </c>
      <c r="K29" s="33" t="str">
        <f>A34</f>
        <v>12</v>
      </c>
    </row>
    <row r="30" spans="1:26">
      <c r="A30" s="32" t="s">
        <v>42</v>
      </c>
      <c r="B30" s="28"/>
      <c r="C30" s="34" t="s">
        <v>43</v>
      </c>
      <c r="D30" s="35"/>
      <c r="E30" s="28"/>
      <c r="F30" s="34" t="s">
        <v>44</v>
      </c>
      <c r="G30" s="35"/>
      <c r="H30" s="29"/>
      <c r="I30" s="28"/>
      <c r="J30" s="25" t="s">
        <v>45</v>
      </c>
      <c r="K30" s="33" t="str">
        <f>C34</f>
        <v>5000</v>
      </c>
    </row>
    <row r="31" spans="1:26">
      <c r="A31" s="36" t="s">
        <v>46</v>
      </c>
      <c r="B31" s="28"/>
      <c r="C31" s="336" t="s">
        <v>47</v>
      </c>
      <c r="D31" s="336"/>
      <c r="E31" s="28"/>
      <c r="F31" s="336"/>
      <c r="G31" s="336"/>
      <c r="H31" s="29"/>
      <c r="I31" s="28"/>
      <c r="J31" s="25" t="s">
        <v>48</v>
      </c>
      <c r="K31" s="37">
        <f>A43</f>
        <v>6000</v>
      </c>
    </row>
    <row r="32" spans="1:26" ht="36">
      <c r="A32" s="32"/>
      <c r="B32" s="38"/>
      <c r="C32" s="38"/>
      <c r="D32" s="38"/>
      <c r="E32" s="38"/>
      <c r="F32" s="38"/>
      <c r="G32" s="38"/>
      <c r="H32" s="29"/>
      <c r="I32" s="5"/>
      <c r="J32" s="25" t="s">
        <v>49</v>
      </c>
      <c r="K32" s="37">
        <f>A46</f>
        <v>0</v>
      </c>
      <c r="M32" s="39" t="s">
        <v>50</v>
      </c>
      <c r="N32" s="40" t="s">
        <v>51</v>
      </c>
    </row>
    <row r="33" spans="1:14">
      <c r="A33" s="32" t="s">
        <v>52</v>
      </c>
      <c r="B33" s="28"/>
      <c r="C33" s="41" t="s">
        <v>53</v>
      </c>
      <c r="D33" s="35"/>
      <c r="E33" s="28"/>
      <c r="F33" s="34" t="s">
        <v>54</v>
      </c>
      <c r="G33" s="35"/>
      <c r="H33" s="42"/>
      <c r="I33" s="5"/>
      <c r="J33" s="30"/>
      <c r="K33" s="43"/>
      <c r="M33" s="39"/>
      <c r="N33" s="13"/>
    </row>
    <row r="34" spans="1:14">
      <c r="A34" s="36" t="s">
        <v>393</v>
      </c>
      <c r="B34" s="28"/>
      <c r="C34" s="336" t="s">
        <v>397</v>
      </c>
      <c r="D34" s="336"/>
      <c r="E34" s="28"/>
      <c r="F34" s="336">
        <f>(A34/12)*C34</f>
        <v>5000</v>
      </c>
      <c r="G34" s="336"/>
      <c r="H34" s="42"/>
      <c r="I34" s="5"/>
      <c r="J34" s="5"/>
      <c r="K34" s="5"/>
      <c r="M34" s="39" t="s">
        <v>57</v>
      </c>
      <c r="N34" s="44" t="s">
        <v>58</v>
      </c>
    </row>
    <row r="35" spans="1:14">
      <c r="A35" s="27"/>
      <c r="B35" s="28"/>
      <c r="C35" s="28"/>
      <c r="E35" s="28"/>
      <c r="F35" s="38"/>
      <c r="G35" s="38"/>
      <c r="H35" s="42"/>
      <c r="I35" s="5"/>
      <c r="J35" s="45" t="s">
        <v>59</v>
      </c>
      <c r="K35" s="46">
        <v>6.5000000000000002E-2</v>
      </c>
      <c r="M35" s="39"/>
      <c r="N35" s="13">
        <v>6.5000000000000002E-2</v>
      </c>
    </row>
    <row r="36" spans="1:14">
      <c r="A36" s="32" t="s">
        <v>60</v>
      </c>
      <c r="B36" s="28"/>
      <c r="C36" s="34" t="s">
        <v>61</v>
      </c>
      <c r="D36" s="35"/>
      <c r="E36" s="28"/>
      <c r="F36" s="34" t="s">
        <v>62</v>
      </c>
      <c r="G36" s="35"/>
      <c r="H36" s="42"/>
      <c r="I36" s="5"/>
      <c r="J36" s="5" t="s">
        <v>63</v>
      </c>
      <c r="K36" s="5">
        <f>C40</f>
        <v>11</v>
      </c>
      <c r="M36" s="39" t="s">
        <v>64</v>
      </c>
      <c r="N36" s="47">
        <f>N32-N34</f>
        <v>22125</v>
      </c>
    </row>
    <row r="37" spans="1:14">
      <c r="A37" s="32">
        <f>E19</f>
        <v>22200</v>
      </c>
      <c r="B37" s="28"/>
      <c r="C37" s="336" t="s">
        <v>398</v>
      </c>
      <c r="D37" s="336"/>
      <c r="E37" s="28"/>
      <c r="F37" s="38">
        <f>A37-C37</f>
        <v>21200</v>
      </c>
      <c r="G37" s="38"/>
      <c r="H37" s="42"/>
      <c r="I37" s="5"/>
      <c r="J37" s="5"/>
      <c r="K37" s="5"/>
    </row>
    <row r="38" spans="1:14">
      <c r="A38" s="32"/>
      <c r="B38" s="38"/>
      <c r="C38" s="38"/>
      <c r="D38" s="38"/>
      <c r="E38" s="38"/>
      <c r="F38" s="38"/>
      <c r="G38" s="38"/>
      <c r="H38" s="42"/>
      <c r="J38" s="337" t="s">
        <v>65</v>
      </c>
      <c r="K38" s="337"/>
      <c r="L38" s="5"/>
    </row>
    <row r="39" spans="1:14">
      <c r="A39" s="32" t="s">
        <v>66</v>
      </c>
      <c r="B39" s="28"/>
      <c r="C39" s="35" t="s">
        <v>67</v>
      </c>
      <c r="D39" s="34"/>
      <c r="E39" s="28"/>
      <c r="F39" s="34" t="s">
        <v>68</v>
      </c>
      <c r="G39" s="35"/>
      <c r="H39" s="42"/>
      <c r="J39" s="5" t="s">
        <v>69</v>
      </c>
      <c r="K39" s="5" t="str">
        <f>F40</f>
        <v>500</v>
      </c>
      <c r="L39" s="5"/>
    </row>
    <row r="40" spans="1:14">
      <c r="A40" s="36" t="s">
        <v>393</v>
      </c>
      <c r="B40" s="28"/>
      <c r="C40" s="338">
        <f>A34-1</f>
        <v>11</v>
      </c>
      <c r="D40" s="338"/>
      <c r="E40" s="28"/>
      <c r="F40" s="336" t="s">
        <v>390</v>
      </c>
      <c r="G40" s="336"/>
      <c r="H40" s="42"/>
      <c r="J40" s="5" t="s">
        <v>71</v>
      </c>
      <c r="K40" s="5">
        <f>C15</f>
        <v>3700</v>
      </c>
      <c r="L40" s="5"/>
    </row>
    <row r="41" spans="1:14">
      <c r="A41" s="32"/>
      <c r="B41" s="38"/>
      <c r="C41" s="38"/>
      <c r="D41" s="38"/>
      <c r="E41" s="38"/>
      <c r="F41" s="38"/>
      <c r="G41" s="38"/>
      <c r="H41" s="42"/>
      <c r="J41" s="5" t="s">
        <v>72</v>
      </c>
      <c r="K41" s="5">
        <f>IF(F43="Yes",A46,0)</f>
        <v>0</v>
      </c>
      <c r="L41" s="5"/>
    </row>
    <row r="42" spans="1:14">
      <c r="A42" s="32" t="s">
        <v>73</v>
      </c>
      <c r="B42" s="28"/>
      <c r="C42" s="34" t="s">
        <v>74</v>
      </c>
      <c r="D42" s="35"/>
      <c r="E42" s="28"/>
      <c r="F42" s="34" t="s">
        <v>75</v>
      </c>
      <c r="G42" s="35"/>
      <c r="H42" s="42"/>
      <c r="J42" s="5" t="s">
        <v>76</v>
      </c>
      <c r="K42" s="5">
        <f>A43</f>
        <v>6000</v>
      </c>
      <c r="L42" s="5"/>
    </row>
    <row r="43" spans="1:14">
      <c r="A43" s="36">
        <v>6000</v>
      </c>
      <c r="B43" s="28"/>
      <c r="C43" s="336">
        <v>20</v>
      </c>
      <c r="D43" s="336"/>
      <c r="E43" s="28"/>
      <c r="F43" s="336" t="s">
        <v>31</v>
      </c>
      <c r="G43" s="336"/>
      <c r="H43" s="42"/>
      <c r="J43" s="5" t="s">
        <v>77</v>
      </c>
      <c r="K43" s="5" t="str">
        <f>A34</f>
        <v>12</v>
      </c>
      <c r="L43" s="5"/>
    </row>
    <row r="44" spans="1:14">
      <c r="A44" s="32"/>
      <c r="B44" s="38"/>
      <c r="C44" s="38"/>
      <c r="D44" s="38"/>
      <c r="E44" s="38"/>
      <c r="F44" s="38"/>
      <c r="G44" s="38"/>
      <c r="H44" s="42"/>
      <c r="J44" s="5" t="s">
        <v>78</v>
      </c>
      <c r="K44" s="5">
        <f>((K40-(((K42/(1.2))*0.2)))/(K43))</f>
        <v>225</v>
      </c>
      <c r="L44" s="5"/>
    </row>
    <row r="45" spans="1:14">
      <c r="A45" s="32" t="s">
        <v>79</v>
      </c>
      <c r="B45" s="28"/>
      <c r="C45" s="34" t="s">
        <v>80</v>
      </c>
      <c r="D45" s="35"/>
      <c r="E45" s="28"/>
      <c r="F45" s="34" t="s">
        <v>81</v>
      </c>
      <c r="G45" s="35"/>
      <c r="H45" s="42"/>
      <c r="J45" s="5" t="s">
        <v>82</v>
      </c>
      <c r="K45" s="5">
        <f>(K39-K44)+K41</f>
        <v>275</v>
      </c>
      <c r="L45" s="5"/>
    </row>
    <row r="46" spans="1:14">
      <c r="A46" s="36">
        <v>0</v>
      </c>
      <c r="B46" s="28"/>
      <c r="C46" s="336">
        <v>1</v>
      </c>
      <c r="D46" s="336"/>
      <c r="E46" s="28"/>
      <c r="F46" s="336">
        <v>1</v>
      </c>
      <c r="G46" s="336"/>
      <c r="H46" s="42"/>
      <c r="J46" s="5" t="s">
        <v>83</v>
      </c>
      <c r="K46" s="5">
        <v>0</v>
      </c>
      <c r="L46" s="5"/>
    </row>
    <row r="47" spans="1:14">
      <c r="A47" s="32"/>
      <c r="B47" s="38"/>
      <c r="C47" s="38"/>
      <c r="D47" s="38"/>
      <c r="E47" s="38"/>
      <c r="F47" s="38"/>
      <c r="G47" s="38"/>
      <c r="H47" s="42"/>
      <c r="J47" s="5" t="s">
        <v>84</v>
      </c>
      <c r="K47" s="5">
        <f>A40/K29</f>
        <v>1</v>
      </c>
      <c r="L47" s="5"/>
    </row>
    <row r="48" spans="1:14">
      <c r="A48" s="32" t="s">
        <v>85</v>
      </c>
      <c r="B48" s="38"/>
      <c r="C48" s="38"/>
      <c r="D48" s="38"/>
      <c r="E48" s="38"/>
      <c r="F48" s="38"/>
      <c r="G48" s="38"/>
      <c r="H48" s="42"/>
      <c r="J48" s="48" t="s">
        <v>86</v>
      </c>
      <c r="K48" s="5">
        <f>C43/A34</f>
        <v>1.6666666666666667</v>
      </c>
      <c r="L48" s="5"/>
    </row>
    <row r="49" spans="1:12">
      <c r="A49" s="32">
        <f>C46+F46</f>
        <v>2</v>
      </c>
      <c r="B49" s="38"/>
      <c r="C49" s="38"/>
      <c r="D49" s="38"/>
      <c r="E49" s="28"/>
      <c r="F49" s="38"/>
      <c r="G49" s="38"/>
      <c r="H49" s="42"/>
      <c r="J49" s="48" t="s">
        <v>87</v>
      </c>
      <c r="K49" s="5">
        <f>K45+K48+K47</f>
        <v>277.66666666666669</v>
      </c>
      <c r="L49" s="5"/>
    </row>
    <row r="50" spans="1:12">
      <c r="A50" s="49"/>
      <c r="B50" s="50"/>
      <c r="C50" s="50"/>
      <c r="D50" s="50"/>
      <c r="E50" s="50"/>
      <c r="F50" s="50"/>
      <c r="G50" s="51"/>
      <c r="H50" s="52"/>
      <c r="I50" s="5"/>
      <c r="J50" s="48" t="s">
        <v>88</v>
      </c>
      <c r="K50" s="5">
        <f>K49-A46</f>
        <v>277.66666666666669</v>
      </c>
    </row>
    <row r="51" spans="1:12" ht="19.5" customHeight="1">
      <c r="A51" s="22"/>
      <c r="B51" s="23"/>
      <c r="C51" s="23"/>
      <c r="D51" s="23"/>
      <c r="E51" s="23"/>
      <c r="F51" s="23"/>
      <c r="G51" s="23"/>
      <c r="H51" s="24"/>
      <c r="I51" s="5"/>
      <c r="J51" s="5"/>
      <c r="K51" s="5"/>
    </row>
    <row r="52" spans="1:12">
      <c r="A52" s="53" t="s">
        <v>89</v>
      </c>
      <c r="B52" s="28"/>
      <c r="C52" s="28" t="s">
        <v>90</v>
      </c>
      <c r="D52" s="28"/>
      <c r="E52" s="28"/>
      <c r="F52" s="28"/>
      <c r="G52" s="28"/>
      <c r="H52" s="29"/>
      <c r="I52" s="5"/>
      <c r="J52" s="5"/>
      <c r="K52" s="5"/>
    </row>
    <row r="53" spans="1:12">
      <c r="A53" s="54">
        <v>1</v>
      </c>
      <c r="B53" s="28"/>
      <c r="C53" s="339">
        <v>1</v>
      </c>
      <c r="D53" s="339"/>
      <c r="E53" s="339"/>
      <c r="F53" s="28"/>
      <c r="G53" s="28"/>
      <c r="H53" s="29"/>
      <c r="I53" s="5"/>
      <c r="J53" s="55" t="s">
        <v>91</v>
      </c>
      <c r="K53" s="56" t="s">
        <v>399</v>
      </c>
    </row>
    <row r="54" spans="1:12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12">
      <c r="A55" s="22"/>
      <c r="B55" s="23"/>
      <c r="C55" s="23"/>
      <c r="D55" s="23"/>
      <c r="E55" s="23"/>
      <c r="F55" s="23"/>
      <c r="G55" s="23"/>
      <c r="H55" s="24"/>
      <c r="I55" s="5"/>
      <c r="J55" s="5" t="s">
        <v>92</v>
      </c>
      <c r="K55" s="5">
        <f>A46*A34</f>
        <v>0</v>
      </c>
    </row>
    <row r="56" spans="1:12">
      <c r="A56" s="58" t="s">
        <v>93</v>
      </c>
      <c r="B56" s="28"/>
      <c r="C56" s="28"/>
      <c r="D56" s="59"/>
      <c r="E56" s="59"/>
      <c r="F56" s="59"/>
      <c r="G56" s="59"/>
      <c r="H56" s="60"/>
      <c r="I56" s="5"/>
      <c r="J56" s="5"/>
      <c r="K56" s="5"/>
    </row>
    <row r="57" spans="1:12" ht="19.5" customHeight="1">
      <c r="A57" s="27"/>
      <c r="B57" s="61"/>
      <c r="C57" s="61"/>
      <c r="D57" s="28"/>
      <c r="E57" s="28"/>
      <c r="F57" s="28"/>
      <c r="G57" s="28"/>
      <c r="H57" s="29"/>
      <c r="I57" s="5"/>
      <c r="J57" s="5"/>
      <c r="K57" s="5"/>
    </row>
    <row r="58" spans="1:12" ht="21">
      <c r="A58" s="340" t="s">
        <v>94</v>
      </c>
      <c r="B58" s="341" t="s">
        <v>95</v>
      </c>
      <c r="C58" s="341"/>
      <c r="D58" s="341"/>
      <c r="E58" s="28"/>
      <c r="F58" s="28"/>
      <c r="G58" s="28"/>
      <c r="H58" s="29"/>
      <c r="I58" s="5"/>
      <c r="J58" s="5"/>
      <c r="K58" s="5"/>
    </row>
    <row r="59" spans="1:12">
      <c r="A59" s="340"/>
      <c r="B59" s="342" t="str">
        <f>K30</f>
        <v>5000</v>
      </c>
      <c r="C59" s="342"/>
      <c r="D59" s="342"/>
      <c r="E59" s="28"/>
      <c r="F59" s="28"/>
      <c r="G59" s="28"/>
      <c r="H59" s="29"/>
      <c r="I59" s="5"/>
      <c r="J59" s="5"/>
      <c r="K59" s="5"/>
    </row>
    <row r="60" spans="1:12">
      <c r="A60" s="62" t="str">
        <f>K29</f>
        <v>12</v>
      </c>
      <c r="B60" s="343">
        <f>K49</f>
        <v>277.66666666666669</v>
      </c>
      <c r="C60" s="343"/>
      <c r="D60" s="343"/>
      <c r="E60" s="28"/>
      <c r="F60" s="28"/>
      <c r="G60" s="28"/>
      <c r="H60" s="29"/>
      <c r="I60" s="5"/>
      <c r="J60" s="5"/>
      <c r="K60" s="5"/>
    </row>
    <row r="61" spans="1:12">
      <c r="A61" s="27"/>
      <c r="B61" s="28"/>
      <c r="C61" s="28"/>
      <c r="D61" s="28"/>
      <c r="E61" s="28"/>
      <c r="F61" s="28"/>
      <c r="G61" s="28"/>
      <c r="H61" s="29"/>
      <c r="I61" s="5"/>
      <c r="J61" s="5"/>
      <c r="K61" s="5"/>
    </row>
    <row r="62" spans="1:12">
      <c r="A62" s="49"/>
      <c r="B62" s="50" t="s">
        <v>10</v>
      </c>
      <c r="C62" s="50"/>
      <c r="D62" s="50"/>
      <c r="E62" s="50"/>
      <c r="F62" s="50"/>
      <c r="G62" s="50"/>
      <c r="H62" s="57"/>
      <c r="I62" s="5"/>
      <c r="J62" s="5"/>
      <c r="K62" s="5"/>
    </row>
    <row r="63" spans="1:12">
      <c r="A63" s="28"/>
      <c r="B63" s="28" t="s">
        <v>10</v>
      </c>
      <c r="C63" s="28"/>
      <c r="D63" s="28"/>
      <c r="E63" s="28"/>
      <c r="F63" s="28"/>
      <c r="G63" s="28"/>
      <c r="H63" s="28"/>
      <c r="I63" s="5"/>
      <c r="J63" s="5"/>
      <c r="K63" s="5"/>
    </row>
    <row r="64" spans="1:12">
      <c r="A64" s="28"/>
      <c r="B64" s="28" t="s">
        <v>10</v>
      </c>
      <c r="C64" s="28"/>
      <c r="D64" s="28"/>
      <c r="E64" s="28"/>
      <c r="F64" s="28"/>
      <c r="G64" s="28"/>
      <c r="H64" s="28"/>
      <c r="I64" s="5"/>
      <c r="J64" s="5"/>
      <c r="K64" s="5"/>
    </row>
    <row r="65" spans="1:35">
      <c r="A65" s="21"/>
      <c r="B65" s="21"/>
      <c r="C65" s="21"/>
      <c r="D65" s="21"/>
      <c r="E65" s="21"/>
      <c r="F65" s="21"/>
      <c r="G65" s="21"/>
      <c r="H65" s="21"/>
      <c r="J65" s="5"/>
      <c r="K65" s="5"/>
    </row>
    <row r="66" spans="1:35">
      <c r="A66" s="22"/>
      <c r="B66" s="23" t="s">
        <v>10</v>
      </c>
      <c r="C66" s="23"/>
      <c r="D66" s="23"/>
      <c r="E66" s="63"/>
      <c r="F66" s="63"/>
      <c r="G66" s="63"/>
      <c r="H66" s="24"/>
      <c r="J66" s="22"/>
      <c r="K66" s="23"/>
      <c r="L66" s="23"/>
      <c r="M66" s="23"/>
      <c r="N66" s="63"/>
      <c r="O66" s="63"/>
      <c r="P66" s="63"/>
      <c r="Q66" s="24"/>
      <c r="S66" s="22"/>
      <c r="T66" s="23"/>
      <c r="U66" s="23"/>
      <c r="V66" s="23"/>
      <c r="W66" s="63"/>
      <c r="X66" s="63"/>
      <c r="Y66" s="63"/>
      <c r="Z66" s="24"/>
      <c r="AB66" s="22"/>
      <c r="AC66" s="23"/>
      <c r="AD66" s="23"/>
      <c r="AE66" s="23"/>
      <c r="AF66" s="63"/>
      <c r="AG66" s="63"/>
      <c r="AH66" s="63"/>
      <c r="AI66" s="24"/>
    </row>
    <row r="67" spans="1:35">
      <c r="A67" s="27" t="s">
        <v>96</v>
      </c>
      <c r="B67" s="28">
        <v>1</v>
      </c>
      <c r="C67" s="28"/>
      <c r="D67" s="28"/>
      <c r="E67" s="21"/>
      <c r="F67" s="21"/>
      <c r="G67" s="21"/>
      <c r="H67" s="29"/>
      <c r="J67" s="27" t="s">
        <v>96</v>
      </c>
      <c r="K67" s="28">
        <v>1</v>
      </c>
      <c r="L67" s="28"/>
      <c r="M67" s="28"/>
      <c r="N67" s="21"/>
      <c r="O67" s="21"/>
      <c r="P67" s="21"/>
      <c r="Q67" s="29"/>
      <c r="S67" s="27" t="s">
        <v>96</v>
      </c>
      <c r="T67" s="28">
        <v>1</v>
      </c>
      <c r="U67" s="28"/>
      <c r="V67" s="28"/>
      <c r="W67" s="21"/>
      <c r="X67" s="21"/>
      <c r="Y67" s="21"/>
      <c r="Z67" s="29"/>
      <c r="AB67" s="27" t="s">
        <v>96</v>
      </c>
      <c r="AC67" s="28">
        <v>1</v>
      </c>
      <c r="AD67" s="28"/>
      <c r="AE67" s="28"/>
      <c r="AF67" s="21"/>
      <c r="AG67" s="21"/>
      <c r="AH67" s="21"/>
      <c r="AI67" s="29"/>
    </row>
    <row r="68" spans="1:35">
      <c r="A68" s="27" t="s">
        <v>97</v>
      </c>
      <c r="B68" s="28">
        <f>K29-B67</f>
        <v>11</v>
      </c>
      <c r="C68" s="28"/>
      <c r="D68" s="28"/>
      <c r="E68" s="21"/>
      <c r="F68" s="21"/>
      <c r="G68" s="21"/>
      <c r="H68" s="29"/>
      <c r="J68" s="27" t="s">
        <v>97</v>
      </c>
      <c r="K68" s="28">
        <f>K29-K67</f>
        <v>11</v>
      </c>
      <c r="L68" s="28"/>
      <c r="M68" s="28"/>
      <c r="N68" s="21"/>
      <c r="O68" s="21"/>
      <c r="P68" s="21"/>
      <c r="Q68" s="29"/>
      <c r="S68" s="27" t="s">
        <v>97</v>
      </c>
      <c r="T68" s="28">
        <f>K29-T67</f>
        <v>11</v>
      </c>
      <c r="U68" s="28"/>
      <c r="V68" s="28"/>
      <c r="W68" s="21"/>
      <c r="X68" s="21"/>
      <c r="Y68" s="21"/>
      <c r="Z68" s="29"/>
      <c r="AB68" s="27" t="s">
        <v>97</v>
      </c>
      <c r="AC68" s="28">
        <f>K29-AC67</f>
        <v>11</v>
      </c>
      <c r="AD68" s="28"/>
      <c r="AE68" s="28"/>
      <c r="AF68" s="21"/>
      <c r="AG68" s="21"/>
      <c r="AH68" s="21"/>
      <c r="AI68" s="29"/>
    </row>
    <row r="69" spans="1:35">
      <c r="A69" s="64" t="s">
        <v>98</v>
      </c>
      <c r="B69" s="65">
        <v>10</v>
      </c>
      <c r="C69" s="28"/>
      <c r="D69" s="28"/>
      <c r="E69" s="21"/>
      <c r="F69" s="21"/>
      <c r="G69" s="21"/>
      <c r="H69" s="29"/>
      <c r="J69" s="64" t="s">
        <v>98</v>
      </c>
      <c r="K69" s="65">
        <v>20</v>
      </c>
      <c r="L69" s="28"/>
      <c r="M69" s="28"/>
      <c r="N69" s="21"/>
      <c r="O69" s="21"/>
      <c r="P69" s="21"/>
      <c r="Q69" s="29"/>
      <c r="S69" s="64" t="s">
        <v>98</v>
      </c>
      <c r="T69" s="65">
        <v>10</v>
      </c>
      <c r="U69" s="28"/>
      <c r="V69" s="28"/>
      <c r="W69" s="21"/>
      <c r="X69" s="21"/>
      <c r="Y69" s="21"/>
      <c r="Z69" s="29"/>
      <c r="AB69" s="64" t="s">
        <v>98</v>
      </c>
      <c r="AC69" s="65">
        <v>10</v>
      </c>
      <c r="AD69" s="28"/>
      <c r="AE69" s="28"/>
      <c r="AF69" s="21"/>
      <c r="AG69" s="21"/>
      <c r="AH69" s="21"/>
      <c r="AI69" s="29"/>
    </row>
    <row r="70" spans="1:35">
      <c r="A70" s="27" t="s">
        <v>27</v>
      </c>
      <c r="B70" s="28">
        <f>J18</f>
        <v>37404</v>
      </c>
      <c r="C70" s="28"/>
      <c r="D70" s="28"/>
      <c r="E70" s="21"/>
      <c r="F70" s="21"/>
      <c r="G70" s="21"/>
      <c r="H70" s="29"/>
      <c r="J70" s="27" t="s">
        <v>27</v>
      </c>
      <c r="K70" s="28">
        <f>J18</f>
        <v>37404</v>
      </c>
      <c r="L70" s="28"/>
      <c r="M70" s="28"/>
      <c r="N70" s="21"/>
      <c r="O70" s="21"/>
      <c r="P70" s="21"/>
      <c r="Q70" s="29"/>
      <c r="S70" s="27" t="s">
        <v>27</v>
      </c>
      <c r="T70" s="28">
        <f>J18</f>
        <v>37404</v>
      </c>
      <c r="U70" s="28"/>
      <c r="V70" s="28"/>
      <c r="W70" s="21"/>
      <c r="X70" s="21"/>
      <c r="Y70" s="21"/>
      <c r="Z70" s="29"/>
      <c r="AB70" s="27" t="s">
        <v>27</v>
      </c>
      <c r="AC70" s="28">
        <f>J18</f>
        <v>37404</v>
      </c>
      <c r="AD70" s="28"/>
      <c r="AE70" s="28"/>
      <c r="AF70" s="21"/>
      <c r="AG70" s="21"/>
      <c r="AH70" s="21"/>
      <c r="AI70" s="29"/>
    </row>
    <row r="71" spans="1:35">
      <c r="A71" s="66" t="s">
        <v>99</v>
      </c>
      <c r="B71" s="67">
        <v>1.0500000000000001E-2</v>
      </c>
      <c r="C71" s="28"/>
      <c r="D71" s="28"/>
      <c r="E71" s="21"/>
      <c r="F71" s="21"/>
      <c r="G71" s="21"/>
      <c r="H71" s="29"/>
      <c r="J71" s="66" t="s">
        <v>99</v>
      </c>
      <c r="K71" s="67">
        <v>0.06</v>
      </c>
      <c r="L71" s="28"/>
      <c r="M71" s="28"/>
      <c r="N71" s="21"/>
      <c r="O71" s="21"/>
      <c r="P71" s="21"/>
      <c r="Q71" s="29"/>
      <c r="S71" s="66" t="s">
        <v>99</v>
      </c>
      <c r="T71" s="67">
        <f>IF(AND(K29&gt;=12,K29&lt;=24),0.0105,IF(AND(K29&gt;=48),-0.0075,0))</f>
        <v>-7.4999999999999997E-3</v>
      </c>
      <c r="U71" s="28"/>
      <c r="V71" s="28"/>
      <c r="W71" s="21"/>
      <c r="X71" s="21"/>
      <c r="Y71" s="21"/>
      <c r="Z71" s="29"/>
      <c r="AB71" s="66" t="s">
        <v>99</v>
      </c>
      <c r="AC71" s="67">
        <f>IF(AND(K29&gt;=12,K29&lt;=24),0.0105,IF(AND(K29&gt;=48),-0.0075,0))</f>
        <v>-7.4999999999999997E-3</v>
      </c>
      <c r="AD71" s="28"/>
      <c r="AE71" s="28"/>
      <c r="AF71" s="21"/>
      <c r="AG71" s="21"/>
      <c r="AH71" s="21"/>
      <c r="AI71" s="29"/>
    </row>
    <row r="72" spans="1:35">
      <c r="A72" s="68" t="s">
        <v>100</v>
      </c>
      <c r="B72" s="69">
        <v>6.5000000000000002E-2</v>
      </c>
      <c r="C72" s="28"/>
      <c r="D72" s="28"/>
      <c r="E72" s="21"/>
      <c r="F72" s="21"/>
      <c r="G72" s="21"/>
      <c r="H72" s="29"/>
      <c r="J72" s="68" t="s">
        <v>100</v>
      </c>
      <c r="K72" s="69">
        <v>0.08</v>
      </c>
      <c r="L72" s="28"/>
      <c r="M72" s="28"/>
      <c r="N72" s="21"/>
      <c r="O72" s="21"/>
      <c r="P72" s="21"/>
      <c r="Q72" s="29"/>
      <c r="S72" s="68" t="s">
        <v>100</v>
      </c>
      <c r="T72" s="69">
        <v>5.8999999999999997E-2</v>
      </c>
      <c r="U72" s="28"/>
      <c r="V72" s="28"/>
      <c r="W72" s="21"/>
      <c r="X72" s="21"/>
      <c r="Y72" s="21"/>
      <c r="Z72" s="29"/>
      <c r="AB72" s="68" t="s">
        <v>100</v>
      </c>
      <c r="AC72" s="69">
        <v>5.8999999999999997E-2</v>
      </c>
      <c r="AD72" s="28"/>
      <c r="AE72" s="28"/>
      <c r="AF72" s="21"/>
      <c r="AG72" s="21"/>
      <c r="AH72" s="21"/>
      <c r="AI72" s="29"/>
    </row>
    <row r="73" spans="1:35">
      <c r="A73" s="70" t="s">
        <v>101</v>
      </c>
      <c r="B73" s="71">
        <v>0.05</v>
      </c>
      <c r="C73" s="28"/>
      <c r="D73" s="28"/>
      <c r="E73" s="21"/>
      <c r="F73" s="21"/>
      <c r="G73" s="21"/>
      <c r="H73" s="29"/>
      <c r="J73" s="70" t="s">
        <v>101</v>
      </c>
      <c r="K73" s="71">
        <v>0.1</v>
      </c>
      <c r="L73" s="28"/>
      <c r="M73" s="28"/>
      <c r="N73" s="21"/>
      <c r="O73" s="21"/>
      <c r="P73" s="21"/>
      <c r="Q73" s="29"/>
      <c r="S73" s="70" t="s">
        <v>101</v>
      </c>
      <c r="T73" s="71">
        <f>IF(T117=AP117,2.4%,7.2%)</f>
        <v>7.2000000000000008E-2</v>
      </c>
      <c r="U73" s="28"/>
      <c r="V73" s="28"/>
      <c r="W73" s="21"/>
      <c r="X73" s="21"/>
      <c r="Y73" s="21"/>
      <c r="Z73" s="29"/>
      <c r="AB73" s="70" t="s">
        <v>101</v>
      </c>
      <c r="AC73" s="71">
        <f>IF(AC117=AP117,2.4%,7.2%)</f>
        <v>7.2000000000000008E-2</v>
      </c>
      <c r="AD73" s="28"/>
      <c r="AE73" s="28"/>
      <c r="AF73" s="21"/>
      <c r="AG73" s="21"/>
      <c r="AH73" s="21"/>
      <c r="AI73" s="29"/>
    </row>
    <row r="74" spans="1:35">
      <c r="A74" s="49" t="s">
        <v>102</v>
      </c>
      <c r="B74" s="57">
        <f>(B98*B68)-(K47*K29)</f>
        <v>16907.506037590156</v>
      </c>
      <c r="C74" s="28"/>
      <c r="D74" s="28"/>
      <c r="E74" s="21"/>
      <c r="F74" s="21"/>
      <c r="G74" s="21"/>
      <c r="H74" s="29"/>
      <c r="J74" s="49" t="s">
        <v>102</v>
      </c>
      <c r="K74" s="57" t="e">
        <f>(K98*K68)-(K47*K29)</f>
        <v>#VALUE!</v>
      </c>
      <c r="L74" s="28"/>
      <c r="M74" s="28"/>
      <c r="N74" s="21"/>
      <c r="O74" s="21"/>
      <c r="P74" s="21"/>
      <c r="Q74" s="29"/>
      <c r="S74" s="49" t="s">
        <v>102</v>
      </c>
      <c r="T74" s="57" t="e">
        <f>(T98*T68)-(K47*K29)</f>
        <v>#VALUE!</v>
      </c>
      <c r="U74" s="28"/>
      <c r="V74" s="28"/>
      <c r="W74" s="21"/>
      <c r="X74" s="21"/>
      <c r="Y74" s="21"/>
      <c r="Z74" s="29"/>
      <c r="AB74" s="49" t="s">
        <v>102</v>
      </c>
      <c r="AC74" s="57" t="e">
        <f>(AC98*AC68)-(K47*K29)</f>
        <v>#VALUE!</v>
      </c>
      <c r="AD74" s="28"/>
      <c r="AE74" s="28"/>
      <c r="AF74" s="21"/>
      <c r="AG74" s="21"/>
      <c r="AH74" s="21"/>
      <c r="AI74" s="29"/>
    </row>
    <row r="75" spans="1:35">
      <c r="A75" s="66" t="s">
        <v>103</v>
      </c>
      <c r="B75" s="67">
        <v>0.02</v>
      </c>
      <c r="C75" s="28"/>
      <c r="D75" s="28"/>
      <c r="E75" s="21"/>
      <c r="F75" s="21"/>
      <c r="G75" s="21"/>
      <c r="H75" s="29"/>
      <c r="J75" s="66" t="s">
        <v>103</v>
      </c>
      <c r="K75" s="67">
        <v>0.05</v>
      </c>
      <c r="L75" s="28"/>
      <c r="M75" s="28"/>
      <c r="N75" s="21"/>
      <c r="O75" s="21"/>
      <c r="P75" s="21"/>
      <c r="Q75" s="29"/>
      <c r="S75" s="66" t="s">
        <v>103</v>
      </c>
      <c r="T75" s="67">
        <v>5.0000000000000001E-3</v>
      </c>
      <c r="U75" s="28"/>
      <c r="V75" s="28"/>
      <c r="W75" s="21"/>
      <c r="X75" s="21"/>
      <c r="Y75" s="21"/>
      <c r="Z75" s="29"/>
      <c r="AB75" s="66" t="s">
        <v>103</v>
      </c>
      <c r="AC75" s="67">
        <v>5.0000000000000001E-3</v>
      </c>
      <c r="AD75" s="28"/>
      <c r="AE75" s="28"/>
      <c r="AF75" s="21"/>
      <c r="AG75" s="21"/>
      <c r="AH75" s="21"/>
      <c r="AI75" s="29"/>
    </row>
    <row r="76" spans="1:35">
      <c r="A76" s="27"/>
      <c r="B76" s="72">
        <f>B75</f>
        <v>0.02</v>
      </c>
      <c r="C76" s="28"/>
      <c r="D76" s="28"/>
      <c r="E76" s="21"/>
      <c r="F76" s="21"/>
      <c r="G76" s="21"/>
      <c r="H76" s="29"/>
      <c r="J76" s="27" t="s">
        <v>104</v>
      </c>
      <c r="K76" s="72">
        <f>K75+(K75*0.25*(K29/12-1))</f>
        <v>0.05</v>
      </c>
      <c r="L76" s="28"/>
      <c r="M76" s="28"/>
      <c r="N76" s="21"/>
      <c r="O76" s="21"/>
      <c r="P76" s="21"/>
      <c r="Q76" s="29"/>
      <c r="S76" s="27" t="s">
        <v>104</v>
      </c>
      <c r="T76" s="72">
        <f>T75+(T75*0.5*(K29/12-1))</f>
        <v>5.0000000000000001E-3</v>
      </c>
      <c r="U76" s="28"/>
      <c r="V76" s="28"/>
      <c r="W76" s="21"/>
      <c r="X76" s="21"/>
      <c r="Y76" s="21"/>
      <c r="Z76" s="29"/>
      <c r="AB76" s="27" t="s">
        <v>104</v>
      </c>
      <c r="AC76" s="72">
        <f>AC75+(AC75*0.5*(K29/12-1))</f>
        <v>5.0000000000000001E-3</v>
      </c>
      <c r="AD76" s="28"/>
      <c r="AE76" s="28"/>
      <c r="AF76" s="21"/>
      <c r="AG76" s="21"/>
      <c r="AH76" s="21"/>
      <c r="AI76" s="29"/>
    </row>
    <row r="77" spans="1:35">
      <c r="A77" s="49" t="s">
        <v>105</v>
      </c>
      <c r="B77" s="57">
        <f>(G167*B76)</f>
        <v>518.00007999999991</v>
      </c>
      <c r="C77" s="28"/>
      <c r="D77" s="28"/>
      <c r="E77" s="21"/>
      <c r="F77" s="21"/>
      <c r="G77" s="21"/>
      <c r="H77" s="29"/>
      <c r="J77" s="49" t="s">
        <v>105</v>
      </c>
      <c r="K77" s="57">
        <f>K70*K76</f>
        <v>1870.2</v>
      </c>
      <c r="L77" s="28"/>
      <c r="M77" s="28"/>
      <c r="N77" s="21"/>
      <c r="O77" s="21"/>
      <c r="P77" s="21"/>
      <c r="Q77" s="29"/>
      <c r="S77" s="49" t="s">
        <v>105</v>
      </c>
      <c r="T77" s="57">
        <f>T70*T76</f>
        <v>187.02</v>
      </c>
      <c r="U77" s="28"/>
      <c r="V77" s="28"/>
      <c r="W77" s="21"/>
      <c r="X77" s="21"/>
      <c r="Y77" s="21"/>
      <c r="Z77" s="29"/>
      <c r="AB77" s="49" t="s">
        <v>105</v>
      </c>
      <c r="AC77" s="57" t="e">
        <f>AH167*AC76</f>
        <v>#VALUE!</v>
      </c>
      <c r="AD77" s="28"/>
      <c r="AE77" s="28"/>
      <c r="AF77" s="21"/>
      <c r="AG77" s="21"/>
      <c r="AH77" s="21"/>
      <c r="AI77" s="29"/>
    </row>
    <row r="78" spans="1:35">
      <c r="A78" s="66" t="s">
        <v>106</v>
      </c>
      <c r="B78" s="67">
        <v>0</v>
      </c>
      <c r="C78" s="28"/>
      <c r="D78" s="28"/>
      <c r="E78" s="21"/>
      <c r="F78" s="21"/>
      <c r="G78" s="21"/>
      <c r="H78" s="29"/>
      <c r="J78" s="66" t="s">
        <v>106</v>
      </c>
      <c r="K78" s="67">
        <v>0</v>
      </c>
      <c r="L78" s="28"/>
      <c r="M78" s="28"/>
      <c r="N78" s="21"/>
      <c r="O78" s="21"/>
      <c r="P78" s="21"/>
      <c r="Q78" s="29"/>
      <c r="S78" s="66" t="s">
        <v>106</v>
      </c>
      <c r="T78" s="67">
        <v>0</v>
      </c>
      <c r="U78" s="28"/>
      <c r="V78" s="28"/>
      <c r="W78" s="21"/>
      <c r="X78" s="21"/>
      <c r="Y78" s="21"/>
      <c r="Z78" s="29"/>
      <c r="AB78" s="66" t="s">
        <v>106</v>
      </c>
      <c r="AC78" s="67">
        <v>0</v>
      </c>
      <c r="AD78" s="28"/>
      <c r="AE78" s="28"/>
      <c r="AF78" s="21"/>
      <c r="AG78" s="21"/>
      <c r="AH78" s="21"/>
      <c r="AI78" s="29"/>
    </row>
    <row r="79" spans="1:35">
      <c r="A79" s="68" t="s">
        <v>107</v>
      </c>
      <c r="B79" s="69">
        <v>0</v>
      </c>
      <c r="C79" s="28"/>
      <c r="D79" s="28"/>
      <c r="E79" s="21"/>
      <c r="F79" s="21"/>
      <c r="G79" s="21"/>
      <c r="H79" s="29"/>
      <c r="J79" s="68" t="s">
        <v>107</v>
      </c>
      <c r="K79" s="69">
        <v>0</v>
      </c>
      <c r="L79" s="28"/>
      <c r="M79" s="28"/>
      <c r="N79" s="21"/>
      <c r="O79" s="21"/>
      <c r="P79" s="21"/>
      <c r="Q79" s="29"/>
      <c r="S79" s="68" t="s">
        <v>107</v>
      </c>
      <c r="T79" s="69">
        <v>0</v>
      </c>
      <c r="U79" s="28"/>
      <c r="V79" s="28"/>
      <c r="W79" s="21"/>
      <c r="X79" s="21"/>
      <c r="Y79" s="21"/>
      <c r="Z79" s="29"/>
      <c r="AB79" s="68" t="s">
        <v>107</v>
      </c>
      <c r="AC79" s="69">
        <v>0</v>
      </c>
      <c r="AD79" s="28"/>
      <c r="AE79" s="28"/>
      <c r="AF79" s="21"/>
      <c r="AG79" s="21"/>
      <c r="AH79" s="21"/>
      <c r="AI79" s="29"/>
    </row>
    <row r="80" spans="1:35">
      <c r="A80" s="49" t="s">
        <v>108</v>
      </c>
      <c r="B80" s="73">
        <f>B78*(1+B79)</f>
        <v>0</v>
      </c>
      <c r="C80" s="28"/>
      <c r="D80" s="28"/>
      <c r="E80" s="21"/>
      <c r="F80" s="21"/>
      <c r="G80" s="21"/>
      <c r="H80" s="29"/>
      <c r="J80" s="49" t="s">
        <v>108</v>
      </c>
      <c r="K80" s="73">
        <f>K78*(1+K79)</f>
        <v>0</v>
      </c>
      <c r="L80" s="28"/>
      <c r="M80" s="28"/>
      <c r="N80" s="21"/>
      <c r="O80" s="21"/>
      <c r="P80" s="21"/>
      <c r="Q80" s="29"/>
      <c r="S80" s="49" t="s">
        <v>108</v>
      </c>
      <c r="T80" s="73">
        <f>T78*(1+T79)</f>
        <v>0</v>
      </c>
      <c r="U80" s="28"/>
      <c r="V80" s="28"/>
      <c r="W80" s="21"/>
      <c r="X80" s="21"/>
      <c r="Y80" s="21"/>
      <c r="Z80" s="29"/>
      <c r="AB80" s="49" t="s">
        <v>108</v>
      </c>
      <c r="AC80" s="73">
        <f>AC78*(1+AC79)</f>
        <v>0</v>
      </c>
      <c r="AD80" s="28"/>
      <c r="AE80" s="28"/>
      <c r="AF80" s="21"/>
      <c r="AG80" s="21"/>
      <c r="AH80" s="21"/>
      <c r="AI80" s="29"/>
    </row>
    <row r="81" spans="1:35">
      <c r="A81" s="66" t="s">
        <v>109</v>
      </c>
      <c r="B81" s="74">
        <v>0</v>
      </c>
      <c r="C81" s="28"/>
      <c r="D81" s="28"/>
      <c r="E81" s="21"/>
      <c r="F81" s="21"/>
      <c r="G81" s="21"/>
      <c r="H81" s="29"/>
      <c r="J81" s="66" t="s">
        <v>109</v>
      </c>
      <c r="K81" s="74">
        <v>0</v>
      </c>
      <c r="L81" s="28"/>
      <c r="M81" s="28"/>
      <c r="N81" s="21"/>
      <c r="O81" s="21"/>
      <c r="P81" s="21"/>
      <c r="Q81" s="29"/>
      <c r="S81" s="66" t="s">
        <v>109</v>
      </c>
      <c r="T81" s="74">
        <v>0</v>
      </c>
      <c r="U81" s="28"/>
      <c r="V81" s="28"/>
      <c r="W81" s="21"/>
      <c r="X81" s="21"/>
      <c r="Y81" s="21"/>
      <c r="Z81" s="29"/>
      <c r="AB81" s="66" t="s">
        <v>109</v>
      </c>
      <c r="AC81" s="74">
        <v>0</v>
      </c>
      <c r="AD81" s="28"/>
      <c r="AE81" s="28"/>
      <c r="AF81" s="21"/>
      <c r="AG81" s="21"/>
      <c r="AH81" s="21"/>
      <c r="AI81" s="29"/>
    </row>
    <row r="82" spans="1:35">
      <c r="A82" s="68" t="s">
        <v>110</v>
      </c>
      <c r="B82" s="65">
        <v>0</v>
      </c>
      <c r="C82" s="28"/>
      <c r="D82" s="28"/>
      <c r="E82" s="21"/>
      <c r="F82" s="21"/>
      <c r="G82" s="21"/>
      <c r="H82" s="29"/>
      <c r="J82" s="68" t="s">
        <v>110</v>
      </c>
      <c r="K82" s="65">
        <v>0</v>
      </c>
      <c r="L82" s="28"/>
      <c r="M82" s="28"/>
      <c r="N82" s="21"/>
      <c r="O82" s="21"/>
      <c r="P82" s="21"/>
      <c r="Q82" s="29"/>
      <c r="S82" s="68" t="s">
        <v>110</v>
      </c>
      <c r="T82" s="65">
        <v>0</v>
      </c>
      <c r="U82" s="28"/>
      <c r="V82" s="28"/>
      <c r="W82" s="21"/>
      <c r="X82" s="21"/>
      <c r="Y82" s="21"/>
      <c r="Z82" s="29"/>
      <c r="AB82" s="68" t="s">
        <v>110</v>
      </c>
      <c r="AC82" s="65">
        <v>0</v>
      </c>
      <c r="AD82" s="28"/>
      <c r="AE82" s="28"/>
      <c r="AF82" s="21"/>
      <c r="AG82" s="21"/>
      <c r="AH82" s="21"/>
      <c r="AI82" s="29"/>
    </row>
    <row r="83" spans="1:35">
      <c r="A83" s="49" t="s">
        <v>111</v>
      </c>
      <c r="B83" s="57">
        <f>B82*K29</f>
        <v>0</v>
      </c>
      <c r="C83" s="28"/>
      <c r="D83" s="28">
        <f>B83+B81</f>
        <v>0</v>
      </c>
      <c r="E83" s="21"/>
      <c r="F83" s="21"/>
      <c r="G83" s="21"/>
      <c r="H83" s="29"/>
      <c r="J83" s="49" t="s">
        <v>111</v>
      </c>
      <c r="K83" s="57">
        <f>K82*K29</f>
        <v>0</v>
      </c>
      <c r="L83" s="28"/>
      <c r="M83" s="28">
        <f>K83+K81</f>
        <v>0</v>
      </c>
      <c r="N83" s="21"/>
      <c r="O83" s="21"/>
      <c r="P83" s="21"/>
      <c r="Q83" s="29"/>
      <c r="S83" s="49" t="s">
        <v>111</v>
      </c>
      <c r="T83" s="57">
        <f>T82*K29</f>
        <v>0</v>
      </c>
      <c r="U83" s="28"/>
      <c r="V83" s="28">
        <f>T83+T81</f>
        <v>0</v>
      </c>
      <c r="W83" s="21"/>
      <c r="X83" s="21"/>
      <c r="Y83" s="21"/>
      <c r="Z83" s="29"/>
      <c r="AB83" s="49" t="s">
        <v>111</v>
      </c>
      <c r="AC83" s="57">
        <f>AC82*K29</f>
        <v>0</v>
      </c>
      <c r="AD83" s="28"/>
      <c r="AE83" s="28">
        <f>AC83+AC81</f>
        <v>0</v>
      </c>
      <c r="AF83" s="21"/>
      <c r="AG83" s="21"/>
      <c r="AH83" s="21"/>
      <c r="AI83" s="29"/>
    </row>
    <row r="84" spans="1:35">
      <c r="A84" s="68" t="s">
        <v>112</v>
      </c>
      <c r="B84" s="65">
        <v>0</v>
      </c>
      <c r="C84" s="28"/>
      <c r="D84" s="28">
        <f>B84</f>
        <v>0</v>
      </c>
      <c r="E84" s="21"/>
      <c r="F84" s="21"/>
      <c r="G84" s="21"/>
      <c r="H84" s="29"/>
      <c r="J84" s="68" t="s">
        <v>112</v>
      </c>
      <c r="K84" s="65">
        <v>0</v>
      </c>
      <c r="L84" s="28"/>
      <c r="M84" s="28">
        <f>K84</f>
        <v>0</v>
      </c>
      <c r="N84" s="21"/>
      <c r="O84" s="21"/>
      <c r="P84" s="21"/>
      <c r="Q84" s="29"/>
      <c r="S84" s="68" t="s">
        <v>112</v>
      </c>
      <c r="T84" s="65">
        <v>0</v>
      </c>
      <c r="U84" s="28"/>
      <c r="V84" s="28">
        <f>T84</f>
        <v>0</v>
      </c>
      <c r="W84" s="21"/>
      <c r="X84" s="21"/>
      <c r="Y84" s="21"/>
      <c r="Z84" s="29"/>
      <c r="AB84" s="68" t="s">
        <v>112</v>
      </c>
      <c r="AC84" s="65">
        <v>0</v>
      </c>
      <c r="AD84" s="28"/>
      <c r="AE84" s="28">
        <f>AC84</f>
        <v>0</v>
      </c>
      <c r="AF84" s="21"/>
      <c r="AG84" s="21"/>
      <c r="AH84" s="21"/>
      <c r="AI84" s="29"/>
    </row>
    <row r="85" spans="1:35">
      <c r="A85" s="70" t="s">
        <v>113</v>
      </c>
      <c r="B85" s="75">
        <v>0</v>
      </c>
      <c r="C85" s="28"/>
      <c r="D85" s="28">
        <f>B85</f>
        <v>0</v>
      </c>
      <c r="E85" s="21"/>
      <c r="F85" s="28"/>
      <c r="G85" s="21"/>
      <c r="H85" s="29"/>
      <c r="J85" s="70" t="s">
        <v>113</v>
      </c>
      <c r="K85" s="75">
        <v>0</v>
      </c>
      <c r="L85" s="28"/>
      <c r="M85" s="28">
        <f>K85</f>
        <v>0</v>
      </c>
      <c r="N85" s="21"/>
      <c r="O85" s="21"/>
      <c r="P85" s="21"/>
      <c r="Q85" s="29"/>
      <c r="S85" s="70" t="s">
        <v>113</v>
      </c>
      <c r="T85" s="75">
        <v>0</v>
      </c>
      <c r="U85" s="28"/>
      <c r="V85" s="28">
        <f>T85</f>
        <v>0</v>
      </c>
      <c r="W85" s="21"/>
      <c r="X85" s="21"/>
      <c r="Y85" s="21"/>
      <c r="Z85" s="29"/>
      <c r="AB85" s="70" t="s">
        <v>113</v>
      </c>
      <c r="AC85" s="75">
        <v>0</v>
      </c>
      <c r="AD85" s="28"/>
      <c r="AE85" s="28">
        <f>AC85</f>
        <v>0</v>
      </c>
      <c r="AF85" s="21"/>
      <c r="AG85" s="21"/>
      <c r="AH85" s="21"/>
      <c r="AI85" s="29"/>
    </row>
    <row r="86" spans="1:35">
      <c r="A86" s="76" t="s">
        <v>114</v>
      </c>
      <c r="B86" s="77">
        <f>SUM(D74:D85)</f>
        <v>0</v>
      </c>
      <c r="C86" s="28"/>
      <c r="D86" s="28"/>
      <c r="E86" s="21"/>
      <c r="F86" s="28"/>
      <c r="G86" s="28"/>
      <c r="H86" s="29"/>
      <c r="J86" s="76" t="s">
        <v>114</v>
      </c>
      <c r="K86" s="77">
        <f>SUM(M74:M85)</f>
        <v>0</v>
      </c>
      <c r="L86" s="28"/>
      <c r="M86" s="28"/>
      <c r="N86" s="21"/>
      <c r="O86" s="21"/>
      <c r="P86" s="21"/>
      <c r="Q86" s="29"/>
      <c r="S86" s="76" t="s">
        <v>114</v>
      </c>
      <c r="T86" s="77">
        <f>SUM(V74:V85)</f>
        <v>0</v>
      </c>
      <c r="U86" s="28"/>
      <c r="V86" s="28"/>
      <c r="W86" s="21"/>
      <c r="X86" s="21"/>
      <c r="Y86" s="21"/>
      <c r="Z86" s="29"/>
      <c r="AB86" s="76" t="s">
        <v>114</v>
      </c>
      <c r="AC86" s="77">
        <f>SUM(AE74:AE85)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115</v>
      </c>
      <c r="B87" s="29">
        <f>B86/K29</f>
        <v>0</v>
      </c>
      <c r="C87" s="28"/>
      <c r="D87" s="28"/>
      <c r="E87" s="21"/>
      <c r="F87" s="21"/>
      <c r="G87" s="21"/>
      <c r="H87" s="29"/>
      <c r="J87" s="27" t="s">
        <v>115</v>
      </c>
      <c r="K87" s="29">
        <f>K86/K29</f>
        <v>0</v>
      </c>
      <c r="L87" s="28"/>
      <c r="M87" s="28"/>
      <c r="N87" s="21"/>
      <c r="O87" s="21"/>
      <c r="P87" s="21"/>
      <c r="Q87" s="29"/>
      <c r="S87" s="27" t="s">
        <v>115</v>
      </c>
      <c r="T87" s="29">
        <f>T86/K29</f>
        <v>0</v>
      </c>
      <c r="U87" s="28"/>
      <c r="V87" s="28"/>
      <c r="W87" s="21"/>
      <c r="X87" s="21"/>
      <c r="Y87" s="21"/>
      <c r="Z87" s="29"/>
      <c r="AB87" s="27" t="s">
        <v>115</v>
      </c>
      <c r="AC87" s="29">
        <f>AC86/K29</f>
        <v>0</v>
      </c>
      <c r="AD87" s="28"/>
      <c r="AE87" s="28"/>
      <c r="AF87" s="21"/>
      <c r="AG87" s="21"/>
      <c r="AH87" s="21"/>
      <c r="AI87" s="29"/>
    </row>
    <row r="88" spans="1:35">
      <c r="A88" s="78" t="s">
        <v>116</v>
      </c>
      <c r="B88" s="52">
        <f>K49</f>
        <v>277.66666666666669</v>
      </c>
      <c r="C88" s="28"/>
      <c r="D88" s="28"/>
      <c r="E88" s="21"/>
      <c r="F88" s="21"/>
      <c r="G88" s="21"/>
      <c r="H88" s="29"/>
      <c r="J88" s="78" t="s">
        <v>116</v>
      </c>
      <c r="K88" s="52">
        <f>K47</f>
        <v>1</v>
      </c>
      <c r="L88" s="28"/>
      <c r="M88" s="28"/>
      <c r="N88" s="21"/>
      <c r="O88" s="21"/>
      <c r="P88" s="21"/>
      <c r="Q88" s="29"/>
      <c r="S88" s="78" t="s">
        <v>116</v>
      </c>
      <c r="T88" s="52">
        <f>B60</f>
        <v>277.66666666666669</v>
      </c>
      <c r="U88" s="28"/>
      <c r="V88" s="28"/>
      <c r="W88" s="21"/>
      <c r="X88" s="21"/>
      <c r="Y88" s="21"/>
      <c r="Z88" s="29"/>
      <c r="AB88" s="78" t="s">
        <v>116</v>
      </c>
      <c r="AC88" s="52">
        <f>B60</f>
        <v>277.66666666666669</v>
      </c>
      <c r="AD88" s="28"/>
      <c r="AE88" s="28"/>
      <c r="AF88" s="21"/>
      <c r="AG88" s="21"/>
      <c r="AH88" s="21"/>
      <c r="AI88" s="29"/>
    </row>
    <row r="89" spans="1:35">
      <c r="A89" s="27"/>
      <c r="B89" s="28"/>
      <c r="C89" s="28"/>
      <c r="D89" s="28"/>
      <c r="E89" s="21"/>
      <c r="F89" s="21"/>
      <c r="G89" s="21"/>
      <c r="H89" s="29"/>
      <c r="J89" s="27"/>
      <c r="K89" s="28"/>
      <c r="L89" s="28"/>
      <c r="M89" s="28"/>
      <c r="N89" s="21"/>
      <c r="O89" s="21"/>
      <c r="P89" s="21"/>
      <c r="Q89" s="29"/>
      <c r="S89" s="27"/>
      <c r="T89" s="28"/>
      <c r="U89" s="28"/>
      <c r="V89" s="28"/>
      <c r="W89" s="21"/>
      <c r="X89" s="21"/>
      <c r="Y89" s="21"/>
      <c r="Z89" s="29"/>
      <c r="AB89" s="27"/>
      <c r="AC89" s="28"/>
      <c r="AD89" s="28"/>
      <c r="AE89" s="28"/>
      <c r="AF89" s="21"/>
      <c r="AG89" s="21"/>
      <c r="AH89" s="21"/>
      <c r="AI89" s="29"/>
    </row>
    <row r="90" spans="1:35">
      <c r="A90" s="22" t="s">
        <v>117</v>
      </c>
      <c r="B90" s="24">
        <f>F37</f>
        <v>21200</v>
      </c>
      <c r="C90" s="28"/>
      <c r="D90" s="28"/>
      <c r="E90" s="21"/>
      <c r="F90" s="22" t="s">
        <v>117</v>
      </c>
      <c r="G90" s="24">
        <f>F37</f>
        <v>21200</v>
      </c>
      <c r="H90" s="29"/>
      <c r="J90" s="22" t="s">
        <v>117</v>
      </c>
      <c r="K90" s="24" t="e">
        <f>P167</f>
        <v>#VALUE!</v>
      </c>
      <c r="L90" s="28"/>
      <c r="M90" s="28"/>
      <c r="N90" s="21"/>
      <c r="O90" s="21"/>
      <c r="P90" s="21"/>
      <c r="Q90" s="29"/>
      <c r="S90" s="22" t="s">
        <v>117</v>
      </c>
      <c r="T90" s="24" t="e">
        <f>Y167</f>
        <v>#VALUE!</v>
      </c>
      <c r="U90" s="28"/>
      <c r="V90" s="28"/>
      <c r="W90" s="21"/>
      <c r="X90" s="21"/>
      <c r="Y90" s="21"/>
      <c r="Z90" s="29"/>
      <c r="AB90" s="22" t="s">
        <v>117</v>
      </c>
      <c r="AC90" s="24" t="e">
        <f>AH167</f>
        <v>#VALUE!</v>
      </c>
      <c r="AD90" s="28"/>
      <c r="AE90" s="28"/>
      <c r="AF90" s="21"/>
      <c r="AG90" s="21"/>
      <c r="AH90" s="21"/>
      <c r="AI90" s="29"/>
    </row>
    <row r="91" spans="1:35">
      <c r="A91" s="27" t="s">
        <v>118</v>
      </c>
      <c r="B91" s="29">
        <f>IF(A111="YES",A43,0)</f>
        <v>6000</v>
      </c>
      <c r="C91" s="28"/>
      <c r="D91" s="28"/>
      <c r="E91" s="21"/>
      <c r="F91" s="27" t="s">
        <v>118</v>
      </c>
      <c r="G91" s="29">
        <f>IF(A111="YES",A43,0)</f>
        <v>6000</v>
      </c>
      <c r="H91" s="29"/>
      <c r="J91" s="27" t="s">
        <v>118</v>
      </c>
      <c r="K91" s="29">
        <f>IF(J120="YES",A40,0)</f>
        <v>0</v>
      </c>
      <c r="L91" s="28"/>
      <c r="M91" s="28"/>
      <c r="N91" s="21"/>
      <c r="O91" s="21"/>
      <c r="P91" s="21"/>
      <c r="Q91" s="29"/>
      <c r="S91" s="27" t="s">
        <v>118</v>
      </c>
      <c r="T91" s="29" t="str">
        <f>A40</f>
        <v>12</v>
      </c>
      <c r="U91" s="28"/>
      <c r="V91" s="28"/>
      <c r="W91" s="21"/>
      <c r="X91" s="21"/>
      <c r="Y91" s="21"/>
      <c r="Z91" s="29"/>
      <c r="AB91" s="27" t="s">
        <v>118</v>
      </c>
      <c r="AC91" s="29" t="str">
        <f>A40</f>
        <v>12</v>
      </c>
      <c r="AD91" s="28"/>
      <c r="AE91" s="28"/>
      <c r="AF91" s="21"/>
      <c r="AG91" s="21"/>
      <c r="AH91" s="21"/>
      <c r="AI91" s="29"/>
    </row>
    <row r="92" spans="1:35">
      <c r="A92" s="27" t="s">
        <v>119</v>
      </c>
      <c r="B92" s="72">
        <f>B71+B72+B73</f>
        <v>0.1255</v>
      </c>
      <c r="C92" s="28"/>
      <c r="D92" s="28"/>
      <c r="E92" s="21"/>
      <c r="F92" s="27" t="s">
        <v>119</v>
      </c>
      <c r="G92" s="79">
        <f>B72</f>
        <v>6.5000000000000002E-2</v>
      </c>
      <c r="H92" s="29"/>
      <c r="J92" s="27" t="s">
        <v>119</v>
      </c>
      <c r="K92" s="72">
        <f>K71+K72+K73</f>
        <v>0.24000000000000002</v>
      </c>
      <c r="L92" s="28"/>
      <c r="M92" s="28"/>
      <c r="N92" s="21"/>
      <c r="O92" s="21"/>
      <c r="P92" s="21"/>
      <c r="Q92" s="29"/>
      <c r="S92" s="27" t="s">
        <v>119</v>
      </c>
      <c r="T92" s="72">
        <f>T71+T72+T73</f>
        <v>0.1235</v>
      </c>
      <c r="U92" s="28"/>
      <c r="V92" s="28"/>
      <c r="W92" s="21"/>
      <c r="X92" s="21"/>
      <c r="Y92" s="21"/>
      <c r="Z92" s="29"/>
      <c r="AB92" s="27" t="s">
        <v>119</v>
      </c>
      <c r="AC92" s="72">
        <f>AC71+AC72+AC73</f>
        <v>0.1235</v>
      </c>
      <c r="AD92" s="28"/>
      <c r="AE92" s="28"/>
      <c r="AF92" s="21"/>
      <c r="AG92" s="21"/>
      <c r="AH92" s="21"/>
      <c r="AI92" s="29"/>
    </row>
    <row r="93" spans="1:35">
      <c r="A93" s="27" t="s">
        <v>120</v>
      </c>
      <c r="B93" s="72">
        <f>B92/12</f>
        <v>1.0458333333333333E-2</v>
      </c>
      <c r="C93" s="28"/>
      <c r="D93" s="28"/>
      <c r="E93" s="21"/>
      <c r="F93" s="27" t="s">
        <v>120</v>
      </c>
      <c r="G93" s="72">
        <f>G92/12</f>
        <v>5.4166666666666669E-3</v>
      </c>
      <c r="H93" s="29"/>
      <c r="J93" s="27" t="s">
        <v>120</v>
      </c>
      <c r="K93" s="72">
        <f>K92/12</f>
        <v>0.02</v>
      </c>
      <c r="L93" s="28"/>
      <c r="M93" s="28"/>
      <c r="N93" s="21"/>
      <c r="O93" s="21"/>
      <c r="P93" s="21"/>
      <c r="Q93" s="29"/>
      <c r="S93" s="27" t="s">
        <v>120</v>
      </c>
      <c r="T93" s="72">
        <f>T92/12</f>
        <v>1.0291666666666666E-2</v>
      </c>
      <c r="U93" s="28"/>
      <c r="V93" s="28"/>
      <c r="W93" s="21"/>
      <c r="X93" s="21"/>
      <c r="Y93" s="21"/>
      <c r="Z93" s="29"/>
      <c r="AB93" s="27" t="s">
        <v>120</v>
      </c>
      <c r="AC93" s="72">
        <f>AC92/12</f>
        <v>1.0291666666666666E-2</v>
      </c>
      <c r="AD93" s="28"/>
      <c r="AE93" s="28"/>
      <c r="AF93" s="21"/>
      <c r="AG93" s="21"/>
      <c r="AH93" s="21"/>
      <c r="AI93" s="29"/>
    </row>
    <row r="94" spans="1:35">
      <c r="A94" s="27" t="s">
        <v>121</v>
      </c>
      <c r="B94" s="29">
        <f>IF(B91=0,(B68+B67),(B68))</f>
        <v>11</v>
      </c>
      <c r="C94" s="28"/>
      <c r="D94" s="28"/>
      <c r="E94" s="21"/>
      <c r="F94" s="27" t="s">
        <v>121</v>
      </c>
      <c r="G94" s="29">
        <f>IF(G91=0,(B68+B67),(B68))</f>
        <v>11</v>
      </c>
      <c r="H94" s="29"/>
      <c r="J94" s="27" t="s">
        <v>121</v>
      </c>
      <c r="K94" s="29">
        <f>IF(K91=0,(K68+K67),(K68))</f>
        <v>12</v>
      </c>
      <c r="L94" s="28"/>
      <c r="M94" s="28"/>
      <c r="N94" s="21"/>
      <c r="O94" s="21"/>
      <c r="P94" s="21"/>
      <c r="Q94" s="29"/>
      <c r="S94" s="27" t="s">
        <v>121</v>
      </c>
      <c r="T94" s="29">
        <f>T68</f>
        <v>11</v>
      </c>
      <c r="U94" s="28"/>
      <c r="V94" s="28"/>
      <c r="W94" s="21"/>
      <c r="X94" s="21"/>
      <c r="Y94" s="21"/>
      <c r="Z94" s="29"/>
      <c r="AB94" s="27" t="s">
        <v>121</v>
      </c>
      <c r="AC94" s="29">
        <f>AC68</f>
        <v>11</v>
      </c>
      <c r="AD94" s="28"/>
      <c r="AE94" s="28"/>
      <c r="AF94" s="21"/>
      <c r="AG94" s="21"/>
      <c r="AH94" s="21"/>
      <c r="AI94" s="29"/>
    </row>
    <row r="95" spans="1:35">
      <c r="A95" s="27" t="s">
        <v>122</v>
      </c>
      <c r="B95" s="29">
        <f>(B91/((1+B93)^(B94+1)))</f>
        <v>5295.7848332330141</v>
      </c>
      <c r="C95" s="28"/>
      <c r="D95" s="28"/>
      <c r="E95" s="21"/>
      <c r="F95" s="27" t="s">
        <v>122</v>
      </c>
      <c r="G95" s="29">
        <f>(G91/((1+G93)^(G94+1)))</f>
        <v>5623.3910845341579</v>
      </c>
      <c r="H95" s="29"/>
      <c r="J95" s="27" t="s">
        <v>122</v>
      </c>
      <c r="K95" s="29">
        <f>(K91/((1+K93)^(K94+1)))</f>
        <v>0</v>
      </c>
      <c r="L95" s="28"/>
      <c r="M95" s="28"/>
      <c r="N95" s="21"/>
      <c r="O95" s="21"/>
      <c r="P95" s="21"/>
      <c r="Q95" s="29"/>
      <c r="S95" s="27" t="s">
        <v>122</v>
      </c>
      <c r="T95" s="29">
        <f>(T91/((1+T93)^(T94+1)))</f>
        <v>10.612556051563121</v>
      </c>
      <c r="U95" s="28"/>
      <c r="V95" s="28"/>
      <c r="W95" s="21"/>
      <c r="X95" s="21"/>
      <c r="Y95" s="21"/>
      <c r="Z95" s="29"/>
      <c r="AB95" s="27" t="s">
        <v>122</v>
      </c>
      <c r="AC95" s="29">
        <f>(AC91/((1+AC93)^(AC94+1)))</f>
        <v>10.612556051563121</v>
      </c>
      <c r="AD95" s="28"/>
      <c r="AE95" s="28"/>
      <c r="AF95" s="21"/>
      <c r="AG95" s="21"/>
      <c r="AH95" s="21"/>
      <c r="AI95" s="29"/>
    </row>
    <row r="96" spans="1:35">
      <c r="A96" s="27" t="s">
        <v>123</v>
      </c>
      <c r="B96" s="29">
        <f>((1-(1/((1+B93)^B94)))/B93)</f>
        <v>10.339921652899179</v>
      </c>
      <c r="C96" s="28"/>
      <c r="D96" s="28"/>
      <c r="E96" s="21"/>
      <c r="F96" s="27" t="s">
        <v>123</v>
      </c>
      <c r="G96" s="29">
        <f>((1-(1/((1+G93)^G94)))/G93)</f>
        <v>10.65073478229589</v>
      </c>
      <c r="H96" s="29"/>
      <c r="J96" s="27" t="s">
        <v>123</v>
      </c>
      <c r="K96" s="29">
        <f>((1-(1/((1+K93)^K94)))/K93)</f>
        <v>10.575341220917178</v>
      </c>
      <c r="L96" s="28"/>
      <c r="M96" s="28"/>
      <c r="N96" s="21"/>
      <c r="O96" s="21"/>
      <c r="P96" s="21"/>
      <c r="Q96" s="29"/>
      <c r="S96" s="27" t="s">
        <v>123</v>
      </c>
      <c r="T96" s="29">
        <f>((1-(1/((1+T93)^T94)))/T93)</f>
        <v>10.349984283990906</v>
      </c>
      <c r="U96" s="28"/>
      <c r="V96" s="28"/>
      <c r="W96" s="21"/>
      <c r="X96" s="21"/>
      <c r="Y96" s="21"/>
      <c r="Z96" s="29"/>
      <c r="AB96" s="27" t="s">
        <v>123</v>
      </c>
      <c r="AC96" s="29">
        <f>((1-(1/((1+AC93)^AC94)))/AC93)</f>
        <v>10.349984283990906</v>
      </c>
      <c r="AD96" s="28"/>
      <c r="AE96" s="28"/>
      <c r="AF96" s="21"/>
      <c r="AG96" s="21"/>
      <c r="AH96" s="21"/>
      <c r="AI96" s="29"/>
    </row>
    <row r="97" spans="1:35">
      <c r="A97" s="27" t="s">
        <v>124</v>
      </c>
      <c r="B97" s="29">
        <f>B90-B95</f>
        <v>15904.215166766986</v>
      </c>
      <c r="C97" s="28"/>
      <c r="D97" s="28"/>
      <c r="E97" s="21"/>
      <c r="F97" s="27" t="s">
        <v>124</v>
      </c>
      <c r="G97" s="29">
        <f>G90-G95</f>
        <v>15576.608915465842</v>
      </c>
      <c r="H97" s="29"/>
      <c r="J97" s="27" t="s">
        <v>124</v>
      </c>
      <c r="K97" s="29" t="e">
        <f>K90-K95</f>
        <v>#VALUE!</v>
      </c>
      <c r="L97" s="28"/>
      <c r="M97" s="28"/>
      <c r="N97" s="21"/>
      <c r="O97" s="21"/>
      <c r="P97" s="21"/>
      <c r="Q97" s="29"/>
      <c r="S97" s="27" t="s">
        <v>124</v>
      </c>
      <c r="T97" s="29" t="e">
        <f>T90-T95</f>
        <v>#VALUE!</v>
      </c>
      <c r="U97" s="28"/>
      <c r="V97" s="28"/>
      <c r="W97" s="21"/>
      <c r="X97" s="21"/>
      <c r="Y97" s="21"/>
      <c r="Z97" s="29"/>
      <c r="AB97" s="27" t="s">
        <v>124</v>
      </c>
      <c r="AC97" s="29" t="e">
        <f>AC90-AC95</f>
        <v>#VALUE!</v>
      </c>
      <c r="AD97" s="28"/>
      <c r="AE97" s="28"/>
      <c r="AF97" s="21"/>
      <c r="AG97" s="21"/>
      <c r="AH97" s="21"/>
      <c r="AI97" s="29"/>
    </row>
    <row r="98" spans="1:35">
      <c r="A98" s="27" t="s">
        <v>125</v>
      </c>
      <c r="B98" s="29">
        <f>(B97/B96)</f>
        <v>1538.136912508196</v>
      </c>
      <c r="C98" s="28"/>
      <c r="D98" s="28"/>
      <c r="E98" s="21"/>
      <c r="F98" s="27" t="s">
        <v>125</v>
      </c>
      <c r="G98" s="29">
        <f>(G97/G96)</f>
        <v>1462.4914838136756</v>
      </c>
      <c r="H98" s="29"/>
      <c r="J98" s="27" t="s">
        <v>125</v>
      </c>
      <c r="K98" s="29" t="e">
        <f>(K97/K96)</f>
        <v>#VALUE!</v>
      </c>
      <c r="L98" s="28"/>
      <c r="M98" s="28"/>
      <c r="N98" s="21"/>
      <c r="O98" s="21"/>
      <c r="P98" s="21"/>
      <c r="Q98" s="29"/>
      <c r="S98" s="27" t="s">
        <v>125</v>
      </c>
      <c r="T98" s="29" t="e">
        <f>(T97/T96)</f>
        <v>#VALUE!</v>
      </c>
      <c r="U98" s="28"/>
      <c r="V98" s="28"/>
      <c r="W98" s="21"/>
      <c r="X98" s="21"/>
      <c r="Y98" s="21"/>
      <c r="Z98" s="29"/>
      <c r="AB98" s="27" t="s">
        <v>125</v>
      </c>
      <c r="AC98" s="29" t="e">
        <f>(AC97/AC96)</f>
        <v>#VALUE!</v>
      </c>
      <c r="AD98" s="28"/>
      <c r="AE98" s="28"/>
      <c r="AF98" s="21"/>
      <c r="AG98" s="21"/>
      <c r="AH98" s="21"/>
      <c r="AI98" s="29"/>
    </row>
    <row r="99" spans="1:35">
      <c r="A99" s="27" t="s">
        <v>126</v>
      </c>
      <c r="B99" s="29">
        <f>((B98*(B94))+B86)</f>
        <v>16919.506037590156</v>
      </c>
      <c r="C99" s="28"/>
      <c r="D99" s="28"/>
      <c r="E99" s="21"/>
      <c r="F99" s="27" t="s">
        <v>126</v>
      </c>
      <c r="G99" s="29">
        <f>((G98*(G94))+G86)</f>
        <v>16087.406321950431</v>
      </c>
      <c r="H99" s="29"/>
      <c r="J99" s="27" t="s">
        <v>126</v>
      </c>
      <c r="K99" s="29" t="e">
        <f>((K98*(K94))+K86)</f>
        <v>#VALUE!</v>
      </c>
      <c r="L99" s="28"/>
      <c r="M99" s="28"/>
      <c r="N99" s="21"/>
      <c r="O99" s="21"/>
      <c r="P99" s="21"/>
      <c r="Q99" s="29"/>
      <c r="S99" s="27" t="s">
        <v>126</v>
      </c>
      <c r="T99" s="29" t="e">
        <f>(T98*(T94))+T86</f>
        <v>#VALUE!</v>
      </c>
      <c r="U99" s="28"/>
      <c r="V99" s="28"/>
      <c r="W99" s="21"/>
      <c r="X99" s="21"/>
      <c r="Y99" s="21"/>
      <c r="Z99" s="29"/>
      <c r="AB99" s="27" t="s">
        <v>126</v>
      </c>
      <c r="AC99" s="29" t="e">
        <f>(AC98*(AC68))+AC86</f>
        <v>#VALUE!</v>
      </c>
      <c r="AD99" s="28"/>
      <c r="AE99" s="28"/>
      <c r="AF99" s="21"/>
      <c r="AG99" s="21"/>
      <c r="AH99" s="21"/>
      <c r="AI99" s="29"/>
    </row>
    <row r="100" spans="1:35">
      <c r="A100" s="27" t="s">
        <v>127</v>
      </c>
      <c r="B100" s="29">
        <f>(((B98*(B94))+B86)/(1-B80))*B80</f>
        <v>0</v>
      </c>
      <c r="C100" s="28"/>
      <c r="D100" s="28"/>
      <c r="E100" s="21"/>
      <c r="F100" s="27" t="s">
        <v>127</v>
      </c>
      <c r="G100" s="29">
        <f>(((G98*(G94))+G86)/(1-G80))*G80</f>
        <v>0</v>
      </c>
      <c r="H100" s="29"/>
      <c r="J100" s="27" t="s">
        <v>127</v>
      </c>
      <c r="K100" s="29" t="e">
        <f>(K99/(1-K80))*K80</f>
        <v>#VALUE!</v>
      </c>
      <c r="L100" s="28"/>
      <c r="M100" s="28"/>
      <c r="N100" s="21"/>
      <c r="O100" s="21"/>
      <c r="P100" s="21"/>
      <c r="Q100" s="29"/>
      <c r="S100" s="27" t="s">
        <v>127</v>
      </c>
      <c r="T100" s="29" t="e">
        <f>(T99/(1-T80))*T80</f>
        <v>#VALUE!</v>
      </c>
      <c r="U100" s="28"/>
      <c r="V100" s="28"/>
      <c r="W100" s="21"/>
      <c r="X100" s="21"/>
      <c r="Y100" s="21"/>
      <c r="Z100" s="29"/>
      <c r="AB100" s="27" t="s">
        <v>127</v>
      </c>
      <c r="AC100" s="29" t="e">
        <f>(AC99/(1-AC80))*AC80</f>
        <v>#VALUE!</v>
      </c>
      <c r="AD100" s="28"/>
      <c r="AE100" s="28"/>
      <c r="AF100" s="21"/>
      <c r="AG100" s="21"/>
      <c r="AH100" s="21"/>
      <c r="AI100" s="29"/>
    </row>
    <row r="101" spans="1:35">
      <c r="A101" s="49" t="s">
        <v>128</v>
      </c>
      <c r="B101" s="57">
        <f>(B99+B100)</f>
        <v>16919.506037590156</v>
      </c>
      <c r="C101" s="28"/>
      <c r="D101" s="28"/>
      <c r="E101" s="21"/>
      <c r="F101" s="49" t="s">
        <v>128</v>
      </c>
      <c r="G101" s="57">
        <f>(G99+G100)</f>
        <v>16087.406321950431</v>
      </c>
      <c r="H101" s="29"/>
      <c r="J101" s="49" t="s">
        <v>128</v>
      </c>
      <c r="K101" s="57" t="e">
        <f>(K99+K100)</f>
        <v>#VALUE!</v>
      </c>
      <c r="L101" s="28"/>
      <c r="M101" s="28"/>
      <c r="N101" s="21"/>
      <c r="O101" s="21"/>
      <c r="P101" s="21"/>
      <c r="Q101" s="29"/>
      <c r="S101" s="49" t="s">
        <v>128</v>
      </c>
      <c r="T101" s="57" t="e">
        <f>(T99+T100)</f>
        <v>#VALUE!</v>
      </c>
      <c r="U101" s="28"/>
      <c r="V101" s="28"/>
      <c r="W101" s="21"/>
      <c r="X101" s="21"/>
      <c r="Y101" s="21"/>
      <c r="Z101" s="29"/>
      <c r="AB101" s="49" t="s">
        <v>128</v>
      </c>
      <c r="AC101" s="57" t="e">
        <f>(AC99+AC100)</f>
        <v>#VALUE!</v>
      </c>
      <c r="AD101" s="28"/>
      <c r="AE101" s="28"/>
      <c r="AF101" s="21"/>
      <c r="AG101" s="21"/>
      <c r="AH101" s="21"/>
      <c r="AI101" s="29"/>
    </row>
    <row r="102" spans="1:35">
      <c r="A102" s="27"/>
      <c r="B102" s="28"/>
      <c r="C102" s="28"/>
      <c r="D102" s="28"/>
      <c r="E102" s="21"/>
      <c r="F102" s="27"/>
      <c r="G102" s="28"/>
      <c r="H102" s="29"/>
      <c r="J102" s="27"/>
      <c r="K102" s="28"/>
      <c r="L102" s="28"/>
      <c r="M102" s="28"/>
      <c r="N102" s="21"/>
      <c r="O102" s="21"/>
      <c r="P102" s="21"/>
      <c r="Q102" s="29"/>
      <c r="S102" s="27"/>
      <c r="T102" s="28"/>
      <c r="U102" s="28"/>
      <c r="V102" s="28"/>
      <c r="W102" s="21"/>
      <c r="X102" s="21"/>
      <c r="Y102" s="21"/>
      <c r="Z102" s="29"/>
      <c r="AB102" s="27"/>
      <c r="AC102" s="28"/>
      <c r="AD102" s="28"/>
      <c r="AE102" s="28"/>
      <c r="AF102" s="21"/>
      <c r="AG102" s="21"/>
      <c r="AH102" s="21"/>
      <c r="AI102" s="29"/>
    </row>
    <row r="103" spans="1:35">
      <c r="A103" s="76" t="s">
        <v>129</v>
      </c>
      <c r="B103" s="77">
        <f>((A46*A34)+((A46*A34)*A117))/(B68)</f>
        <v>0</v>
      </c>
      <c r="C103" s="28"/>
      <c r="D103" s="28"/>
      <c r="E103" s="21"/>
      <c r="F103" s="76" t="s">
        <v>129</v>
      </c>
      <c r="G103" s="80" t="str">
        <f>IF(B35="YES",((E49/B94)*(1+A117)*(C54/100)),"0")</f>
        <v>0</v>
      </c>
      <c r="H103" s="29"/>
      <c r="J103" s="76" t="s">
        <v>129</v>
      </c>
      <c r="K103" s="77">
        <f>((E40/K94)*(1+J117))*1.2</f>
        <v>0</v>
      </c>
      <c r="L103" s="28"/>
      <c r="M103" s="28"/>
      <c r="N103" s="21"/>
      <c r="O103" s="21"/>
      <c r="P103" s="21"/>
      <c r="Q103" s="29"/>
      <c r="S103" s="76" t="s">
        <v>129</v>
      </c>
      <c r="T103" s="77">
        <f>((E40/T94)*(1+S117))</f>
        <v>0</v>
      </c>
      <c r="U103" s="28"/>
      <c r="V103" s="28"/>
      <c r="W103" s="21"/>
      <c r="X103" s="21"/>
      <c r="Y103" s="21"/>
      <c r="Z103" s="29"/>
      <c r="AB103" s="76" t="s">
        <v>129</v>
      </c>
      <c r="AC103" s="77">
        <f>((E40/AC94)*(1+AB117))*1.2</f>
        <v>0</v>
      </c>
      <c r="AD103" s="28"/>
      <c r="AE103" s="28"/>
      <c r="AF103" s="21"/>
      <c r="AG103" s="21"/>
      <c r="AH103" s="21"/>
      <c r="AI103" s="29"/>
    </row>
    <row r="104" spans="1:35">
      <c r="A104" s="81" t="s">
        <v>130</v>
      </c>
      <c r="B104" s="82">
        <f>B101/(B94)</f>
        <v>1538.136912508196</v>
      </c>
      <c r="C104" s="28"/>
      <c r="D104" s="28"/>
      <c r="E104" s="21"/>
      <c r="F104" s="81" t="s">
        <v>130</v>
      </c>
      <c r="G104" s="82">
        <f>G101/(G94)</f>
        <v>1462.4914838136756</v>
      </c>
      <c r="H104" s="29"/>
      <c r="J104" s="81" t="s">
        <v>130</v>
      </c>
      <c r="K104" s="82" t="e">
        <f>K101/(K94)</f>
        <v>#VALUE!</v>
      </c>
      <c r="L104" s="28"/>
      <c r="M104" s="28"/>
      <c r="N104" s="21"/>
      <c r="O104" s="21"/>
      <c r="P104" s="21"/>
      <c r="Q104" s="29"/>
      <c r="S104" s="81" t="s">
        <v>130</v>
      </c>
      <c r="T104" s="82" t="e">
        <f>T101/(T94)</f>
        <v>#VALUE!</v>
      </c>
      <c r="U104" s="28"/>
      <c r="V104" s="28"/>
      <c r="W104" s="21"/>
      <c r="X104" s="21"/>
      <c r="Y104" s="21"/>
      <c r="Z104" s="29"/>
      <c r="AB104" s="81" t="s">
        <v>130</v>
      </c>
      <c r="AC104" s="82" t="e">
        <f>AC101/(AC68)</f>
        <v>#VALUE!</v>
      </c>
      <c r="AD104" s="28"/>
      <c r="AE104" s="28"/>
      <c r="AF104" s="21"/>
      <c r="AG104" s="21"/>
      <c r="AH104" s="21"/>
      <c r="AI104" s="29"/>
    </row>
    <row r="105" spans="1:35">
      <c r="A105" s="83" t="s">
        <v>131</v>
      </c>
      <c r="B105" s="84">
        <f>B103+B104</f>
        <v>1538.136912508196</v>
      </c>
      <c r="C105" s="28"/>
      <c r="D105" s="28"/>
      <c r="E105" s="21" t="s">
        <v>31</v>
      </c>
      <c r="F105" s="83" t="s">
        <v>131</v>
      </c>
      <c r="G105" s="84">
        <f>G103+G104</f>
        <v>1462.4914838136756</v>
      </c>
      <c r="H105" s="29"/>
      <c r="J105" s="83" t="s">
        <v>131</v>
      </c>
      <c r="K105" s="84" t="e">
        <f>(K103+K104)</f>
        <v>#VALUE!</v>
      </c>
      <c r="L105" s="28"/>
      <c r="M105" s="28"/>
      <c r="N105" s="21"/>
      <c r="O105" s="21"/>
      <c r="P105" s="21"/>
      <c r="Q105" s="29"/>
      <c r="S105" s="83" t="s">
        <v>131</v>
      </c>
      <c r="T105" s="84" t="e">
        <f>T103+T104</f>
        <v>#VALUE!</v>
      </c>
      <c r="U105" s="28"/>
      <c r="V105" s="28"/>
      <c r="W105" s="21"/>
      <c r="X105" s="21"/>
      <c r="Y105" s="21"/>
      <c r="Z105" s="29"/>
      <c r="AB105" s="83" t="s">
        <v>131</v>
      </c>
      <c r="AC105" s="84" t="e">
        <f>AC103+AC104</f>
        <v>#VALUE!</v>
      </c>
      <c r="AD105" s="28"/>
      <c r="AE105" s="28"/>
      <c r="AF105" s="21"/>
      <c r="AG105" s="21"/>
      <c r="AH105" s="21"/>
      <c r="AI105" s="29"/>
    </row>
    <row r="106" spans="1:35">
      <c r="A106" s="49"/>
      <c r="B106" s="50"/>
      <c r="C106" s="50"/>
      <c r="D106" s="50"/>
      <c r="E106" s="85"/>
      <c r="F106" s="85"/>
      <c r="G106" s="85"/>
      <c r="H106" s="57"/>
      <c r="J106" s="49"/>
      <c r="K106" s="50"/>
      <c r="L106" s="50"/>
      <c r="M106" s="50"/>
      <c r="N106" s="85"/>
      <c r="O106" s="85"/>
      <c r="P106" s="85"/>
      <c r="Q106" s="57"/>
      <c r="S106" s="49"/>
      <c r="T106" s="50"/>
      <c r="U106" s="50"/>
      <c r="V106" s="50"/>
      <c r="W106" s="85"/>
      <c r="X106" s="85"/>
      <c r="Y106" s="85"/>
      <c r="Z106" s="57"/>
      <c r="AB106" s="49"/>
      <c r="AC106" s="50"/>
      <c r="AD106" s="50"/>
      <c r="AE106" s="50"/>
      <c r="AF106" s="85"/>
      <c r="AG106" s="85"/>
      <c r="AH106" s="85"/>
      <c r="AI106" s="57"/>
    </row>
    <row r="107" spans="1:35" ht="14.25">
      <c r="A107" s="21"/>
      <c r="B107" s="21"/>
      <c r="C107" s="21"/>
      <c r="D107" s="21"/>
      <c r="E107" s="21"/>
      <c r="F107" s="21"/>
      <c r="G107" s="21"/>
      <c r="H107" s="21"/>
      <c r="J107" s="21"/>
      <c r="K107" s="21"/>
      <c r="L107" s="21"/>
      <c r="M107" s="21"/>
      <c r="N107" s="21"/>
      <c r="O107" s="21"/>
      <c r="P107" s="21"/>
      <c r="Q107" s="21"/>
      <c r="S107" s="21"/>
      <c r="T107" s="21"/>
      <c r="U107" s="21"/>
      <c r="V107" s="21"/>
      <c r="W107" s="21"/>
      <c r="X107" s="21"/>
      <c r="Y107" s="21"/>
      <c r="Z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4.25">
      <c r="A108" s="21">
        <v>0.2</v>
      </c>
      <c r="B108" s="21">
        <v>0</v>
      </c>
      <c r="C108" s="21"/>
      <c r="D108" s="21">
        <v>0</v>
      </c>
      <c r="E108" s="21"/>
      <c r="F108" s="21"/>
      <c r="G108" s="21"/>
      <c r="H108" s="21"/>
      <c r="J108" s="21"/>
      <c r="K108" s="21"/>
      <c r="L108" s="21"/>
      <c r="M108" s="21"/>
      <c r="N108" s="21"/>
      <c r="O108" s="21"/>
      <c r="P108" s="21"/>
      <c r="Q108" s="21"/>
      <c r="S108" s="21"/>
      <c r="T108" s="21"/>
      <c r="U108" s="21"/>
      <c r="V108" s="21"/>
      <c r="W108" s="21"/>
      <c r="X108" s="21"/>
      <c r="Y108" s="21"/>
      <c r="Z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47.25" customHeight="1">
      <c r="A109" s="344" t="s">
        <v>132</v>
      </c>
      <c r="B109" s="344"/>
      <c r="C109" s="344"/>
      <c r="D109" s="344"/>
      <c r="E109" s="344"/>
      <c r="F109" s="344"/>
      <c r="G109" s="344"/>
      <c r="H109" s="344"/>
      <c r="J109" s="334" t="s">
        <v>133</v>
      </c>
      <c r="K109" s="334"/>
      <c r="L109" s="334"/>
      <c r="M109" s="334"/>
      <c r="N109" s="334"/>
      <c r="O109" s="334"/>
      <c r="P109" s="334"/>
      <c r="Q109" s="334"/>
      <c r="S109" s="344" t="s">
        <v>134</v>
      </c>
      <c r="T109" s="344"/>
      <c r="U109" s="344"/>
      <c r="V109" s="344"/>
      <c r="W109" s="344"/>
      <c r="X109" s="344"/>
      <c r="Y109" s="344"/>
      <c r="Z109" s="344"/>
      <c r="AB109" s="344" t="s">
        <v>135</v>
      </c>
      <c r="AC109" s="344"/>
      <c r="AD109" s="344"/>
      <c r="AE109" s="344"/>
      <c r="AF109" s="344"/>
      <c r="AG109" s="344"/>
      <c r="AH109" s="344"/>
      <c r="AI109" s="344"/>
    </row>
    <row r="110" spans="1:35">
      <c r="A110" s="22"/>
      <c r="B110" s="23"/>
      <c r="C110" s="23"/>
      <c r="D110" s="23"/>
      <c r="E110" s="63"/>
      <c r="F110" s="63"/>
      <c r="G110" s="63"/>
      <c r="H110" s="87"/>
      <c r="J110" s="22"/>
      <c r="K110" s="23"/>
      <c r="L110" s="23"/>
      <c r="M110" s="23"/>
      <c r="N110" s="63"/>
      <c r="O110" s="63"/>
      <c r="P110" s="63"/>
      <c r="Q110" s="87"/>
      <c r="S110" s="22"/>
      <c r="T110" s="23"/>
      <c r="U110" s="23"/>
      <c r="V110" s="23"/>
      <c r="W110" s="63"/>
      <c r="X110" s="63"/>
      <c r="Y110" s="63"/>
      <c r="Z110" s="87"/>
      <c r="AB110" s="22"/>
      <c r="AC110" s="23"/>
      <c r="AD110" s="23"/>
      <c r="AE110" s="23"/>
      <c r="AF110" s="63"/>
      <c r="AG110" s="63"/>
      <c r="AH110" s="63"/>
      <c r="AI110" s="87"/>
    </row>
    <row r="111" spans="1:35" ht="23.25">
      <c r="A111" s="335" t="s">
        <v>31</v>
      </c>
      <c r="B111" s="335">
        <v>0</v>
      </c>
      <c r="C111" s="335"/>
      <c r="D111" s="335"/>
      <c r="E111" s="335">
        <v>0</v>
      </c>
      <c r="F111" s="335"/>
      <c r="G111" s="335"/>
      <c r="H111" s="335"/>
      <c r="J111" s="335" t="s">
        <v>136</v>
      </c>
      <c r="K111" s="335"/>
      <c r="L111" s="335"/>
      <c r="M111" s="335"/>
      <c r="N111" s="335"/>
      <c r="O111" s="335"/>
      <c r="P111" s="335"/>
      <c r="Q111" s="335"/>
      <c r="S111" s="335" t="s">
        <v>136</v>
      </c>
      <c r="T111" s="335"/>
      <c r="U111" s="335"/>
      <c r="V111" s="335"/>
      <c r="W111" s="335"/>
      <c r="X111" s="335"/>
      <c r="Y111" s="335"/>
      <c r="Z111" s="335"/>
      <c r="AB111" s="335" t="s">
        <v>136</v>
      </c>
      <c r="AC111" s="335"/>
      <c r="AD111" s="335"/>
      <c r="AE111" s="335"/>
      <c r="AF111" s="335"/>
      <c r="AG111" s="335"/>
      <c r="AH111" s="335"/>
      <c r="AI111" s="335"/>
    </row>
    <row r="112" spans="1:35">
      <c r="A112" s="27"/>
      <c r="B112" s="28"/>
      <c r="C112" s="28"/>
      <c r="D112" s="28"/>
      <c r="E112" s="21"/>
      <c r="F112" s="21"/>
      <c r="G112" s="21"/>
      <c r="H112" s="88"/>
      <c r="J112" s="27"/>
      <c r="K112" s="28"/>
      <c r="L112" s="28"/>
      <c r="M112" s="28"/>
      <c r="N112" s="21"/>
      <c r="O112" s="21"/>
      <c r="P112" s="21"/>
      <c r="Q112" s="88"/>
      <c r="S112" s="27"/>
      <c r="T112" s="28"/>
      <c r="U112" s="28"/>
      <c r="V112" s="28"/>
      <c r="W112" s="21"/>
      <c r="X112" s="21"/>
      <c r="Y112" s="21"/>
      <c r="Z112" s="88"/>
      <c r="AB112" s="27"/>
      <c r="AC112" s="28"/>
      <c r="AD112" s="28"/>
      <c r="AE112" s="28"/>
      <c r="AF112" s="21"/>
      <c r="AG112" s="21"/>
      <c r="AH112" s="21"/>
      <c r="AI112" s="88"/>
    </row>
    <row r="113" spans="1:42">
      <c r="A113" s="27" t="s">
        <v>137</v>
      </c>
      <c r="B113" s="28" t="s">
        <v>36</v>
      </c>
      <c r="C113" s="28"/>
      <c r="D113" s="28"/>
      <c r="E113" s="28" t="s">
        <v>138</v>
      </c>
      <c r="F113" s="28"/>
      <c r="G113" s="28"/>
      <c r="H113" s="29"/>
      <c r="J113" s="27" t="s">
        <v>137</v>
      </c>
      <c r="K113" s="28" t="s">
        <v>36</v>
      </c>
      <c r="L113" s="28"/>
      <c r="M113" s="28"/>
      <c r="N113" s="28" t="s">
        <v>138</v>
      </c>
      <c r="O113" s="28"/>
      <c r="P113" s="28"/>
      <c r="Q113" s="29"/>
      <c r="S113" s="27" t="s">
        <v>137</v>
      </c>
      <c r="T113" s="28" t="s">
        <v>36</v>
      </c>
      <c r="U113" s="28"/>
      <c r="V113" s="28"/>
      <c r="W113" s="28" t="s">
        <v>138</v>
      </c>
      <c r="X113" s="28"/>
      <c r="Y113" s="28"/>
      <c r="Z113" s="29"/>
      <c r="AB113" s="27" t="s">
        <v>137</v>
      </c>
      <c r="AC113" s="28" t="s">
        <v>36</v>
      </c>
      <c r="AD113" s="28"/>
      <c r="AE113" s="28"/>
      <c r="AF113" s="28" t="s">
        <v>138</v>
      </c>
      <c r="AG113" s="28"/>
      <c r="AH113" s="28"/>
      <c r="AI113" s="29"/>
    </row>
    <row r="114" spans="1:42">
      <c r="A114" s="32" t="s">
        <v>139</v>
      </c>
      <c r="B114" s="345" t="s">
        <v>245</v>
      </c>
      <c r="C114" s="345"/>
      <c r="D114" s="345"/>
      <c r="E114" s="346" t="s">
        <v>386</v>
      </c>
      <c r="F114" s="346"/>
      <c r="G114" s="346"/>
      <c r="H114" s="88"/>
      <c r="J114" s="32" t="s">
        <v>139</v>
      </c>
      <c r="K114" s="347" t="s">
        <v>140</v>
      </c>
      <c r="L114" s="347"/>
      <c r="M114" s="347"/>
      <c r="N114" s="346" t="s">
        <v>31</v>
      </c>
      <c r="O114" s="346"/>
      <c r="P114" s="346"/>
      <c r="Q114" s="88"/>
      <c r="S114" s="32" t="s">
        <v>139</v>
      </c>
      <c r="T114" s="345" t="s">
        <v>140</v>
      </c>
      <c r="U114" s="345"/>
      <c r="V114" s="345"/>
      <c r="W114" s="346" t="s">
        <v>31</v>
      </c>
      <c r="X114" s="346"/>
      <c r="Y114" s="346"/>
      <c r="Z114" s="88"/>
      <c r="AB114" s="32" t="s">
        <v>139</v>
      </c>
      <c r="AC114" s="345" t="s">
        <v>140</v>
      </c>
      <c r="AD114" s="345"/>
      <c r="AE114" s="345"/>
      <c r="AF114" s="346" t="s">
        <v>31</v>
      </c>
      <c r="AG114" s="346"/>
      <c r="AH114" s="346"/>
      <c r="AI114" s="88"/>
    </row>
    <row r="115" spans="1:42">
      <c r="A115" s="27"/>
      <c r="B115" s="28"/>
      <c r="C115" s="28"/>
      <c r="D115" s="21"/>
      <c r="E115" s="28"/>
      <c r="F115" s="28"/>
      <c r="G115" s="21"/>
      <c r="H115" s="29"/>
      <c r="J115" s="27"/>
      <c r="K115" s="28"/>
      <c r="L115" s="28"/>
      <c r="M115" s="21"/>
      <c r="N115" s="28"/>
      <c r="O115" s="28"/>
      <c r="P115" s="21"/>
      <c r="Q115" s="29"/>
      <c r="S115" s="27"/>
      <c r="T115" s="28"/>
      <c r="U115" s="28"/>
      <c r="V115" s="21"/>
      <c r="W115" s="28"/>
      <c r="X115" s="28"/>
      <c r="Y115" s="21"/>
      <c r="Z115" s="29"/>
      <c r="AB115" s="27"/>
      <c r="AC115" s="28"/>
      <c r="AD115" s="28"/>
      <c r="AE115" s="21"/>
      <c r="AF115" s="28"/>
      <c r="AG115" s="28"/>
      <c r="AH115" s="21"/>
      <c r="AI115" s="29"/>
    </row>
    <row r="116" spans="1:42">
      <c r="A116" s="27" t="s">
        <v>141</v>
      </c>
      <c r="B116" s="28" t="s">
        <v>142</v>
      </c>
      <c r="C116" s="28"/>
      <c r="D116" s="21"/>
      <c r="E116" s="28" t="s">
        <v>143</v>
      </c>
      <c r="F116" s="28"/>
      <c r="G116" s="21"/>
      <c r="H116" s="88"/>
      <c r="J116" s="27" t="s">
        <v>141</v>
      </c>
      <c r="K116" s="28" t="s">
        <v>142</v>
      </c>
      <c r="L116" s="28"/>
      <c r="M116" s="21"/>
      <c r="N116" s="28" t="s">
        <v>143</v>
      </c>
      <c r="O116" s="28"/>
      <c r="P116" s="21"/>
      <c r="Q116" s="88"/>
      <c r="S116" s="27" t="s">
        <v>141</v>
      </c>
      <c r="T116" s="28" t="s">
        <v>142</v>
      </c>
      <c r="U116" s="28"/>
      <c r="V116" s="21"/>
      <c r="W116" s="28" t="s">
        <v>143</v>
      </c>
      <c r="X116" s="28"/>
      <c r="Y116" s="21"/>
      <c r="Z116" s="88"/>
      <c r="AB116" s="27" t="s">
        <v>141</v>
      </c>
      <c r="AC116" s="28" t="s">
        <v>142</v>
      </c>
      <c r="AD116" s="28"/>
      <c r="AE116" s="21"/>
      <c r="AF116" s="28" t="s">
        <v>143</v>
      </c>
      <c r="AG116" s="28"/>
      <c r="AH116" s="21"/>
      <c r="AI116" s="88"/>
    </row>
    <row r="117" spans="1:42">
      <c r="A117" s="91">
        <v>0.2</v>
      </c>
      <c r="B117" s="348" t="s">
        <v>144</v>
      </c>
      <c r="C117" s="348"/>
      <c r="D117" s="348"/>
      <c r="E117" s="349">
        <f>B92</f>
        <v>0.1255</v>
      </c>
      <c r="F117" s="349"/>
      <c r="G117" s="349"/>
      <c r="H117" s="42"/>
      <c r="J117" s="91">
        <v>0.3</v>
      </c>
      <c r="K117" s="348" t="s">
        <v>144</v>
      </c>
      <c r="L117" s="348"/>
      <c r="M117" s="348"/>
      <c r="N117" s="349">
        <f>K92</f>
        <v>0.24000000000000002</v>
      </c>
      <c r="O117" s="349"/>
      <c r="P117" s="349"/>
      <c r="Q117" s="42"/>
      <c r="S117" s="91">
        <v>0.2</v>
      </c>
      <c r="T117" s="348" t="s">
        <v>145</v>
      </c>
      <c r="U117" s="348"/>
      <c r="V117" s="348"/>
      <c r="W117" s="349">
        <f>T92</f>
        <v>0.1235</v>
      </c>
      <c r="X117" s="349"/>
      <c r="Y117" s="349"/>
      <c r="Z117" s="42"/>
      <c r="AB117" s="91">
        <v>0.2</v>
      </c>
      <c r="AC117" s="348" t="s">
        <v>145</v>
      </c>
      <c r="AD117" s="348"/>
      <c r="AE117" s="348"/>
      <c r="AF117" s="350">
        <f>AC92</f>
        <v>0.1235</v>
      </c>
      <c r="AG117" s="350"/>
      <c r="AH117" s="350"/>
      <c r="AI117" s="42"/>
      <c r="AP117" s="4" t="s">
        <v>146</v>
      </c>
    </row>
    <row r="118" spans="1:42">
      <c r="A118" s="27"/>
      <c r="B118" s="28"/>
      <c r="C118" s="28"/>
      <c r="D118" s="28"/>
      <c r="E118" s="28"/>
      <c r="F118" s="28"/>
      <c r="G118" s="28"/>
      <c r="H118" s="29"/>
      <c r="J118" s="27"/>
      <c r="K118" s="28"/>
      <c r="L118" s="28"/>
      <c r="M118" s="28"/>
      <c r="N118" s="28"/>
      <c r="O118" s="28"/>
      <c r="P118" s="28"/>
      <c r="Q118" s="29"/>
      <c r="S118" s="27"/>
      <c r="T118" s="28"/>
      <c r="U118" s="28"/>
      <c r="V118" s="28"/>
      <c r="W118" s="28"/>
      <c r="X118" s="28"/>
      <c r="Y118" s="28"/>
      <c r="Z118" s="29"/>
      <c r="AB118" s="27"/>
      <c r="AC118" s="28"/>
      <c r="AD118" s="28"/>
      <c r="AE118" s="28"/>
      <c r="AF118" s="28"/>
      <c r="AG118" s="28"/>
      <c r="AH118" s="28"/>
      <c r="AI118" s="29"/>
      <c r="AP118" s="4" t="s">
        <v>144</v>
      </c>
    </row>
    <row r="119" spans="1:42">
      <c r="A119" s="27" t="s">
        <v>147</v>
      </c>
      <c r="B119" s="28" t="s">
        <v>148</v>
      </c>
      <c r="C119" s="28"/>
      <c r="D119" s="28"/>
      <c r="E119" s="28" t="s">
        <v>149</v>
      </c>
      <c r="F119" s="28"/>
      <c r="G119" s="28"/>
      <c r="H119" s="29"/>
      <c r="J119" s="27" t="s">
        <v>147</v>
      </c>
      <c r="K119" s="28" t="s">
        <v>148</v>
      </c>
      <c r="L119" s="28"/>
      <c r="M119" s="28"/>
      <c r="N119" s="28" t="s">
        <v>149</v>
      </c>
      <c r="O119" s="28"/>
      <c r="P119" s="28"/>
      <c r="Q119" s="29"/>
      <c r="S119" s="27" t="s">
        <v>147</v>
      </c>
      <c r="T119" s="28" t="s">
        <v>148</v>
      </c>
      <c r="U119" s="28"/>
      <c r="V119" s="28"/>
      <c r="W119" s="28" t="s">
        <v>149</v>
      </c>
      <c r="X119" s="28"/>
      <c r="Y119" s="28"/>
      <c r="Z119" s="29"/>
      <c r="AB119" s="27" t="s">
        <v>147</v>
      </c>
      <c r="AC119" s="28" t="s">
        <v>148</v>
      </c>
      <c r="AD119" s="28"/>
      <c r="AE119" s="28"/>
      <c r="AF119" s="28" t="s">
        <v>149</v>
      </c>
      <c r="AG119" s="28"/>
      <c r="AH119" s="28"/>
      <c r="AI119" s="29"/>
    </row>
    <row r="120" spans="1:42">
      <c r="A120" s="36" t="s">
        <v>385</v>
      </c>
      <c r="B120" s="348">
        <v>0</v>
      </c>
      <c r="C120" s="348"/>
      <c r="D120" s="348"/>
      <c r="E120" s="348">
        <v>0</v>
      </c>
      <c r="F120" s="348"/>
      <c r="G120" s="348"/>
      <c r="H120" s="88"/>
      <c r="J120" s="36" t="s">
        <v>32</v>
      </c>
      <c r="K120" s="348">
        <v>1000</v>
      </c>
      <c r="L120" s="348"/>
      <c r="M120" s="348"/>
      <c r="N120" s="348">
        <v>0</v>
      </c>
      <c r="O120" s="348"/>
      <c r="P120" s="348"/>
      <c r="Q120" s="88"/>
      <c r="S120" s="36" t="s">
        <v>31</v>
      </c>
      <c r="T120" s="348">
        <v>1000</v>
      </c>
      <c r="U120" s="348"/>
      <c r="V120" s="348"/>
      <c r="W120" s="348">
        <v>0</v>
      </c>
      <c r="X120" s="348"/>
      <c r="Y120" s="348"/>
      <c r="Z120" s="88"/>
      <c r="AB120" s="36" t="s">
        <v>31</v>
      </c>
      <c r="AC120" s="348">
        <v>1000</v>
      </c>
      <c r="AD120" s="348"/>
      <c r="AE120" s="348"/>
      <c r="AF120" s="348">
        <v>0</v>
      </c>
      <c r="AG120" s="348"/>
      <c r="AH120" s="348"/>
      <c r="AI120" s="88"/>
    </row>
    <row r="121" spans="1:42">
      <c r="A121" s="27"/>
      <c r="B121" s="28"/>
      <c r="C121" s="28" t="s">
        <v>10</v>
      </c>
      <c r="D121" s="28"/>
      <c r="E121" s="28"/>
      <c r="F121" s="28"/>
      <c r="G121" s="21"/>
      <c r="H121" s="88"/>
      <c r="J121" s="27"/>
      <c r="K121" s="28"/>
      <c r="L121" s="28"/>
      <c r="M121" s="28"/>
      <c r="N121" s="28"/>
      <c r="O121" s="28"/>
      <c r="P121" s="21"/>
      <c r="Q121" s="88"/>
      <c r="S121" s="27"/>
      <c r="T121" s="28"/>
      <c r="U121" s="28"/>
      <c r="V121" s="28"/>
      <c r="W121" s="28"/>
      <c r="X121" s="28"/>
      <c r="Y121" s="21"/>
      <c r="Z121" s="88"/>
      <c r="AB121" s="27"/>
      <c r="AC121" s="28"/>
      <c r="AD121" s="28"/>
      <c r="AE121" s="28"/>
      <c r="AF121" s="28"/>
      <c r="AG121" s="28"/>
      <c r="AH121" s="21"/>
      <c r="AI121" s="88"/>
    </row>
    <row r="122" spans="1:42">
      <c r="A122" s="93" t="s">
        <v>150</v>
      </c>
      <c r="B122" s="28" t="s">
        <v>151</v>
      </c>
      <c r="C122" s="28"/>
      <c r="D122" s="28"/>
      <c r="E122" s="28" t="s">
        <v>152</v>
      </c>
      <c r="F122" s="28"/>
      <c r="G122" s="21"/>
      <c r="H122" s="88"/>
      <c r="J122" s="93" t="s">
        <v>150</v>
      </c>
      <c r="K122" s="28" t="s">
        <v>151</v>
      </c>
      <c r="L122" s="28"/>
      <c r="M122" s="28"/>
      <c r="N122" s="28" t="s">
        <v>152</v>
      </c>
      <c r="O122" s="28"/>
      <c r="P122" s="21"/>
      <c r="Q122" s="88"/>
      <c r="S122" s="93" t="s">
        <v>150</v>
      </c>
      <c r="T122" s="28" t="s">
        <v>151</v>
      </c>
      <c r="U122" s="28"/>
      <c r="V122" s="28"/>
      <c r="W122" s="28" t="s">
        <v>152</v>
      </c>
      <c r="X122" s="28"/>
      <c r="Y122" s="21"/>
      <c r="Z122" s="88"/>
      <c r="AB122" s="93" t="s">
        <v>150</v>
      </c>
      <c r="AC122" s="28" t="s">
        <v>151</v>
      </c>
      <c r="AD122" s="28"/>
      <c r="AE122" s="28"/>
      <c r="AF122" s="28" t="s">
        <v>152</v>
      </c>
      <c r="AG122" s="28"/>
      <c r="AH122" s="21"/>
      <c r="AI122" s="88"/>
    </row>
    <row r="123" spans="1:42">
      <c r="A123" s="94">
        <f>B120+E120</f>
        <v>0</v>
      </c>
      <c r="B123" s="348">
        <v>833.33333333333337</v>
      </c>
      <c r="C123" s="348"/>
      <c r="D123" s="348"/>
      <c r="E123" s="348">
        <v>0</v>
      </c>
      <c r="F123" s="348"/>
      <c r="G123" s="348"/>
      <c r="H123" s="88"/>
      <c r="J123" s="94">
        <f>K120+N120</f>
        <v>1000</v>
      </c>
      <c r="K123" s="348">
        <v>239.99</v>
      </c>
      <c r="L123" s="348"/>
      <c r="M123" s="348"/>
      <c r="N123" s="348">
        <v>0</v>
      </c>
      <c r="O123" s="348"/>
      <c r="P123" s="348"/>
      <c r="Q123" s="88"/>
      <c r="S123" s="94">
        <f>T120+W120</f>
        <v>1000</v>
      </c>
      <c r="T123" s="348">
        <v>199.99</v>
      </c>
      <c r="U123" s="348"/>
      <c r="V123" s="348"/>
      <c r="W123" s="348">
        <v>0</v>
      </c>
      <c r="X123" s="348"/>
      <c r="Y123" s="348"/>
      <c r="Z123" s="88"/>
      <c r="AB123" s="94">
        <f>AC120+AF120</f>
        <v>1000</v>
      </c>
      <c r="AC123" s="348">
        <v>239.99</v>
      </c>
      <c r="AD123" s="348"/>
      <c r="AE123" s="348"/>
      <c r="AF123" s="348">
        <v>0</v>
      </c>
      <c r="AG123" s="348"/>
      <c r="AH123" s="348"/>
      <c r="AI123" s="88"/>
    </row>
    <row r="124" spans="1:42" ht="14.25">
      <c r="A124" s="95"/>
      <c r="B124" s="21"/>
      <c r="C124" s="21"/>
      <c r="D124" s="21"/>
      <c r="E124" s="21"/>
      <c r="F124" s="21"/>
      <c r="G124" s="21"/>
      <c r="H124" s="88"/>
      <c r="J124" s="95"/>
      <c r="K124" s="21"/>
      <c r="L124" s="21"/>
      <c r="M124" s="21"/>
      <c r="N124" s="21"/>
      <c r="O124" s="21"/>
      <c r="P124" s="21"/>
      <c r="Q124" s="88"/>
      <c r="S124" s="95"/>
      <c r="T124" s="21"/>
      <c r="U124" s="21"/>
      <c r="V124" s="21"/>
      <c r="W124" s="21"/>
      <c r="X124" s="21"/>
      <c r="Y124" s="21"/>
      <c r="Z124" s="88"/>
      <c r="AB124" s="95"/>
      <c r="AC124" s="21"/>
      <c r="AD124" s="21"/>
      <c r="AE124" s="21"/>
      <c r="AF124" s="21"/>
      <c r="AG124" s="21"/>
      <c r="AH124" s="21"/>
      <c r="AI124" s="88"/>
    </row>
    <row r="125" spans="1:42" ht="14.25">
      <c r="A125" s="95"/>
      <c r="B125" s="21"/>
      <c r="C125" s="21"/>
      <c r="D125" s="21"/>
      <c r="E125" s="21"/>
      <c r="F125" s="21"/>
      <c r="G125" s="21"/>
      <c r="H125" s="88"/>
      <c r="J125" s="95"/>
      <c r="K125" s="21"/>
      <c r="L125" s="21"/>
      <c r="M125" s="21"/>
      <c r="N125" s="21"/>
      <c r="O125" s="21"/>
      <c r="P125" s="21"/>
      <c r="Q125" s="88"/>
      <c r="S125" s="95"/>
      <c r="T125" s="21"/>
      <c r="U125" s="21"/>
      <c r="V125" s="21"/>
      <c r="W125" s="21"/>
      <c r="X125" s="21"/>
      <c r="Y125" s="21"/>
      <c r="Z125" s="88"/>
      <c r="AB125" s="95"/>
      <c r="AC125" s="21"/>
      <c r="AD125" s="21"/>
      <c r="AE125" s="21"/>
      <c r="AF125" s="21"/>
      <c r="AG125" s="21"/>
      <c r="AH125" s="21"/>
      <c r="AI125" s="88"/>
    </row>
    <row r="126" spans="1:42" ht="23.25">
      <c r="A126" s="335" t="s">
        <v>153</v>
      </c>
      <c r="B126" s="335"/>
      <c r="C126" s="335"/>
      <c r="D126" s="335"/>
      <c r="E126" s="335"/>
      <c r="F126" s="335"/>
      <c r="G126" s="335"/>
      <c r="H126" s="335"/>
      <c r="J126" s="335" t="s">
        <v>153</v>
      </c>
      <c r="K126" s="335"/>
      <c r="L126" s="335"/>
      <c r="M126" s="335"/>
      <c r="N126" s="335"/>
      <c r="O126" s="335"/>
      <c r="P126" s="335"/>
      <c r="Q126" s="335"/>
      <c r="S126" s="335" t="s">
        <v>153</v>
      </c>
      <c r="T126" s="335"/>
      <c r="U126" s="335"/>
      <c r="V126" s="335"/>
      <c r="W126" s="335"/>
      <c r="X126" s="335"/>
      <c r="Y126" s="335"/>
      <c r="Z126" s="335"/>
      <c r="AB126" s="335" t="s">
        <v>153</v>
      </c>
      <c r="AC126" s="335"/>
      <c r="AD126" s="335"/>
      <c r="AE126" s="335"/>
      <c r="AF126" s="335"/>
      <c r="AG126" s="335"/>
      <c r="AH126" s="335"/>
      <c r="AI126" s="335"/>
    </row>
    <row r="127" spans="1:42" ht="14.25">
      <c r="A127" s="95"/>
      <c r="B127" s="21"/>
      <c r="C127" s="21"/>
      <c r="D127" s="21"/>
      <c r="E127" s="21"/>
      <c r="F127" s="21"/>
      <c r="G127" s="21"/>
      <c r="H127" s="88"/>
      <c r="J127" s="95"/>
      <c r="K127" s="21"/>
      <c r="L127" s="21"/>
      <c r="M127" s="21"/>
      <c r="N127" s="21"/>
      <c r="O127" s="21"/>
      <c r="P127" s="21"/>
      <c r="Q127" s="88"/>
      <c r="S127" s="95"/>
      <c r="T127" s="21"/>
      <c r="U127" s="21"/>
      <c r="V127" s="21"/>
      <c r="W127" s="21"/>
      <c r="X127" s="21"/>
      <c r="Y127" s="21"/>
      <c r="Z127" s="88"/>
      <c r="AB127" s="95"/>
      <c r="AC127" s="21"/>
      <c r="AD127" s="21"/>
      <c r="AE127" s="21"/>
      <c r="AF127" s="21"/>
      <c r="AG127" s="21"/>
      <c r="AH127" s="21"/>
      <c r="AI127" s="88"/>
    </row>
    <row r="128" spans="1:42" ht="21">
      <c r="A128" s="66"/>
      <c r="B128" s="351" t="s">
        <v>154</v>
      </c>
      <c r="C128" s="351"/>
      <c r="D128" s="351" t="s">
        <v>155</v>
      </c>
      <c r="E128" s="351"/>
      <c r="F128" s="351" t="s">
        <v>156</v>
      </c>
      <c r="G128" s="351"/>
      <c r="H128" s="96" t="s">
        <v>157</v>
      </c>
      <c r="J128" s="66"/>
      <c r="K128" s="351" t="s">
        <v>154</v>
      </c>
      <c r="L128" s="351"/>
      <c r="M128" s="351" t="s">
        <v>155</v>
      </c>
      <c r="N128" s="351"/>
      <c r="O128" s="351" t="s">
        <v>156</v>
      </c>
      <c r="P128" s="351"/>
      <c r="Q128" s="96" t="s">
        <v>157</v>
      </c>
      <c r="S128" s="66"/>
      <c r="T128" s="351" t="s">
        <v>154</v>
      </c>
      <c r="U128" s="351"/>
      <c r="V128" s="351" t="s">
        <v>155</v>
      </c>
      <c r="W128" s="351"/>
      <c r="X128" s="351" t="s">
        <v>156</v>
      </c>
      <c r="Y128" s="351"/>
      <c r="Z128" s="96" t="s">
        <v>157</v>
      </c>
      <c r="AB128" s="66"/>
      <c r="AC128" s="351" t="s">
        <v>154</v>
      </c>
      <c r="AD128" s="351"/>
      <c r="AE128" s="351" t="s">
        <v>155</v>
      </c>
      <c r="AF128" s="351"/>
      <c r="AG128" s="351" t="s">
        <v>156</v>
      </c>
      <c r="AH128" s="351"/>
      <c r="AI128" s="96" t="s">
        <v>157</v>
      </c>
    </row>
    <row r="129" spans="1:35" ht="21">
      <c r="A129" s="68"/>
      <c r="B129" s="97" t="s">
        <v>158</v>
      </c>
      <c r="C129" s="98" t="s">
        <v>159</v>
      </c>
      <c r="D129" s="97" t="s">
        <v>158</v>
      </c>
      <c r="E129" s="99" t="s">
        <v>159</v>
      </c>
      <c r="F129" s="97" t="s">
        <v>158</v>
      </c>
      <c r="G129" s="99" t="s">
        <v>159</v>
      </c>
      <c r="H129" s="100"/>
      <c r="J129" s="68"/>
      <c r="K129" s="97" t="s">
        <v>158</v>
      </c>
      <c r="L129" s="98" t="s">
        <v>159</v>
      </c>
      <c r="M129" s="97" t="s">
        <v>158</v>
      </c>
      <c r="N129" s="99" t="s">
        <v>159</v>
      </c>
      <c r="O129" s="97" t="s">
        <v>158</v>
      </c>
      <c r="P129" s="99" t="s">
        <v>159</v>
      </c>
      <c r="Q129" s="100"/>
      <c r="S129" s="68"/>
      <c r="T129" s="97" t="s">
        <v>158</v>
      </c>
      <c r="U129" s="98" t="s">
        <v>159</v>
      </c>
      <c r="V129" s="97" t="s">
        <v>158</v>
      </c>
      <c r="W129" s="99" t="s">
        <v>159</v>
      </c>
      <c r="X129" s="97" t="s">
        <v>158</v>
      </c>
      <c r="Y129" s="99" t="s">
        <v>159</v>
      </c>
      <c r="Z129" s="100"/>
      <c r="AB129" s="68"/>
      <c r="AC129" s="97" t="s">
        <v>158</v>
      </c>
      <c r="AD129" s="98" t="s">
        <v>159</v>
      </c>
      <c r="AE129" s="97" t="s">
        <v>158</v>
      </c>
      <c r="AF129" s="99" t="s">
        <v>159</v>
      </c>
      <c r="AG129" s="97" t="s">
        <v>158</v>
      </c>
      <c r="AH129" s="99" t="s">
        <v>159</v>
      </c>
      <c r="AI129" s="100"/>
    </row>
    <row r="130" spans="1:35">
      <c r="A130" s="22" t="s">
        <v>160</v>
      </c>
      <c r="B130" s="22">
        <f>E19</f>
        <v>22200</v>
      </c>
      <c r="C130" s="36">
        <v>20416.669999999998</v>
      </c>
      <c r="D130" s="22">
        <f>D12</f>
        <v>0</v>
      </c>
      <c r="E130" s="36">
        <f>D130</f>
        <v>0</v>
      </c>
      <c r="F130" s="22">
        <v>0</v>
      </c>
      <c r="G130" s="36">
        <f>F130</f>
        <v>0</v>
      </c>
      <c r="H130" s="101">
        <f>H12</f>
        <v>0</v>
      </c>
      <c r="J130" s="22" t="s">
        <v>160</v>
      </c>
      <c r="K130" s="22">
        <f>B3</f>
        <v>0</v>
      </c>
      <c r="L130" s="36">
        <v>28629.17</v>
      </c>
      <c r="M130" s="22">
        <f>D3</f>
        <v>0</v>
      </c>
      <c r="N130" s="36">
        <f>M130</f>
        <v>0</v>
      </c>
      <c r="O130" s="22" t="str">
        <f>F3</f>
        <v xml:space="preserve"> </v>
      </c>
      <c r="P130" s="36" t="str">
        <f>O130</f>
        <v xml:space="preserve"> </v>
      </c>
      <c r="Q130" s="101">
        <f>H3</f>
        <v>0</v>
      </c>
      <c r="S130" s="22" t="s">
        <v>160</v>
      </c>
      <c r="T130" s="22">
        <f>B3</f>
        <v>0</v>
      </c>
      <c r="U130" s="36">
        <f>T130</f>
        <v>0</v>
      </c>
      <c r="V130" s="22">
        <f>D3</f>
        <v>0</v>
      </c>
      <c r="W130" s="36">
        <f>V130</f>
        <v>0</v>
      </c>
      <c r="X130" s="22" t="str">
        <f>F3</f>
        <v xml:space="preserve"> </v>
      </c>
      <c r="Y130" s="36" t="str">
        <f>X130</f>
        <v xml:space="preserve"> </v>
      </c>
      <c r="Z130" s="101">
        <f>H3</f>
        <v>0</v>
      </c>
      <c r="AB130" s="22" t="s">
        <v>160</v>
      </c>
      <c r="AC130" s="22">
        <f>B3</f>
        <v>0</v>
      </c>
      <c r="AD130" s="36">
        <f>AC130</f>
        <v>0</v>
      </c>
      <c r="AE130" s="22">
        <f>D3</f>
        <v>0</v>
      </c>
      <c r="AF130" s="36">
        <f>AE130</f>
        <v>0</v>
      </c>
      <c r="AG130" s="22" t="str">
        <f>F3</f>
        <v xml:space="preserve"> </v>
      </c>
      <c r="AH130" s="36" t="str">
        <f>AG130</f>
        <v xml:space="preserve"> </v>
      </c>
      <c r="AI130" s="101">
        <f>H3</f>
        <v>0</v>
      </c>
    </row>
    <row r="131" spans="1:35">
      <c r="A131" s="27" t="s">
        <v>161</v>
      </c>
      <c r="B131" s="102">
        <v>0</v>
      </c>
      <c r="C131" s="103">
        <f>B131</f>
        <v>0</v>
      </c>
      <c r="D131" s="102">
        <v>0</v>
      </c>
      <c r="E131" s="103">
        <f>D131</f>
        <v>0</v>
      </c>
      <c r="F131" s="102">
        <v>0</v>
      </c>
      <c r="G131" s="104">
        <f>F131</f>
        <v>0</v>
      </c>
      <c r="H131" s="105"/>
      <c r="J131" s="27" t="s">
        <v>161</v>
      </c>
      <c r="K131" s="102">
        <f>B4</f>
        <v>22200</v>
      </c>
      <c r="L131" s="106">
        <v>0</v>
      </c>
      <c r="M131" s="102">
        <f>D4</f>
        <v>0</v>
      </c>
      <c r="N131" s="106">
        <f>M131</f>
        <v>0</v>
      </c>
      <c r="O131" s="102" t="str">
        <f>F4</f>
        <v xml:space="preserve"> </v>
      </c>
      <c r="P131" s="106" t="str">
        <f>O131</f>
        <v xml:space="preserve"> </v>
      </c>
      <c r="Q131" s="105"/>
      <c r="S131" s="27" t="s">
        <v>161</v>
      </c>
      <c r="T131" s="102">
        <f>B4</f>
        <v>22200</v>
      </c>
      <c r="U131" s="106">
        <v>0.25</v>
      </c>
      <c r="V131" s="102">
        <f>D4</f>
        <v>0</v>
      </c>
      <c r="W131" s="106">
        <f>V131</f>
        <v>0</v>
      </c>
      <c r="X131" s="102" t="str">
        <f>F4</f>
        <v xml:space="preserve"> </v>
      </c>
      <c r="Y131" s="106" t="str">
        <f>X131</f>
        <v xml:space="preserve"> </v>
      </c>
      <c r="Z131" s="105"/>
      <c r="AB131" s="27" t="s">
        <v>161</v>
      </c>
      <c r="AC131" s="102">
        <f>B4</f>
        <v>22200</v>
      </c>
      <c r="AD131" s="106">
        <v>0.25</v>
      </c>
      <c r="AE131" s="102">
        <f>D4</f>
        <v>0</v>
      </c>
      <c r="AF131" s="106">
        <f>AE131</f>
        <v>0</v>
      </c>
      <c r="AG131" s="102" t="str">
        <f>F4</f>
        <v xml:space="preserve"> </v>
      </c>
      <c r="AH131" s="106" t="str">
        <f>AG131</f>
        <v xml:space="preserve"> </v>
      </c>
      <c r="AI131" s="105"/>
    </row>
    <row r="132" spans="1:35">
      <c r="A132" s="27" t="s">
        <v>162</v>
      </c>
      <c r="B132" s="27">
        <v>0</v>
      </c>
      <c r="C132" s="36">
        <f>B132</f>
        <v>0</v>
      </c>
      <c r="D132" s="27">
        <v>0</v>
      </c>
      <c r="E132" s="36">
        <f>D132</f>
        <v>0</v>
      </c>
      <c r="F132" s="27">
        <v>0</v>
      </c>
      <c r="G132" s="36">
        <f>F132</f>
        <v>0</v>
      </c>
      <c r="H132" s="29"/>
      <c r="J132" s="27" t="s">
        <v>162</v>
      </c>
      <c r="K132" s="27">
        <f>B5</f>
        <v>0</v>
      </c>
      <c r="L132" s="36">
        <v>0</v>
      </c>
      <c r="M132" s="27">
        <f>D5</f>
        <v>0</v>
      </c>
      <c r="N132" s="36">
        <f>M132</f>
        <v>0</v>
      </c>
      <c r="O132" s="27" t="str">
        <f>F5</f>
        <v xml:space="preserve"> </v>
      </c>
      <c r="P132" s="36" t="str">
        <f>O132</f>
        <v xml:space="preserve"> </v>
      </c>
      <c r="Q132" s="29"/>
      <c r="S132" s="27" t="s">
        <v>162</v>
      </c>
      <c r="T132" s="27">
        <f>B5</f>
        <v>0</v>
      </c>
      <c r="U132" s="36">
        <v>0</v>
      </c>
      <c r="V132" s="27">
        <f>D5</f>
        <v>0</v>
      </c>
      <c r="W132" s="36">
        <f>V132</f>
        <v>0</v>
      </c>
      <c r="X132" s="27" t="str">
        <f>F5</f>
        <v xml:space="preserve"> </v>
      </c>
      <c r="Y132" s="36" t="str">
        <f>X132</f>
        <v xml:space="preserve"> </v>
      </c>
      <c r="Z132" s="29"/>
      <c r="AB132" s="27" t="s">
        <v>162</v>
      </c>
      <c r="AC132" s="27">
        <f>B5</f>
        <v>0</v>
      </c>
      <c r="AD132" s="36">
        <v>0</v>
      </c>
      <c r="AE132" s="27">
        <f>D5</f>
        <v>0</v>
      </c>
      <c r="AF132" s="36">
        <f>AE132</f>
        <v>0</v>
      </c>
      <c r="AG132" s="27" t="str">
        <f>F5</f>
        <v xml:space="preserve"> </v>
      </c>
      <c r="AH132" s="36" t="str">
        <f>AG132</f>
        <v xml:space="preserve"> </v>
      </c>
      <c r="AI132" s="29"/>
    </row>
    <row r="133" spans="1:35">
      <c r="A133" s="27" t="s">
        <v>163</v>
      </c>
      <c r="B133" s="27">
        <f>(B130*B131)+B132</f>
        <v>0</v>
      </c>
      <c r="C133" s="24">
        <f>(C130*C131/100)+C132</f>
        <v>0</v>
      </c>
      <c r="D133" s="27">
        <f>(D130*D131)+D132</f>
        <v>0</v>
      </c>
      <c r="E133" s="24">
        <f>(E130*E131/100)+E132</f>
        <v>0</v>
      </c>
      <c r="F133" s="27">
        <f>(F130*F131)+F132</f>
        <v>0</v>
      </c>
      <c r="G133" s="24">
        <f>(G130*G131/100)+G132</f>
        <v>0</v>
      </c>
      <c r="H133" s="29"/>
      <c r="J133" s="27" t="s">
        <v>163</v>
      </c>
      <c r="K133" s="27">
        <f t="shared" ref="K133:P133" si="0">(K130*K131)+K132</f>
        <v>0</v>
      </c>
      <c r="L133" s="24">
        <f t="shared" si="0"/>
        <v>0</v>
      </c>
      <c r="M133" s="27">
        <f t="shared" si="0"/>
        <v>0</v>
      </c>
      <c r="N133" s="24">
        <f t="shared" si="0"/>
        <v>0</v>
      </c>
      <c r="O133" s="27" t="e">
        <f t="shared" si="0"/>
        <v>#VALUE!</v>
      </c>
      <c r="P133" s="24" t="e">
        <f t="shared" si="0"/>
        <v>#VALUE!</v>
      </c>
      <c r="Q133" s="29"/>
      <c r="S133" s="27" t="s">
        <v>163</v>
      </c>
      <c r="T133" s="27">
        <f t="shared" ref="T133:Y133" si="1">(T130*T131)+T132</f>
        <v>0</v>
      </c>
      <c r="U133" s="24">
        <f t="shared" si="1"/>
        <v>0</v>
      </c>
      <c r="V133" s="27">
        <f t="shared" si="1"/>
        <v>0</v>
      </c>
      <c r="W133" s="24">
        <f t="shared" si="1"/>
        <v>0</v>
      </c>
      <c r="X133" s="27" t="e">
        <f t="shared" si="1"/>
        <v>#VALUE!</v>
      </c>
      <c r="Y133" s="24" t="e">
        <f t="shared" si="1"/>
        <v>#VALUE!</v>
      </c>
      <c r="Z133" s="29"/>
      <c r="AB133" s="27" t="s">
        <v>163</v>
      </c>
      <c r="AC133" s="27">
        <f t="shared" ref="AC133:AH133" si="2">(AC130*AC131)+AC132</f>
        <v>0</v>
      </c>
      <c r="AD133" s="24">
        <f t="shared" si="2"/>
        <v>0</v>
      </c>
      <c r="AE133" s="27">
        <f t="shared" si="2"/>
        <v>0</v>
      </c>
      <c r="AF133" s="24">
        <f t="shared" si="2"/>
        <v>0</v>
      </c>
      <c r="AG133" s="27" t="e">
        <f t="shared" si="2"/>
        <v>#VALUE!</v>
      </c>
      <c r="AH133" s="24" t="e">
        <f t="shared" si="2"/>
        <v>#VALUE!</v>
      </c>
      <c r="AI133" s="29"/>
    </row>
    <row r="134" spans="1:35">
      <c r="A134" s="49" t="s">
        <v>164</v>
      </c>
      <c r="B134" s="49">
        <f t="shared" ref="B134:G134" si="3">B130-B133</f>
        <v>22200</v>
      </c>
      <c r="C134" s="57">
        <f t="shared" si="3"/>
        <v>20416.669999999998</v>
      </c>
      <c r="D134" s="49">
        <f t="shared" si="3"/>
        <v>0</v>
      </c>
      <c r="E134" s="57">
        <f t="shared" si="3"/>
        <v>0</v>
      </c>
      <c r="F134" s="49">
        <f t="shared" si="3"/>
        <v>0</v>
      </c>
      <c r="G134" s="57">
        <f t="shared" si="3"/>
        <v>0</v>
      </c>
      <c r="H134" s="57"/>
      <c r="J134" s="49" t="s">
        <v>164</v>
      </c>
      <c r="K134" s="49">
        <f t="shared" ref="K134:P134" si="4">K130-K133</f>
        <v>0</v>
      </c>
      <c r="L134" s="57">
        <f t="shared" si="4"/>
        <v>28629.17</v>
      </c>
      <c r="M134" s="49">
        <f t="shared" si="4"/>
        <v>0</v>
      </c>
      <c r="N134" s="57">
        <f t="shared" si="4"/>
        <v>0</v>
      </c>
      <c r="O134" s="49" t="e">
        <f t="shared" si="4"/>
        <v>#VALUE!</v>
      </c>
      <c r="P134" s="57" t="e">
        <f t="shared" si="4"/>
        <v>#VALUE!</v>
      </c>
      <c r="Q134" s="57"/>
      <c r="S134" s="49" t="s">
        <v>164</v>
      </c>
      <c r="T134" s="49">
        <f t="shared" ref="T134:Y134" si="5">T130-T133</f>
        <v>0</v>
      </c>
      <c r="U134" s="57">
        <f t="shared" si="5"/>
        <v>0</v>
      </c>
      <c r="V134" s="49">
        <f t="shared" si="5"/>
        <v>0</v>
      </c>
      <c r="W134" s="57">
        <f t="shared" si="5"/>
        <v>0</v>
      </c>
      <c r="X134" s="49" t="e">
        <f t="shared" si="5"/>
        <v>#VALUE!</v>
      </c>
      <c r="Y134" s="57" t="e">
        <f t="shared" si="5"/>
        <v>#VALUE!</v>
      </c>
      <c r="Z134" s="57"/>
      <c r="AB134" s="49" t="s">
        <v>164</v>
      </c>
      <c r="AC134" s="49">
        <f t="shared" ref="AC134:AH134" si="6">AC130-AC133</f>
        <v>0</v>
      </c>
      <c r="AD134" s="57">
        <f t="shared" si="6"/>
        <v>0</v>
      </c>
      <c r="AE134" s="49">
        <f t="shared" si="6"/>
        <v>0</v>
      </c>
      <c r="AF134" s="57">
        <f t="shared" si="6"/>
        <v>0</v>
      </c>
      <c r="AG134" s="49" t="e">
        <f t="shared" si="6"/>
        <v>#VALUE!</v>
      </c>
      <c r="AH134" s="57" t="e">
        <f t="shared" si="6"/>
        <v>#VALUE!</v>
      </c>
      <c r="AI134" s="57"/>
    </row>
    <row r="135" spans="1:35">
      <c r="A135" s="27"/>
      <c r="B135" s="28"/>
      <c r="C135" s="28"/>
      <c r="D135" s="28"/>
      <c r="E135" s="28"/>
      <c r="F135" s="28"/>
      <c r="G135" s="28"/>
      <c r="H135" s="29"/>
      <c r="J135" s="27"/>
      <c r="K135" s="28"/>
      <c r="L135" s="28"/>
      <c r="M135" s="28"/>
      <c r="N135" s="28"/>
      <c r="O135" s="28"/>
      <c r="P135" s="28"/>
      <c r="Q135" s="29"/>
      <c r="S135" s="27"/>
      <c r="T135" s="28"/>
      <c r="U135" s="28"/>
      <c r="V135" s="28"/>
      <c r="W135" s="28"/>
      <c r="X135" s="28"/>
      <c r="Y135" s="28"/>
      <c r="Z135" s="29"/>
      <c r="AB135" s="27"/>
      <c r="AC135" s="28"/>
      <c r="AD135" s="28"/>
      <c r="AE135" s="28"/>
      <c r="AF135" s="28"/>
      <c r="AG135" s="28"/>
      <c r="AH135" s="28"/>
      <c r="AI135" s="29"/>
    </row>
    <row r="136" spans="1:35" ht="21">
      <c r="A136" s="107"/>
      <c r="B136" s="108"/>
      <c r="C136" s="108"/>
      <c r="D136" s="108"/>
      <c r="E136" s="108"/>
      <c r="F136" s="108"/>
      <c r="G136" s="109" t="s">
        <v>158</v>
      </c>
      <c r="H136" s="110" t="s">
        <v>159</v>
      </c>
      <c r="J136" s="107"/>
      <c r="K136" s="108"/>
      <c r="L136" s="108"/>
      <c r="M136" s="108"/>
      <c r="N136" s="108"/>
      <c r="O136" s="108"/>
      <c r="P136" s="109" t="s">
        <v>158</v>
      </c>
      <c r="Q136" s="110" t="s">
        <v>159</v>
      </c>
      <c r="S136" s="107"/>
      <c r="T136" s="108"/>
      <c r="U136" s="108"/>
      <c r="V136" s="108"/>
      <c r="W136" s="108"/>
      <c r="X136" s="108"/>
      <c r="Y136" s="109" t="s">
        <v>158</v>
      </c>
      <c r="Z136" s="110" t="s">
        <v>159</v>
      </c>
      <c r="AB136" s="107"/>
      <c r="AC136" s="108"/>
      <c r="AD136" s="108"/>
      <c r="AE136" s="108"/>
      <c r="AF136" s="108"/>
      <c r="AG136" s="108"/>
      <c r="AH136" s="109" t="s">
        <v>158</v>
      </c>
      <c r="AI136" s="110" t="s">
        <v>159</v>
      </c>
    </row>
    <row r="137" spans="1:35">
      <c r="A137" s="111" t="s">
        <v>165</v>
      </c>
      <c r="B137" s="112"/>
      <c r="C137" s="112"/>
      <c r="D137" s="112"/>
      <c r="E137" s="112"/>
      <c r="F137" s="112"/>
      <c r="G137" s="113">
        <f>H130</f>
        <v>0</v>
      </c>
      <c r="H137" s="114">
        <f>SUM(H140:H142)</f>
        <v>0</v>
      </c>
      <c r="J137" s="111" t="s">
        <v>165</v>
      </c>
      <c r="K137" s="112"/>
      <c r="L137" s="112"/>
      <c r="M137" s="112"/>
      <c r="N137" s="112"/>
      <c r="O137" s="112"/>
      <c r="P137" s="113">
        <f>Q130</f>
        <v>0</v>
      </c>
      <c r="Q137" s="114">
        <f>SUM(Q140:Q142)</f>
        <v>0</v>
      </c>
      <c r="S137" s="111" t="s">
        <v>165</v>
      </c>
      <c r="T137" s="112"/>
      <c r="U137" s="112"/>
      <c r="V137" s="112"/>
      <c r="W137" s="112"/>
      <c r="X137" s="112"/>
      <c r="Y137" s="113">
        <f>Z130</f>
        <v>0</v>
      </c>
      <c r="Z137" s="114">
        <f>SUM(Z140:Z142)</f>
        <v>0</v>
      </c>
      <c r="AB137" s="111" t="s">
        <v>165</v>
      </c>
      <c r="AC137" s="112"/>
      <c r="AD137" s="112"/>
      <c r="AE137" s="112"/>
      <c r="AF137" s="112"/>
      <c r="AG137" s="112"/>
      <c r="AH137" s="113">
        <f>AI130</f>
        <v>0</v>
      </c>
      <c r="AI137" s="114">
        <f>SUM(AI140:AI142)</f>
        <v>0</v>
      </c>
    </row>
    <row r="138" spans="1:35">
      <c r="A138" s="27"/>
      <c r="B138" s="28"/>
      <c r="C138" s="28"/>
      <c r="D138" s="28"/>
      <c r="E138" s="28"/>
      <c r="F138" s="28"/>
      <c r="G138" s="115"/>
      <c r="H138" s="116"/>
      <c r="J138" s="27"/>
      <c r="K138" s="28"/>
      <c r="L138" s="28"/>
      <c r="M138" s="28"/>
      <c r="N138" s="28"/>
      <c r="O138" s="28"/>
      <c r="P138" s="115"/>
      <c r="Q138" s="116"/>
      <c r="S138" s="27"/>
      <c r="T138" s="28"/>
      <c r="U138" s="28"/>
      <c r="V138" s="28"/>
      <c r="W138" s="28"/>
      <c r="X138" s="28"/>
      <c r="Y138" s="115"/>
      <c r="Z138" s="116"/>
      <c r="AB138" s="27"/>
      <c r="AC138" s="28"/>
      <c r="AD138" s="28"/>
      <c r="AE138" s="28"/>
      <c r="AF138" s="28"/>
      <c r="AG138" s="28"/>
      <c r="AH138" s="115"/>
      <c r="AI138" s="116"/>
    </row>
    <row r="139" spans="1:35">
      <c r="A139" s="117" t="s">
        <v>166</v>
      </c>
      <c r="B139" s="352" t="s">
        <v>167</v>
      </c>
      <c r="C139" s="352"/>
      <c r="D139" s="352" t="s">
        <v>168</v>
      </c>
      <c r="E139" s="352"/>
      <c r="F139" s="352" t="s">
        <v>162</v>
      </c>
      <c r="G139" s="352"/>
      <c r="H139" s="116" t="s">
        <v>159</v>
      </c>
      <c r="J139" s="117" t="s">
        <v>166</v>
      </c>
      <c r="K139" s="353" t="s">
        <v>167</v>
      </c>
      <c r="L139" s="353"/>
      <c r="M139" s="352" t="s">
        <v>168</v>
      </c>
      <c r="N139" s="352"/>
      <c r="O139" s="352" t="s">
        <v>162</v>
      </c>
      <c r="P139" s="352"/>
      <c r="Q139" s="116" t="s">
        <v>159</v>
      </c>
      <c r="S139" s="117" t="s">
        <v>166</v>
      </c>
      <c r="T139" s="352" t="s">
        <v>167</v>
      </c>
      <c r="U139" s="352"/>
      <c r="V139" s="352" t="s">
        <v>168</v>
      </c>
      <c r="W139" s="352"/>
      <c r="X139" s="352" t="s">
        <v>162</v>
      </c>
      <c r="Y139" s="352"/>
      <c r="Z139" s="116" t="s">
        <v>159</v>
      </c>
      <c r="AB139" s="117" t="s">
        <v>166</v>
      </c>
      <c r="AC139" s="352" t="s">
        <v>167</v>
      </c>
      <c r="AD139" s="352"/>
      <c r="AE139" s="352" t="s">
        <v>168</v>
      </c>
      <c r="AF139" s="352"/>
      <c r="AG139" s="352" t="s">
        <v>162</v>
      </c>
      <c r="AH139" s="352"/>
      <c r="AI139" s="116" t="s">
        <v>159</v>
      </c>
    </row>
    <row r="140" spans="1:35">
      <c r="A140" s="27" t="s">
        <v>169</v>
      </c>
      <c r="B140" s="354">
        <f>G137</f>
        <v>0</v>
      </c>
      <c r="C140" s="354"/>
      <c r="D140" s="355">
        <v>0</v>
      </c>
      <c r="E140" s="355"/>
      <c r="F140" s="354">
        <v>0</v>
      </c>
      <c r="G140" s="354"/>
      <c r="H140" s="119">
        <f>(B140-(B140*D140))-F140</f>
        <v>0</v>
      </c>
      <c r="J140" s="27" t="s">
        <v>169</v>
      </c>
      <c r="K140" s="354">
        <f>P137</f>
        <v>0</v>
      </c>
      <c r="L140" s="354"/>
      <c r="M140" s="355">
        <v>0</v>
      </c>
      <c r="N140" s="355"/>
      <c r="O140" s="354">
        <v>0</v>
      </c>
      <c r="P140" s="354"/>
      <c r="Q140" s="119">
        <f>(K140-(K140*M140))-O140</f>
        <v>0</v>
      </c>
      <c r="S140" s="27" t="s">
        <v>169</v>
      </c>
      <c r="T140" s="354">
        <f>Y137</f>
        <v>0</v>
      </c>
      <c r="U140" s="354"/>
      <c r="V140" s="355">
        <v>0</v>
      </c>
      <c r="W140" s="355"/>
      <c r="X140" s="354">
        <v>0</v>
      </c>
      <c r="Y140" s="354"/>
      <c r="Z140" s="119">
        <f>(T140-(T140*V140))-X140</f>
        <v>0</v>
      </c>
      <c r="AB140" s="27" t="s">
        <v>169</v>
      </c>
      <c r="AC140" s="354">
        <f>AH137</f>
        <v>0</v>
      </c>
      <c r="AD140" s="354"/>
      <c r="AE140" s="355">
        <v>0</v>
      </c>
      <c r="AF140" s="355"/>
      <c r="AG140" s="354">
        <v>0</v>
      </c>
      <c r="AH140" s="354"/>
      <c r="AI140" s="119">
        <f>(AC140-(AC140*AE140))-AG140</f>
        <v>0</v>
      </c>
    </row>
    <row r="141" spans="1:35">
      <c r="A141" s="27" t="s">
        <v>170</v>
      </c>
      <c r="B141" s="354">
        <v>0</v>
      </c>
      <c r="C141" s="354"/>
      <c r="D141" s="355">
        <v>0</v>
      </c>
      <c r="E141" s="355"/>
      <c r="F141" s="354">
        <v>0</v>
      </c>
      <c r="G141" s="354"/>
      <c r="H141" s="119">
        <f>(B141-(B141*D141))-F141</f>
        <v>0</v>
      </c>
      <c r="J141" s="27" t="s">
        <v>170</v>
      </c>
      <c r="K141" s="354">
        <v>0</v>
      </c>
      <c r="L141" s="354"/>
      <c r="M141" s="355">
        <v>0</v>
      </c>
      <c r="N141" s="355"/>
      <c r="O141" s="354">
        <v>0</v>
      </c>
      <c r="P141" s="354"/>
      <c r="Q141" s="119">
        <f>(K141-(K141*M141))-O141</f>
        <v>0</v>
      </c>
      <c r="S141" s="27" t="s">
        <v>170</v>
      </c>
      <c r="T141" s="354">
        <v>0</v>
      </c>
      <c r="U141" s="354"/>
      <c r="V141" s="355">
        <v>0</v>
      </c>
      <c r="W141" s="355"/>
      <c r="X141" s="354">
        <v>0</v>
      </c>
      <c r="Y141" s="354"/>
      <c r="Z141" s="119">
        <f>(T141-(T141*V141))-X141</f>
        <v>0</v>
      </c>
      <c r="AB141" s="27" t="s">
        <v>170</v>
      </c>
      <c r="AC141" s="354">
        <v>0</v>
      </c>
      <c r="AD141" s="354"/>
      <c r="AE141" s="355">
        <v>0</v>
      </c>
      <c r="AF141" s="355"/>
      <c r="AG141" s="354">
        <v>0</v>
      </c>
      <c r="AH141" s="354"/>
      <c r="AI141" s="119">
        <f>(AC141-(AC141*AE141))-AG141</f>
        <v>0</v>
      </c>
    </row>
    <row r="142" spans="1:35">
      <c r="A142" s="27" t="s">
        <v>171</v>
      </c>
      <c r="B142" s="354">
        <v>0</v>
      </c>
      <c r="C142" s="354"/>
      <c r="D142" s="355">
        <v>0</v>
      </c>
      <c r="E142" s="355"/>
      <c r="F142" s="354">
        <v>0</v>
      </c>
      <c r="G142" s="354"/>
      <c r="H142" s="119">
        <f>(B142-(B142*D142))-F142</f>
        <v>0</v>
      </c>
      <c r="J142" s="27" t="s">
        <v>171</v>
      </c>
      <c r="K142" s="354">
        <v>0</v>
      </c>
      <c r="L142" s="354"/>
      <c r="M142" s="355">
        <v>0</v>
      </c>
      <c r="N142" s="355"/>
      <c r="O142" s="354">
        <v>0</v>
      </c>
      <c r="P142" s="354"/>
      <c r="Q142" s="119">
        <f>(K142-(K142*M142))-O142</f>
        <v>0</v>
      </c>
      <c r="S142" s="27" t="s">
        <v>171</v>
      </c>
      <c r="T142" s="354">
        <v>0</v>
      </c>
      <c r="U142" s="354"/>
      <c r="V142" s="355">
        <v>0</v>
      </c>
      <c r="W142" s="355"/>
      <c r="X142" s="354">
        <v>0</v>
      </c>
      <c r="Y142" s="354"/>
      <c r="Z142" s="119">
        <f>(T142-(T142*V142))-X142</f>
        <v>0</v>
      </c>
      <c r="AB142" s="27" t="s">
        <v>171</v>
      </c>
      <c r="AC142" s="354">
        <v>0</v>
      </c>
      <c r="AD142" s="354"/>
      <c r="AE142" s="355">
        <v>0</v>
      </c>
      <c r="AF142" s="355"/>
      <c r="AG142" s="354">
        <v>0</v>
      </c>
      <c r="AH142" s="354"/>
      <c r="AI142" s="119">
        <f>(AC142-(AC142*AE142))-AG142</f>
        <v>0</v>
      </c>
    </row>
    <row r="143" spans="1:35">
      <c r="A143" s="27"/>
      <c r="B143" s="28"/>
      <c r="C143" s="28"/>
      <c r="D143" s="28"/>
      <c r="E143" s="28"/>
      <c r="F143" s="28"/>
      <c r="G143" s="115"/>
      <c r="H143" s="116"/>
      <c r="J143" s="27"/>
      <c r="K143" s="28"/>
      <c r="L143" s="28"/>
      <c r="M143" s="28"/>
      <c r="N143" s="28"/>
      <c r="O143" s="28"/>
      <c r="P143" s="115"/>
      <c r="Q143" s="116"/>
      <c r="S143" s="27"/>
      <c r="T143" s="28"/>
      <c r="U143" s="28"/>
      <c r="V143" s="28"/>
      <c r="W143" s="28"/>
      <c r="X143" s="28"/>
      <c r="Y143" s="115"/>
      <c r="Z143" s="116"/>
      <c r="AB143" s="27"/>
      <c r="AC143" s="28"/>
      <c r="AD143" s="28"/>
      <c r="AE143" s="28"/>
      <c r="AF143" s="28"/>
      <c r="AG143" s="28"/>
      <c r="AH143" s="115"/>
      <c r="AI143" s="116"/>
    </row>
    <row r="144" spans="1:35" ht="21">
      <c r="A144" s="356" t="s">
        <v>172</v>
      </c>
      <c r="B144" s="356"/>
      <c r="C144" s="356"/>
      <c r="D144" s="356"/>
      <c r="E144" s="356"/>
      <c r="F144" s="356"/>
      <c r="G144" s="109">
        <f>E21</f>
        <v>18500</v>
      </c>
      <c r="H144" s="120">
        <f>C134+E134+G134+H137</f>
        <v>20416.669999999998</v>
      </c>
      <c r="J144" s="356" t="s">
        <v>172</v>
      </c>
      <c r="K144" s="356"/>
      <c r="L144" s="356"/>
      <c r="M144" s="356"/>
      <c r="N144" s="356"/>
      <c r="O144" s="356"/>
      <c r="P144" s="109">
        <f t="shared" ref="P144:P151" si="7">H9</f>
        <v>0</v>
      </c>
      <c r="Q144" s="120" t="e">
        <f>L134+N134+P134+Q137</f>
        <v>#VALUE!</v>
      </c>
      <c r="S144" s="356" t="s">
        <v>172</v>
      </c>
      <c r="T144" s="356"/>
      <c r="U144" s="356"/>
      <c r="V144" s="356"/>
      <c r="W144" s="356"/>
      <c r="X144" s="356"/>
      <c r="Y144" s="109">
        <f t="shared" ref="Y144:Y151" si="8">H9</f>
        <v>0</v>
      </c>
      <c r="Z144" s="120" t="e">
        <f>U134+W134+Y134+Z137</f>
        <v>#VALUE!</v>
      </c>
      <c r="AB144" s="356" t="s">
        <v>172</v>
      </c>
      <c r="AC144" s="356"/>
      <c r="AD144" s="356"/>
      <c r="AE144" s="356"/>
      <c r="AF144" s="356"/>
      <c r="AG144" s="356"/>
      <c r="AH144" s="109">
        <f t="shared" ref="AH144:AH151" si="9">H9</f>
        <v>0</v>
      </c>
      <c r="AI144" s="120" t="e">
        <f>AD134+AF134+AH134+AI137</f>
        <v>#VALUE!</v>
      </c>
    </row>
    <row r="145" spans="1:35">
      <c r="A145" s="357" t="s">
        <v>173</v>
      </c>
      <c r="B145" s="357"/>
      <c r="C145" s="357"/>
      <c r="D145" s="357"/>
      <c r="E145" s="357"/>
      <c r="F145" s="357"/>
      <c r="G145" s="121">
        <f>H19</f>
        <v>0</v>
      </c>
      <c r="H145" s="29">
        <f>G145</f>
        <v>0</v>
      </c>
      <c r="J145" s="357" t="s">
        <v>173</v>
      </c>
      <c r="K145" s="357"/>
      <c r="L145" s="357"/>
      <c r="M145" s="357"/>
      <c r="N145" s="357"/>
      <c r="O145" s="357"/>
      <c r="P145" s="121">
        <f t="shared" si="7"/>
        <v>0</v>
      </c>
      <c r="Q145" s="29">
        <f>P145</f>
        <v>0</v>
      </c>
      <c r="S145" s="357" t="s">
        <v>173</v>
      </c>
      <c r="T145" s="357"/>
      <c r="U145" s="357"/>
      <c r="V145" s="357"/>
      <c r="W145" s="357"/>
      <c r="X145" s="357"/>
      <c r="Y145" s="121">
        <f t="shared" si="8"/>
        <v>0</v>
      </c>
      <c r="Z145" s="29">
        <f>Y145</f>
        <v>0</v>
      </c>
      <c r="AB145" s="357" t="s">
        <v>173</v>
      </c>
      <c r="AC145" s="357"/>
      <c r="AD145" s="357"/>
      <c r="AE145" s="357"/>
      <c r="AF145" s="357"/>
      <c r="AG145" s="357"/>
      <c r="AH145" s="121">
        <f t="shared" si="9"/>
        <v>0</v>
      </c>
      <c r="AI145" s="29">
        <f>AH145</f>
        <v>0</v>
      </c>
    </row>
    <row r="146" spans="1:35">
      <c r="A146" s="357" t="s">
        <v>174</v>
      </c>
      <c r="B146" s="357"/>
      <c r="C146" s="357"/>
      <c r="D146" s="357"/>
      <c r="E146" s="357"/>
      <c r="F146" s="357"/>
      <c r="G146" s="29">
        <f>(G144+G145)*20%</f>
        <v>3700</v>
      </c>
      <c r="H146" s="29">
        <f>(H144+H145)*20%</f>
        <v>4083.3339999999998</v>
      </c>
      <c r="J146" s="357" t="s">
        <v>174</v>
      </c>
      <c r="K146" s="357"/>
      <c r="L146" s="357"/>
      <c r="M146" s="357"/>
      <c r="N146" s="357"/>
      <c r="O146" s="357"/>
      <c r="P146" s="121">
        <f t="shared" si="7"/>
        <v>0</v>
      </c>
      <c r="Q146" s="29" t="e">
        <f>(Q144+Q145)*20%</f>
        <v>#VALUE!</v>
      </c>
      <c r="S146" s="357" t="s">
        <v>174</v>
      </c>
      <c r="T146" s="357"/>
      <c r="U146" s="357"/>
      <c r="V146" s="357"/>
      <c r="W146" s="357"/>
      <c r="X146" s="357"/>
      <c r="Y146" s="121">
        <f t="shared" si="8"/>
        <v>0</v>
      </c>
      <c r="Z146" s="29" t="e">
        <f>(Z144+Z145)*20%</f>
        <v>#VALUE!</v>
      </c>
      <c r="AB146" s="357" t="s">
        <v>174</v>
      </c>
      <c r="AC146" s="357"/>
      <c r="AD146" s="357"/>
      <c r="AE146" s="357"/>
      <c r="AF146" s="357"/>
      <c r="AG146" s="357"/>
      <c r="AH146" s="121">
        <f t="shared" si="9"/>
        <v>0</v>
      </c>
      <c r="AI146" s="29" t="e">
        <f>(AI144+AI145)*20%</f>
        <v>#VALUE!</v>
      </c>
    </row>
    <row r="147" spans="1:35">
      <c r="A147" s="357" t="s">
        <v>175</v>
      </c>
      <c r="B147" s="357"/>
      <c r="C147" s="357"/>
      <c r="D147" s="357"/>
      <c r="E147" s="357"/>
      <c r="F147" s="357"/>
      <c r="G147" s="121">
        <f>H21</f>
        <v>0</v>
      </c>
      <c r="H147" s="29">
        <v>0</v>
      </c>
      <c r="J147" s="357" t="s">
        <v>175</v>
      </c>
      <c r="K147" s="357"/>
      <c r="L147" s="357"/>
      <c r="M147" s="357"/>
      <c r="N147" s="357"/>
      <c r="O147" s="357"/>
      <c r="P147" s="121">
        <f t="shared" si="7"/>
        <v>0</v>
      </c>
      <c r="Q147" s="29">
        <f>P147</f>
        <v>0</v>
      </c>
      <c r="S147" s="357" t="s">
        <v>175</v>
      </c>
      <c r="T147" s="357"/>
      <c r="U147" s="357"/>
      <c r="V147" s="357"/>
      <c r="W147" s="357"/>
      <c r="X147" s="357"/>
      <c r="Y147" s="121">
        <f t="shared" si="8"/>
        <v>0</v>
      </c>
      <c r="Z147" s="29">
        <f>Y147</f>
        <v>0</v>
      </c>
      <c r="AB147" s="357" t="s">
        <v>175</v>
      </c>
      <c r="AC147" s="357"/>
      <c r="AD147" s="357"/>
      <c r="AE147" s="357"/>
      <c r="AF147" s="357"/>
      <c r="AG147" s="357"/>
      <c r="AH147" s="121">
        <f t="shared" si="9"/>
        <v>0</v>
      </c>
      <c r="AI147" s="29">
        <f>AH147</f>
        <v>0</v>
      </c>
    </row>
    <row r="148" spans="1:35">
      <c r="A148" s="357" t="s">
        <v>176</v>
      </c>
      <c r="B148" s="357"/>
      <c r="C148" s="357"/>
      <c r="D148" s="357"/>
      <c r="E148" s="357"/>
      <c r="F148" s="357"/>
      <c r="G148" s="121">
        <f>H22</f>
        <v>0</v>
      </c>
      <c r="H148" s="29">
        <f>G148</f>
        <v>0</v>
      </c>
      <c r="J148" s="357" t="s">
        <v>176</v>
      </c>
      <c r="K148" s="357"/>
      <c r="L148" s="357"/>
      <c r="M148" s="357"/>
      <c r="N148" s="357"/>
      <c r="O148" s="357"/>
      <c r="P148" s="121">
        <f t="shared" si="7"/>
        <v>0</v>
      </c>
      <c r="Q148" s="29">
        <f>P148</f>
        <v>0</v>
      </c>
      <c r="S148" s="357" t="s">
        <v>176</v>
      </c>
      <c r="T148" s="357"/>
      <c r="U148" s="357"/>
      <c r="V148" s="357"/>
      <c r="W148" s="357"/>
      <c r="X148" s="357"/>
      <c r="Y148" s="121">
        <f t="shared" si="8"/>
        <v>0</v>
      </c>
      <c r="Z148" s="29">
        <f>Y148</f>
        <v>0</v>
      </c>
      <c r="AB148" s="357" t="s">
        <v>176</v>
      </c>
      <c r="AC148" s="357"/>
      <c r="AD148" s="357"/>
      <c r="AE148" s="357"/>
      <c r="AF148" s="357"/>
      <c r="AG148" s="357"/>
      <c r="AH148" s="121">
        <f t="shared" si="9"/>
        <v>0</v>
      </c>
      <c r="AI148" s="29">
        <f>AH148</f>
        <v>0</v>
      </c>
    </row>
    <row r="149" spans="1:35">
      <c r="A149" s="357" t="s">
        <v>177</v>
      </c>
      <c r="B149" s="357"/>
      <c r="C149" s="357"/>
      <c r="D149" s="357"/>
      <c r="E149" s="357"/>
      <c r="F149" s="357"/>
      <c r="G149" s="121">
        <f>H23</f>
        <v>0</v>
      </c>
      <c r="H149" s="29">
        <f>G149</f>
        <v>0</v>
      </c>
      <c r="J149" s="357" t="s">
        <v>177</v>
      </c>
      <c r="K149" s="357"/>
      <c r="L149" s="357"/>
      <c r="M149" s="357"/>
      <c r="N149" s="357"/>
      <c r="O149" s="357"/>
      <c r="P149" s="121">
        <f t="shared" si="7"/>
        <v>0</v>
      </c>
      <c r="Q149" s="29">
        <v>55</v>
      </c>
      <c r="S149" s="357" t="s">
        <v>177</v>
      </c>
      <c r="T149" s="357"/>
      <c r="U149" s="357"/>
      <c r="V149" s="357"/>
      <c r="W149" s="357"/>
      <c r="X149" s="357"/>
      <c r="Y149" s="121">
        <f t="shared" si="8"/>
        <v>0</v>
      </c>
      <c r="Z149" s="29">
        <v>55</v>
      </c>
      <c r="AB149" s="357" t="s">
        <v>177</v>
      </c>
      <c r="AC149" s="357"/>
      <c r="AD149" s="357"/>
      <c r="AE149" s="357"/>
      <c r="AF149" s="357"/>
      <c r="AG149" s="357"/>
      <c r="AH149" s="121">
        <f t="shared" si="9"/>
        <v>0</v>
      </c>
      <c r="AI149" s="29">
        <v>55</v>
      </c>
    </row>
    <row r="150" spans="1:35" ht="21">
      <c r="A150" s="357" t="s">
        <v>178</v>
      </c>
      <c r="B150" s="357"/>
      <c r="C150" s="357"/>
      <c r="D150" s="357"/>
      <c r="E150" s="357"/>
      <c r="F150" s="357"/>
      <c r="G150" s="122">
        <f>(G144+G145+G148+G149+G146)-G147</f>
        <v>22200</v>
      </c>
      <c r="H150" s="122">
        <f>(H144+H145+H148+H149+H146)-H147</f>
        <v>24500.003999999997</v>
      </c>
      <c r="J150" s="357" t="s">
        <v>178</v>
      </c>
      <c r="K150" s="357"/>
      <c r="L150" s="357"/>
      <c r="M150" s="357"/>
      <c r="N150" s="357"/>
      <c r="O150" s="357"/>
      <c r="P150" s="123">
        <f t="shared" si="7"/>
        <v>0</v>
      </c>
      <c r="Q150" s="122" t="e">
        <f>(Q144+Q145+Q148+Q149+Q146)-Q147</f>
        <v>#VALUE!</v>
      </c>
      <c r="S150" s="357" t="s">
        <v>178</v>
      </c>
      <c r="T150" s="357"/>
      <c r="U150" s="357"/>
      <c r="V150" s="357"/>
      <c r="W150" s="357"/>
      <c r="X150" s="357"/>
      <c r="Y150" s="123">
        <f t="shared" si="8"/>
        <v>0</v>
      </c>
      <c r="Z150" s="122" t="e">
        <f>(Z144+Z145+Z148+Z149+Z146)-Z147</f>
        <v>#VALUE!</v>
      </c>
      <c r="AB150" s="357" t="s">
        <v>178</v>
      </c>
      <c r="AC150" s="357"/>
      <c r="AD150" s="357"/>
      <c r="AE150" s="357"/>
      <c r="AF150" s="357"/>
      <c r="AG150" s="357"/>
      <c r="AH150" s="123">
        <f t="shared" si="9"/>
        <v>0</v>
      </c>
      <c r="AI150" s="122" t="e">
        <f>(AI144+AI145+AI148+AI149+AI146)-AI147</f>
        <v>#VALUE!</v>
      </c>
    </row>
    <row r="151" spans="1:35">
      <c r="A151" s="357" t="s">
        <v>179</v>
      </c>
      <c r="B151" s="357"/>
      <c r="C151" s="357"/>
      <c r="D151" s="357"/>
      <c r="E151" s="357"/>
      <c r="F151" s="357"/>
      <c r="G151" s="36">
        <f>F151</f>
        <v>0</v>
      </c>
      <c r="H151" s="36">
        <f>G151</f>
        <v>0</v>
      </c>
      <c r="J151" s="357" t="s">
        <v>179</v>
      </c>
      <c r="K151" s="357"/>
      <c r="L151" s="357"/>
      <c r="M151" s="357"/>
      <c r="N151" s="357"/>
      <c r="O151" s="357"/>
      <c r="P151" s="121">
        <f t="shared" si="7"/>
        <v>0</v>
      </c>
      <c r="Q151" s="36">
        <f>P151</f>
        <v>0</v>
      </c>
      <c r="S151" s="357" t="s">
        <v>179</v>
      </c>
      <c r="T151" s="357"/>
      <c r="U151" s="357"/>
      <c r="V151" s="357"/>
      <c r="W151" s="357"/>
      <c r="X151" s="357"/>
      <c r="Y151" s="121">
        <f t="shared" si="8"/>
        <v>0</v>
      </c>
      <c r="Z151" s="36">
        <f>Y151</f>
        <v>0</v>
      </c>
      <c r="AB151" s="357" t="s">
        <v>179</v>
      </c>
      <c r="AC151" s="357"/>
      <c r="AD151" s="357"/>
      <c r="AE151" s="357"/>
      <c r="AF151" s="357"/>
      <c r="AG151" s="357"/>
      <c r="AH151" s="121">
        <f t="shared" si="9"/>
        <v>0</v>
      </c>
      <c r="AI151" s="36">
        <f>AH151</f>
        <v>0</v>
      </c>
    </row>
    <row r="152" spans="1:35">
      <c r="A152" s="358" t="s">
        <v>180</v>
      </c>
      <c r="B152" s="358"/>
      <c r="C152" s="358"/>
      <c r="D152" s="358"/>
      <c r="E152" s="358">
        <v>0</v>
      </c>
      <c r="F152" s="358"/>
      <c r="G152" s="29">
        <v>0</v>
      </c>
      <c r="H152" s="29"/>
      <c r="J152" s="359" t="s">
        <v>180</v>
      </c>
      <c r="K152" s="359"/>
      <c r="L152" s="359"/>
      <c r="M152" s="359"/>
      <c r="N152" s="359"/>
      <c r="O152" s="359"/>
      <c r="P152" s="34"/>
      <c r="Q152" s="29"/>
      <c r="S152" s="358" t="s">
        <v>180</v>
      </c>
      <c r="T152" s="358"/>
      <c r="U152" s="358"/>
      <c r="V152" s="358"/>
      <c r="W152" s="358"/>
      <c r="X152" s="358"/>
      <c r="Y152" s="34"/>
      <c r="Z152" s="29"/>
      <c r="AB152" s="358" t="s">
        <v>180</v>
      </c>
      <c r="AC152" s="358"/>
      <c r="AD152" s="358"/>
      <c r="AE152" s="358"/>
      <c r="AF152" s="358"/>
      <c r="AG152" s="358"/>
      <c r="AH152" s="34"/>
      <c r="AI152" s="29"/>
    </row>
    <row r="153" spans="1:35">
      <c r="A153" s="124" t="s">
        <v>26</v>
      </c>
      <c r="B153" s="360">
        <v>0</v>
      </c>
      <c r="C153" s="360"/>
      <c r="D153" s="360"/>
      <c r="E153" s="360"/>
      <c r="F153" s="360"/>
      <c r="G153" s="36">
        <v>0</v>
      </c>
      <c r="H153" s="36">
        <v>0</v>
      </c>
      <c r="J153" s="124" t="s">
        <v>26</v>
      </c>
      <c r="K153" s="360" t="s">
        <v>181</v>
      </c>
      <c r="L153" s="360"/>
      <c r="M153" s="360"/>
      <c r="N153" s="360"/>
      <c r="O153" s="360"/>
      <c r="P153" s="121">
        <f>H18</f>
        <v>0</v>
      </c>
      <c r="Q153" s="36">
        <f>P153</f>
        <v>0</v>
      </c>
      <c r="S153" s="124" t="s">
        <v>26</v>
      </c>
      <c r="T153" s="360" t="s">
        <v>181</v>
      </c>
      <c r="U153" s="360"/>
      <c r="V153" s="360"/>
      <c r="W153" s="360"/>
      <c r="X153" s="360"/>
      <c r="Y153" s="121">
        <f>H18</f>
        <v>0</v>
      </c>
      <c r="Z153" s="36">
        <f>Y153</f>
        <v>0</v>
      </c>
      <c r="AB153" s="124" t="s">
        <v>26</v>
      </c>
      <c r="AC153" s="360" t="s">
        <v>181</v>
      </c>
      <c r="AD153" s="360"/>
      <c r="AE153" s="360"/>
      <c r="AF153" s="360"/>
      <c r="AG153" s="360"/>
      <c r="AH153" s="121">
        <f>H18</f>
        <v>0</v>
      </c>
      <c r="AI153" s="36">
        <f>AH153</f>
        <v>0</v>
      </c>
    </row>
    <row r="154" spans="1:35">
      <c r="A154" s="124" t="s">
        <v>28</v>
      </c>
      <c r="B154" s="360" t="s">
        <v>181</v>
      </c>
      <c r="C154" s="360"/>
      <c r="D154" s="360"/>
      <c r="E154" s="360"/>
      <c r="F154" s="360"/>
      <c r="G154" s="36">
        <v>0</v>
      </c>
      <c r="H154" s="36">
        <v>0</v>
      </c>
      <c r="I154" s="4">
        <f>(G151+G154+G155+G153)</f>
        <v>0</v>
      </c>
      <c r="J154" s="124" t="s">
        <v>28</v>
      </c>
      <c r="K154" s="360" t="s">
        <v>181</v>
      </c>
      <c r="L154" s="360"/>
      <c r="M154" s="360"/>
      <c r="N154" s="360"/>
      <c r="O154" s="360"/>
      <c r="P154" s="121">
        <f>H19</f>
        <v>0</v>
      </c>
      <c r="Q154" s="36">
        <f>P154</f>
        <v>0</v>
      </c>
      <c r="S154" s="124" t="s">
        <v>28</v>
      </c>
      <c r="T154" s="360" t="s">
        <v>181</v>
      </c>
      <c r="U154" s="360"/>
      <c r="V154" s="360"/>
      <c r="W154" s="360"/>
      <c r="X154" s="360"/>
      <c r="Y154" s="121">
        <f>H19</f>
        <v>0</v>
      </c>
      <c r="Z154" s="36">
        <f>Y154</f>
        <v>0</v>
      </c>
      <c r="AB154" s="124" t="s">
        <v>28</v>
      </c>
      <c r="AC154" s="360" t="s">
        <v>181</v>
      </c>
      <c r="AD154" s="360"/>
      <c r="AE154" s="360"/>
      <c r="AF154" s="360"/>
      <c r="AG154" s="360"/>
      <c r="AH154" s="121">
        <f>H19</f>
        <v>0</v>
      </c>
      <c r="AI154" s="36">
        <f>AH154</f>
        <v>0</v>
      </c>
    </row>
    <row r="155" spans="1:35">
      <c r="A155" s="125" t="s">
        <v>29</v>
      </c>
      <c r="B155" s="361" t="s">
        <v>181</v>
      </c>
      <c r="C155" s="361"/>
      <c r="D155" s="361"/>
      <c r="E155" s="361"/>
      <c r="F155" s="361"/>
      <c r="G155" s="36">
        <v>0</v>
      </c>
      <c r="H155" s="36">
        <v>0</v>
      </c>
      <c r="I155" s="4">
        <f>(H151+H153+H154+H155)</f>
        <v>0</v>
      </c>
      <c r="J155" s="125" t="s">
        <v>29</v>
      </c>
      <c r="K155" s="361" t="s">
        <v>181</v>
      </c>
      <c r="L155" s="361"/>
      <c r="M155" s="361"/>
      <c r="N155" s="361"/>
      <c r="O155" s="361"/>
      <c r="P155" s="121">
        <f>H20</f>
        <v>0</v>
      </c>
      <c r="Q155" s="36">
        <f>P155</f>
        <v>0</v>
      </c>
      <c r="S155" s="125" t="s">
        <v>29</v>
      </c>
      <c r="T155" s="361" t="s">
        <v>181</v>
      </c>
      <c r="U155" s="361"/>
      <c r="V155" s="361"/>
      <c r="W155" s="361"/>
      <c r="X155" s="361"/>
      <c r="Y155" s="121">
        <f>H20</f>
        <v>0</v>
      </c>
      <c r="Z155" s="36">
        <f>Y155</f>
        <v>0</v>
      </c>
      <c r="AB155" s="125" t="s">
        <v>29</v>
      </c>
      <c r="AC155" s="361" t="s">
        <v>181</v>
      </c>
      <c r="AD155" s="361"/>
      <c r="AE155" s="361"/>
      <c r="AF155" s="361"/>
      <c r="AG155" s="361"/>
      <c r="AH155" s="121">
        <f>H20</f>
        <v>0</v>
      </c>
      <c r="AI155" s="36">
        <f>AH155</f>
        <v>0</v>
      </c>
    </row>
    <row r="156" spans="1:35" ht="21">
      <c r="A156" s="357" t="s">
        <v>182</v>
      </c>
      <c r="B156" s="357"/>
      <c r="C156" s="357"/>
      <c r="D156" s="357"/>
      <c r="E156" s="357"/>
      <c r="F156" s="357"/>
      <c r="G156" s="126">
        <f>G150-((G153*1.2)+(G154*1.2)+(G155*1.2)+(G151*1.2))</f>
        <v>22200</v>
      </c>
      <c r="H156" s="126">
        <f>H150-((H153*1.2)+(H154*1.2)+(H155*1.2)+(H151*1.2))</f>
        <v>24500.003999999997</v>
      </c>
      <c r="J156" s="362" t="s">
        <v>182</v>
      </c>
      <c r="K156" s="362"/>
      <c r="L156" s="362"/>
      <c r="M156" s="362"/>
      <c r="N156" s="362"/>
      <c r="O156" s="362"/>
      <c r="P156" s="123">
        <f>P150-((P153*1.2)+(P154*1.2)+(P155*1.2)+(P151*1.2))</f>
        <v>0</v>
      </c>
      <c r="Q156" s="126" t="e">
        <f>Q150-((Q153*1.2)+(Q154*1.2)+(Q155*1.2)+(Q151*1.2))</f>
        <v>#VALUE!</v>
      </c>
      <c r="S156" s="357" t="s">
        <v>182</v>
      </c>
      <c r="T156" s="357"/>
      <c r="U156" s="357"/>
      <c r="V156" s="357"/>
      <c r="W156" s="357"/>
      <c r="X156" s="357"/>
      <c r="Y156" s="123">
        <f>Y150-((Y153*1.2)+(Y154*1.2)+(Y155*1.2)+(Y151*1.2))</f>
        <v>0</v>
      </c>
      <c r="Z156" s="126" t="e">
        <f>Z150-((Z153*1.2)+(Z154*1.2)+(Z155*1.2)+(Z151*1.2))</f>
        <v>#VALUE!</v>
      </c>
      <c r="AB156" s="357" t="s">
        <v>182</v>
      </c>
      <c r="AC156" s="357"/>
      <c r="AD156" s="357"/>
      <c r="AE156" s="357"/>
      <c r="AF156" s="357"/>
      <c r="AG156" s="357"/>
      <c r="AH156" s="123">
        <f>AH150-((AH153*1.2)+(AH154*1.2)+(AH155*1.2)+(AH151*1.2))</f>
        <v>0</v>
      </c>
      <c r="AI156" s="126" t="e">
        <f>AI150-((AI153*1.2)+(AI154*1.2)+(AI155*1.2)+(AI151*1.2))</f>
        <v>#VALUE!</v>
      </c>
    </row>
    <row r="157" spans="1:35">
      <c r="A157" s="357" t="s">
        <v>183</v>
      </c>
      <c r="B157" s="357"/>
      <c r="C157" s="357"/>
      <c r="D157" s="357"/>
      <c r="E157" s="357"/>
      <c r="F157" s="357"/>
      <c r="G157" s="121"/>
      <c r="H157" s="36">
        <f>((H156-G156)-(H146-G146))+((I155-I154)*0.2)</f>
        <v>1916.6699999999973</v>
      </c>
      <c r="I157" s="4">
        <f>(H157-G90)/1.2</f>
        <v>-16069.441666666669</v>
      </c>
      <c r="J157" s="357" t="s">
        <v>183</v>
      </c>
      <c r="K157" s="357"/>
      <c r="L157" s="357"/>
      <c r="M157" s="357"/>
      <c r="N157" s="357"/>
      <c r="O157" s="357"/>
      <c r="P157" s="121"/>
      <c r="Q157" s="36" t="e">
        <f>Q156-P156</f>
        <v>#VALUE!</v>
      </c>
      <c r="S157" s="357" t="s">
        <v>183</v>
      </c>
      <c r="T157" s="357"/>
      <c r="U157" s="357"/>
      <c r="V157" s="357"/>
      <c r="W157" s="357"/>
      <c r="X157" s="357"/>
      <c r="Y157" s="121"/>
      <c r="Z157" s="36" t="e">
        <f>Z156-Y156</f>
        <v>#VALUE!</v>
      </c>
      <c r="AB157" s="357" t="s">
        <v>183</v>
      </c>
      <c r="AC157" s="357"/>
      <c r="AD157" s="357"/>
      <c r="AE157" s="357"/>
      <c r="AF157" s="357"/>
      <c r="AG157" s="357"/>
      <c r="AH157" s="121"/>
      <c r="AI157" s="36" t="e">
        <f>AI156-AH156</f>
        <v>#VALUE!</v>
      </c>
    </row>
    <row r="158" spans="1:35">
      <c r="A158" s="27"/>
      <c r="B158" s="28"/>
      <c r="C158" s="28"/>
      <c r="D158" s="28"/>
      <c r="E158" s="21"/>
      <c r="F158" s="21"/>
      <c r="G158" s="21"/>
      <c r="H158" s="29"/>
      <c r="J158" s="27"/>
      <c r="K158" s="28"/>
      <c r="L158" s="28"/>
      <c r="M158" s="28"/>
      <c r="N158" s="21"/>
      <c r="O158" s="21"/>
      <c r="P158" s="21"/>
      <c r="Q158" s="29"/>
      <c r="S158" s="27"/>
      <c r="T158" s="28"/>
      <c r="U158" s="28"/>
      <c r="V158" s="28"/>
      <c r="W158" s="21"/>
      <c r="X158" s="21"/>
      <c r="Y158" s="21"/>
      <c r="Z158" s="29"/>
      <c r="AB158" s="27"/>
      <c r="AC158" s="28"/>
      <c r="AD158" s="28"/>
      <c r="AE158" s="28"/>
      <c r="AF158" s="21"/>
      <c r="AG158" s="21"/>
      <c r="AH158" s="21"/>
      <c r="AI158" s="29"/>
    </row>
    <row r="159" spans="1:35" ht="23.25">
      <c r="A159" s="335" t="s">
        <v>184</v>
      </c>
      <c r="B159" s="335"/>
      <c r="C159" s="335"/>
      <c r="D159" s="335"/>
      <c r="E159" s="335"/>
      <c r="F159" s="335"/>
      <c r="G159" s="335"/>
      <c r="H159" s="335"/>
      <c r="J159" s="335" t="s">
        <v>184</v>
      </c>
      <c r="K159" s="335"/>
      <c r="L159" s="335"/>
      <c r="M159" s="335"/>
      <c r="N159" s="335"/>
      <c r="O159" s="335"/>
      <c r="P159" s="335"/>
      <c r="Q159" s="335"/>
      <c r="S159" s="335" t="s">
        <v>184</v>
      </c>
      <c r="T159" s="335"/>
      <c r="U159" s="335"/>
      <c r="V159" s="335"/>
      <c r="W159" s="335"/>
      <c r="X159" s="335"/>
      <c r="Y159" s="335"/>
      <c r="Z159" s="335"/>
      <c r="AB159" s="335" t="s">
        <v>184</v>
      </c>
      <c r="AC159" s="335"/>
      <c r="AD159" s="335"/>
      <c r="AE159" s="335"/>
      <c r="AF159" s="335"/>
      <c r="AG159" s="335"/>
      <c r="AH159" s="335"/>
      <c r="AI159" s="335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 t="s">
        <v>185</v>
      </c>
      <c r="B161" s="28"/>
      <c r="C161" s="28"/>
      <c r="D161" s="21"/>
      <c r="E161" s="348">
        <v>0</v>
      </c>
      <c r="F161" s="348"/>
      <c r="G161" s="348">
        <v>0</v>
      </c>
      <c r="H161" s="348"/>
      <c r="J161" s="27" t="s">
        <v>185</v>
      </c>
      <c r="K161" s="28"/>
      <c r="L161" s="28"/>
      <c r="M161" s="21"/>
      <c r="N161" s="348">
        <v>10000</v>
      </c>
      <c r="O161" s="348"/>
      <c r="P161" s="348">
        <v>5000</v>
      </c>
      <c r="Q161" s="348"/>
      <c r="S161" s="27" t="s">
        <v>185</v>
      </c>
      <c r="T161" s="28"/>
      <c r="U161" s="28"/>
      <c r="V161" s="21"/>
      <c r="W161" s="348">
        <v>10000</v>
      </c>
      <c r="X161" s="348"/>
      <c r="Y161" s="348">
        <v>5000</v>
      </c>
      <c r="Z161" s="348"/>
      <c r="AB161" s="27" t="s">
        <v>185</v>
      </c>
      <c r="AC161" s="28"/>
      <c r="AD161" s="28"/>
      <c r="AE161" s="21"/>
      <c r="AF161" s="348">
        <v>10000</v>
      </c>
      <c r="AG161" s="348"/>
      <c r="AH161" s="348">
        <v>5000</v>
      </c>
      <c r="AI161" s="348"/>
    </row>
    <row r="162" spans="1:35">
      <c r="A162" s="27" t="s">
        <v>186</v>
      </c>
      <c r="B162" s="28"/>
      <c r="C162" s="28"/>
      <c r="D162" s="21"/>
      <c r="E162" s="363">
        <f>G162</f>
        <v>0</v>
      </c>
      <c r="F162" s="363"/>
      <c r="G162" s="348">
        <v>0</v>
      </c>
      <c r="H162" s="348"/>
      <c r="J162" s="27" t="s">
        <v>186</v>
      </c>
      <c r="K162" s="28"/>
      <c r="L162" s="28"/>
      <c r="M162" s="21"/>
      <c r="N162" s="363">
        <f>P162</f>
        <v>7000</v>
      </c>
      <c r="O162" s="363"/>
      <c r="P162" s="348">
        <v>7000</v>
      </c>
      <c r="Q162" s="348"/>
      <c r="S162" s="27" t="s">
        <v>186</v>
      </c>
      <c r="T162" s="28"/>
      <c r="U162" s="28"/>
      <c r="V162" s="21"/>
      <c r="W162" s="363">
        <f>Y162</f>
        <v>7000</v>
      </c>
      <c r="X162" s="363"/>
      <c r="Y162" s="348">
        <v>7000</v>
      </c>
      <c r="Z162" s="348"/>
      <c r="AB162" s="27" t="s">
        <v>186</v>
      </c>
      <c r="AC162" s="28"/>
      <c r="AD162" s="28"/>
      <c r="AE162" s="21"/>
      <c r="AF162" s="363">
        <f>AH162</f>
        <v>7000</v>
      </c>
      <c r="AG162" s="363"/>
      <c r="AH162" s="348">
        <v>7000</v>
      </c>
      <c r="AI162" s="348"/>
    </row>
    <row r="163" spans="1:35">
      <c r="A163" s="27" t="s">
        <v>187</v>
      </c>
      <c r="B163" s="28"/>
      <c r="C163" s="28"/>
      <c r="D163" s="21"/>
      <c r="E163" s="363">
        <f>E161-E162</f>
        <v>0</v>
      </c>
      <c r="F163" s="363"/>
      <c r="G163" s="364">
        <f>G161-G162</f>
        <v>0</v>
      </c>
      <c r="H163" s="364"/>
      <c r="J163" s="27" t="s">
        <v>187</v>
      </c>
      <c r="K163" s="28"/>
      <c r="L163" s="28"/>
      <c r="M163" s="21"/>
      <c r="N163" s="363">
        <f>N161-N162</f>
        <v>3000</v>
      </c>
      <c r="O163" s="363"/>
      <c r="P163" s="364">
        <f>P161-P162</f>
        <v>-2000</v>
      </c>
      <c r="Q163" s="364"/>
      <c r="S163" s="27" t="s">
        <v>187</v>
      </c>
      <c r="T163" s="28"/>
      <c r="U163" s="28"/>
      <c r="V163" s="21"/>
      <c r="W163" s="363">
        <f>W161-W162</f>
        <v>3000</v>
      </c>
      <c r="X163" s="363"/>
      <c r="Y163" s="364">
        <f>Y161-Y162</f>
        <v>-2000</v>
      </c>
      <c r="Z163" s="364"/>
      <c r="AB163" s="27" t="s">
        <v>187</v>
      </c>
      <c r="AC163" s="28"/>
      <c r="AD163" s="28"/>
      <c r="AE163" s="21"/>
      <c r="AF163" s="363">
        <f>AF161-AF162</f>
        <v>3000</v>
      </c>
      <c r="AG163" s="363"/>
      <c r="AH163" s="364">
        <f>AH161-AH162</f>
        <v>-2000</v>
      </c>
      <c r="AI163" s="364"/>
    </row>
    <row r="164" spans="1:35">
      <c r="A164" s="27" t="s">
        <v>188</v>
      </c>
      <c r="B164" s="28"/>
      <c r="C164" s="28"/>
      <c r="D164" s="21"/>
      <c r="E164" s="363">
        <f>E163-G163</f>
        <v>0</v>
      </c>
      <c r="F164" s="363"/>
      <c r="G164" s="21"/>
      <c r="H164" s="29"/>
      <c r="J164" s="27" t="s">
        <v>188</v>
      </c>
      <c r="K164" s="28"/>
      <c r="L164" s="28"/>
      <c r="M164" s="21"/>
      <c r="N164" s="363">
        <f>N163-P163</f>
        <v>5000</v>
      </c>
      <c r="O164" s="363"/>
      <c r="P164" s="21"/>
      <c r="Q164" s="29"/>
      <c r="S164" s="27" t="s">
        <v>188</v>
      </c>
      <c r="T164" s="28"/>
      <c r="U164" s="28"/>
      <c r="V164" s="21"/>
      <c r="W164" s="363">
        <f>W163-Y163</f>
        <v>5000</v>
      </c>
      <c r="X164" s="363"/>
      <c r="Y164" s="21"/>
      <c r="Z164" s="29"/>
      <c r="AB164" s="27" t="s">
        <v>188</v>
      </c>
      <c r="AC164" s="28"/>
      <c r="AD164" s="28"/>
      <c r="AE164" s="21"/>
      <c r="AF164" s="363">
        <f>AF163-AH163</f>
        <v>5000</v>
      </c>
      <c r="AG164" s="363"/>
      <c r="AH164" s="21"/>
      <c r="AI164" s="29"/>
    </row>
    <row r="165" spans="1:35">
      <c r="A165" s="22" t="s">
        <v>189</v>
      </c>
      <c r="B165" s="23"/>
      <c r="C165" s="23"/>
      <c r="D165" s="63"/>
      <c r="E165" s="23"/>
      <c r="F165" s="63"/>
      <c r="G165" s="128" t="s">
        <v>10</v>
      </c>
      <c r="H165" s="36">
        <v>1400</v>
      </c>
      <c r="J165" s="27"/>
      <c r="K165" s="28"/>
      <c r="L165" s="28"/>
      <c r="M165" s="21"/>
      <c r="N165" s="28"/>
      <c r="O165" s="21"/>
      <c r="P165" s="21"/>
      <c r="Q165" s="29"/>
      <c r="S165" s="27"/>
      <c r="T165" s="28"/>
      <c r="U165" s="28"/>
      <c r="V165" s="21"/>
      <c r="W165" s="28"/>
      <c r="X165" s="21"/>
      <c r="Y165" s="21"/>
      <c r="Z165" s="29"/>
      <c r="AB165" s="27"/>
      <c r="AC165" s="28"/>
      <c r="AD165" s="28"/>
      <c r="AE165" s="21"/>
      <c r="AF165" s="28"/>
      <c r="AG165" s="21"/>
      <c r="AH165" s="21"/>
      <c r="AI165" s="29"/>
    </row>
    <row r="166" spans="1:35">
      <c r="A166" s="22" t="s">
        <v>190</v>
      </c>
      <c r="B166" s="23"/>
      <c r="C166" s="23"/>
      <c r="D166" s="63"/>
      <c r="E166" s="23"/>
      <c r="F166" s="63"/>
      <c r="G166" s="365">
        <f>B120</f>
        <v>0</v>
      </c>
      <c r="H166" s="365"/>
      <c r="J166" s="22" t="s">
        <v>190</v>
      </c>
      <c r="K166" s="23"/>
      <c r="L166" s="23"/>
      <c r="M166" s="63"/>
      <c r="N166" s="23"/>
      <c r="O166" s="63"/>
      <c r="P166" s="365">
        <f>K120</f>
        <v>1000</v>
      </c>
      <c r="Q166" s="365"/>
      <c r="S166" s="22" t="s">
        <v>190</v>
      </c>
      <c r="T166" s="23"/>
      <c r="U166" s="23"/>
      <c r="V166" s="63"/>
      <c r="W166" s="23"/>
      <c r="X166" s="63"/>
      <c r="Y166" s="365">
        <f>T120</f>
        <v>1000</v>
      </c>
      <c r="Z166" s="365"/>
      <c r="AB166" s="22" t="s">
        <v>190</v>
      </c>
      <c r="AC166" s="23"/>
      <c r="AD166" s="23"/>
      <c r="AE166" s="63"/>
      <c r="AF166" s="23"/>
      <c r="AG166" s="63"/>
      <c r="AH166" s="365">
        <f>AC120</f>
        <v>1000</v>
      </c>
      <c r="AI166" s="365"/>
    </row>
    <row r="167" spans="1:35" ht="21">
      <c r="A167" s="129" t="s">
        <v>191</v>
      </c>
      <c r="B167" s="28"/>
      <c r="C167" s="28"/>
      <c r="D167" s="21"/>
      <c r="E167" s="28"/>
      <c r="F167" s="21"/>
      <c r="G167" s="366">
        <f>H156-G163-G166+H165</f>
        <v>25900.003999999997</v>
      </c>
      <c r="H167" s="366"/>
      <c r="J167" s="129" t="s">
        <v>191</v>
      </c>
      <c r="K167" s="28"/>
      <c r="L167" s="28"/>
      <c r="M167" s="21"/>
      <c r="N167" s="28"/>
      <c r="O167" s="21"/>
      <c r="P167" s="366" t="e">
        <f>Q156-P163-P166</f>
        <v>#VALUE!</v>
      </c>
      <c r="Q167" s="366"/>
      <c r="S167" s="129" t="s">
        <v>191</v>
      </c>
      <c r="T167" s="28"/>
      <c r="U167" s="28"/>
      <c r="V167" s="21"/>
      <c r="W167" s="28"/>
      <c r="X167" s="21"/>
      <c r="Y167" s="366" t="e">
        <f>Z156-Y163-Y166</f>
        <v>#VALUE!</v>
      </c>
      <c r="Z167" s="366"/>
      <c r="AB167" s="129" t="s">
        <v>191</v>
      </c>
      <c r="AC167" s="28"/>
      <c r="AD167" s="28"/>
      <c r="AE167" s="21"/>
      <c r="AF167" s="28"/>
      <c r="AG167" s="21"/>
      <c r="AH167" s="366" t="e">
        <f>AI156-AH163-AH166</f>
        <v>#VALUE!</v>
      </c>
      <c r="AI167" s="366"/>
    </row>
    <row r="168" spans="1:35">
      <c r="A168" s="49" t="s">
        <v>66</v>
      </c>
      <c r="B168" s="50"/>
      <c r="C168" s="50"/>
      <c r="D168" s="85"/>
      <c r="E168" s="50"/>
      <c r="F168" s="85"/>
      <c r="G168" s="367">
        <f>B123</f>
        <v>833.33333333333337</v>
      </c>
      <c r="H168" s="367"/>
      <c r="J168" s="49" t="s">
        <v>66</v>
      </c>
      <c r="K168" s="50"/>
      <c r="L168" s="50"/>
      <c r="M168" s="85"/>
      <c r="N168" s="50"/>
      <c r="O168" s="85"/>
      <c r="P168" s="367">
        <f>K123</f>
        <v>239.99</v>
      </c>
      <c r="Q168" s="367"/>
      <c r="S168" s="49" t="s">
        <v>66</v>
      </c>
      <c r="T168" s="50"/>
      <c r="U168" s="50"/>
      <c r="V168" s="85"/>
      <c r="W168" s="50"/>
      <c r="X168" s="85"/>
      <c r="Y168" s="367">
        <f>T123</f>
        <v>199.99</v>
      </c>
      <c r="Z168" s="367"/>
      <c r="AB168" s="49" t="s">
        <v>66</v>
      </c>
      <c r="AC168" s="50"/>
      <c r="AD168" s="50"/>
      <c r="AE168" s="85"/>
      <c r="AF168" s="50"/>
      <c r="AG168" s="85"/>
      <c r="AH168" s="367">
        <f>AC123</f>
        <v>239.99</v>
      </c>
      <c r="AI168" s="367"/>
    </row>
    <row r="169" spans="1:35">
      <c r="A169" s="27"/>
      <c r="B169" s="28"/>
      <c r="C169" s="28"/>
      <c r="D169" s="28"/>
      <c r="E169" s="21"/>
      <c r="F169" s="21"/>
      <c r="G169" s="21"/>
      <c r="H169" s="29"/>
      <c r="J169" s="27"/>
      <c r="K169" s="28"/>
      <c r="L169" s="28"/>
      <c r="M169" s="28"/>
      <c r="N169" s="21"/>
      <c r="O169" s="21"/>
      <c r="P169" s="21"/>
      <c r="Q169" s="29"/>
      <c r="S169" s="27"/>
      <c r="T169" s="28"/>
      <c r="U169" s="28"/>
      <c r="V169" s="28"/>
      <c r="W169" s="21"/>
      <c r="X169" s="21"/>
      <c r="Y169" s="21"/>
      <c r="Z169" s="29"/>
      <c r="AB169" s="27"/>
      <c r="AC169" s="28"/>
      <c r="AD169" s="28"/>
      <c r="AE169" s="28"/>
      <c r="AF169" s="21"/>
      <c r="AG169" s="21"/>
      <c r="AH169" s="21"/>
      <c r="AI169" s="29"/>
    </row>
    <row r="170" spans="1:35">
      <c r="A170" s="27"/>
      <c r="B170" s="28"/>
      <c r="C170" s="28"/>
      <c r="D170" s="28"/>
      <c r="E170" s="21">
        <v>6000</v>
      </c>
      <c r="F170" s="21"/>
      <c r="G170" s="21"/>
      <c r="H170" s="29"/>
      <c r="J170" s="27"/>
      <c r="K170" s="28"/>
      <c r="L170" s="28"/>
      <c r="M170" s="28"/>
      <c r="N170" s="21"/>
      <c r="O170" s="21"/>
      <c r="P170" s="21"/>
      <c r="Q170" s="29"/>
      <c r="S170" s="27"/>
      <c r="T170" s="28"/>
      <c r="U170" s="28"/>
      <c r="V170" s="28"/>
      <c r="W170" s="21"/>
      <c r="X170" s="21"/>
      <c r="Y170" s="21"/>
      <c r="Z170" s="29"/>
      <c r="AB170" s="27"/>
      <c r="AC170" s="28"/>
      <c r="AD170" s="28"/>
      <c r="AE170" s="28"/>
      <c r="AF170" s="21"/>
      <c r="AG170" s="21"/>
      <c r="AH170" s="21"/>
      <c r="AI170" s="29"/>
    </row>
    <row r="171" spans="1:35" ht="23.25">
      <c r="A171" s="335" t="s">
        <v>192</v>
      </c>
      <c r="B171" s="335"/>
      <c r="C171" s="335"/>
      <c r="D171" s="335"/>
      <c r="E171" s="335"/>
      <c r="F171" s="335"/>
      <c r="G171" s="335"/>
      <c r="H171" s="335"/>
      <c r="J171" s="335" t="s">
        <v>192</v>
      </c>
      <c r="K171" s="335"/>
      <c r="L171" s="335"/>
      <c r="M171" s="335"/>
      <c r="N171" s="335"/>
      <c r="O171" s="335"/>
      <c r="P171" s="335"/>
      <c r="Q171" s="335"/>
      <c r="S171" s="335" t="s">
        <v>192</v>
      </c>
      <c r="T171" s="335"/>
      <c r="U171" s="335"/>
      <c r="V171" s="335"/>
      <c r="W171" s="335"/>
      <c r="X171" s="335"/>
      <c r="Y171" s="335"/>
      <c r="Z171" s="335"/>
      <c r="AB171" s="335" t="s">
        <v>192</v>
      </c>
      <c r="AC171" s="335"/>
      <c r="AD171" s="335"/>
      <c r="AE171" s="335"/>
      <c r="AF171" s="335"/>
      <c r="AG171" s="335"/>
      <c r="AH171" s="335"/>
      <c r="AI171" s="335"/>
    </row>
    <row r="172" spans="1:35">
      <c r="A172" s="27"/>
      <c r="B172" s="28"/>
      <c r="C172" s="28"/>
      <c r="D172" s="28"/>
      <c r="E172" s="21"/>
      <c r="F172" s="21"/>
      <c r="G172" s="21"/>
      <c r="H172" s="29"/>
      <c r="J172" s="27"/>
      <c r="K172" s="28"/>
      <c r="L172" s="28"/>
      <c r="M172" s="28"/>
      <c r="N172" s="21"/>
      <c r="O172" s="21"/>
      <c r="P172" s="21"/>
      <c r="Q172" s="29"/>
      <c r="S172" s="27"/>
      <c r="T172" s="28"/>
      <c r="U172" s="28"/>
      <c r="V172" s="28"/>
      <c r="W172" s="21"/>
      <c r="X172" s="21"/>
      <c r="Y172" s="21"/>
      <c r="Z172" s="29"/>
      <c r="AB172" s="27"/>
      <c r="AC172" s="28"/>
      <c r="AD172" s="28"/>
      <c r="AE172" s="28"/>
      <c r="AF172" s="21"/>
      <c r="AG172" s="21"/>
      <c r="AH172" s="21"/>
      <c r="AI172" s="29"/>
    </row>
    <row r="173" spans="1:35">
      <c r="A173" s="27" t="s">
        <v>193</v>
      </c>
      <c r="B173" s="368">
        <v>0</v>
      </c>
      <c r="C173" s="368"/>
      <c r="D173" s="28"/>
      <c r="E173" s="21"/>
      <c r="F173" s="21"/>
      <c r="G173" s="21"/>
      <c r="H173" s="29"/>
      <c r="J173" s="27" t="s">
        <v>193</v>
      </c>
      <c r="K173" s="368">
        <v>0</v>
      </c>
      <c r="L173" s="368"/>
      <c r="M173" s="28"/>
      <c r="N173" s="21"/>
      <c r="O173" s="21"/>
      <c r="P173" s="21"/>
      <c r="Q173" s="29"/>
      <c r="S173" s="27" t="s">
        <v>193</v>
      </c>
      <c r="T173" s="368">
        <v>0</v>
      </c>
      <c r="U173" s="368"/>
      <c r="V173" s="28"/>
      <c r="W173" s="21"/>
      <c r="X173" s="21"/>
      <c r="Y173" s="21"/>
      <c r="Z173" s="29"/>
      <c r="AB173" s="27" t="s">
        <v>193</v>
      </c>
      <c r="AC173" s="368">
        <v>0</v>
      </c>
      <c r="AD173" s="368"/>
      <c r="AE173" s="28"/>
      <c r="AF173" s="21"/>
      <c r="AG173" s="21"/>
      <c r="AH173" s="21"/>
      <c r="AI173" s="29"/>
    </row>
    <row r="174" spans="1:35">
      <c r="A174" s="27"/>
      <c r="B174" s="28"/>
      <c r="C174" s="28"/>
      <c r="D174" s="28"/>
      <c r="E174" s="21"/>
      <c r="F174" s="21"/>
      <c r="G174" s="21"/>
      <c r="H174" s="29"/>
      <c r="J174" s="27"/>
      <c r="K174" s="28"/>
      <c r="L174" s="28"/>
      <c r="M174" s="28"/>
      <c r="N174" s="21"/>
      <c r="O174" s="21"/>
      <c r="P174" s="21"/>
      <c r="Q174" s="29"/>
      <c r="S174" s="27"/>
      <c r="T174" s="28"/>
      <c r="U174" s="28"/>
      <c r="V174" s="28"/>
      <c r="W174" s="21"/>
      <c r="X174" s="21"/>
      <c r="Y174" s="21"/>
      <c r="Z174" s="29"/>
      <c r="AB174" s="27"/>
      <c r="AC174" s="28"/>
      <c r="AD174" s="28"/>
      <c r="AE174" s="28"/>
      <c r="AF174" s="21"/>
      <c r="AG174" s="21"/>
      <c r="AH174" s="21"/>
      <c r="AI174" s="29"/>
    </row>
    <row r="175" spans="1:35">
      <c r="A175" s="130" t="s">
        <v>194</v>
      </c>
      <c r="B175" s="131" t="s">
        <v>195</v>
      </c>
      <c r="C175" s="131"/>
      <c r="D175" s="131"/>
      <c r="E175" s="131" t="s">
        <v>196</v>
      </c>
      <c r="F175" s="21"/>
      <c r="G175" s="21" t="s">
        <v>197</v>
      </c>
      <c r="H175" s="29"/>
      <c r="J175" s="130" t="s">
        <v>194</v>
      </c>
      <c r="K175" s="131" t="s">
        <v>195</v>
      </c>
      <c r="L175" s="131"/>
      <c r="M175" s="131"/>
      <c r="N175" s="131" t="s">
        <v>196</v>
      </c>
      <c r="O175" s="21"/>
      <c r="P175" s="21"/>
      <c r="Q175" s="29"/>
      <c r="S175" s="130" t="s">
        <v>194</v>
      </c>
      <c r="T175" s="131" t="s">
        <v>195</v>
      </c>
      <c r="U175" s="131"/>
      <c r="V175" s="131"/>
      <c r="W175" s="131" t="s">
        <v>196</v>
      </c>
      <c r="X175" s="21"/>
      <c r="Y175" s="21"/>
      <c r="Z175" s="29"/>
      <c r="AB175" s="130" t="s">
        <v>194</v>
      </c>
      <c r="AC175" s="131" t="s">
        <v>195</v>
      </c>
      <c r="AD175" s="131"/>
      <c r="AE175" s="131"/>
      <c r="AF175" s="131" t="s">
        <v>196</v>
      </c>
      <c r="AG175" s="21"/>
      <c r="AH175" s="21"/>
      <c r="AI175" s="29"/>
    </row>
    <row r="176" spans="1:35">
      <c r="A176" s="132">
        <f>B104</f>
        <v>1538.136912508196</v>
      </c>
      <c r="B176" s="133">
        <f>B103</f>
        <v>0</v>
      </c>
      <c r="C176" s="131"/>
      <c r="D176" s="131"/>
      <c r="E176" s="133">
        <f>B105</f>
        <v>1538.136912508196</v>
      </c>
      <c r="F176" s="21"/>
      <c r="G176" s="21">
        <f>ROUND(G104,2)</f>
        <v>1462.49</v>
      </c>
      <c r="H176" s="29"/>
      <c r="J176" s="132" t="e">
        <f>K104</f>
        <v>#VALUE!</v>
      </c>
      <c r="K176" s="133">
        <f>K103</f>
        <v>0</v>
      </c>
      <c r="L176" s="131"/>
      <c r="M176" s="131"/>
      <c r="N176" s="133" t="e">
        <f>K105</f>
        <v>#VALUE!</v>
      </c>
      <c r="O176" s="21"/>
      <c r="P176" s="21"/>
      <c r="Q176" s="29"/>
      <c r="S176" s="132" t="e">
        <f>T104</f>
        <v>#VALUE!</v>
      </c>
      <c r="T176" s="133">
        <f>T103</f>
        <v>0</v>
      </c>
      <c r="U176" s="131"/>
      <c r="V176" s="131"/>
      <c r="W176" s="133" t="e">
        <f>T105</f>
        <v>#VALUE!</v>
      </c>
      <c r="X176" s="21"/>
      <c r="Y176" s="21"/>
      <c r="Z176" s="29"/>
      <c r="AB176" s="132" t="e">
        <f>AC104</f>
        <v>#VALUE!</v>
      </c>
      <c r="AC176" s="133">
        <f>AC103</f>
        <v>0</v>
      </c>
      <c r="AD176" s="131"/>
      <c r="AE176" s="131"/>
      <c r="AF176" s="133" t="e">
        <f>AC105</f>
        <v>#VALUE!</v>
      </c>
      <c r="AG176" s="21"/>
      <c r="AH176" s="21"/>
      <c r="AI176" s="29"/>
    </row>
    <row r="177" spans="1:35">
      <c r="A177" s="27"/>
      <c r="B177" s="28"/>
      <c r="C177" s="28"/>
      <c r="D177" s="28"/>
      <c r="E177" s="21"/>
      <c r="F177" s="21"/>
      <c r="G177" s="21"/>
      <c r="H177" s="29"/>
      <c r="J177" s="27"/>
      <c r="K177" s="28"/>
      <c r="L177" s="28"/>
      <c r="M177" s="28"/>
      <c r="N177" s="21"/>
      <c r="O177" s="21"/>
      <c r="P177" s="21"/>
      <c r="Q177" s="29"/>
      <c r="S177" s="27"/>
      <c r="T177" s="28"/>
      <c r="U177" s="28"/>
      <c r="V177" s="28"/>
      <c r="W177" s="21"/>
      <c r="X177" s="21"/>
      <c r="Y177" s="21"/>
      <c r="Z177" s="29"/>
      <c r="AB177" s="27"/>
      <c r="AC177" s="28"/>
      <c r="AD177" s="28"/>
      <c r="AE177" s="28"/>
      <c r="AF177" s="21"/>
      <c r="AG177" s="21"/>
      <c r="AH177" s="21"/>
      <c r="AI177" s="29"/>
    </row>
    <row r="178" spans="1:35">
      <c r="A178" s="27" t="s">
        <v>94</v>
      </c>
      <c r="B178" s="28" t="s">
        <v>95</v>
      </c>
      <c r="C178" s="28"/>
      <c r="D178" s="21"/>
      <c r="E178" s="28" t="s">
        <v>198</v>
      </c>
      <c r="F178" s="21"/>
      <c r="G178" s="21"/>
      <c r="H178" s="29"/>
      <c r="J178" s="27" t="s">
        <v>94</v>
      </c>
      <c r="K178" s="28" t="s">
        <v>95</v>
      </c>
      <c r="L178" s="28"/>
      <c r="M178" s="21"/>
      <c r="N178" s="28" t="s">
        <v>198</v>
      </c>
      <c r="O178" s="21"/>
      <c r="P178" s="21"/>
      <c r="Q178" s="29"/>
      <c r="S178" s="27" t="s">
        <v>94</v>
      </c>
      <c r="T178" s="28" t="s">
        <v>95</v>
      </c>
      <c r="U178" s="28"/>
      <c r="V178" s="21"/>
      <c r="W178" s="28" t="s">
        <v>198</v>
      </c>
      <c r="X178" s="21"/>
      <c r="Y178" s="21"/>
      <c r="Z178" s="29"/>
      <c r="AB178" s="27" t="s">
        <v>94</v>
      </c>
      <c r="AC178" s="28" t="s">
        <v>95</v>
      </c>
      <c r="AD178" s="28"/>
      <c r="AE178" s="21"/>
      <c r="AF178" s="28" t="s">
        <v>198</v>
      </c>
      <c r="AG178" s="21"/>
      <c r="AH178" s="21"/>
      <c r="AI178" s="29"/>
    </row>
    <row r="179" spans="1:35">
      <c r="A179" s="134" t="str">
        <f>K29</f>
        <v>12</v>
      </c>
      <c r="B179" s="135" t="str">
        <f>K30</f>
        <v>5000</v>
      </c>
      <c r="C179" s="136"/>
      <c r="D179" s="21"/>
      <c r="E179" s="137">
        <f>B91</f>
        <v>6000</v>
      </c>
      <c r="F179" s="21"/>
      <c r="G179" s="21"/>
      <c r="H179" s="29"/>
      <c r="J179" s="134" t="str">
        <f>K29</f>
        <v>12</v>
      </c>
      <c r="K179" s="135" t="str">
        <f>K30</f>
        <v>5000</v>
      </c>
      <c r="L179" s="136"/>
      <c r="M179" s="21"/>
      <c r="N179" s="137" t="str">
        <f>IF(A120="YES",A40,0)</f>
        <v>12</v>
      </c>
      <c r="O179" s="21"/>
      <c r="P179" s="21"/>
      <c r="Q179" s="29"/>
      <c r="S179" s="134" t="str">
        <f>K29</f>
        <v>12</v>
      </c>
      <c r="T179" s="135" t="str">
        <f>K30</f>
        <v>5000</v>
      </c>
      <c r="U179" s="136"/>
      <c r="V179" s="21"/>
      <c r="W179" s="137" t="str">
        <f>IF(A120="YES",A40,0)</f>
        <v>12</v>
      </c>
      <c r="X179" s="21"/>
      <c r="Y179" s="21"/>
      <c r="Z179" s="29"/>
      <c r="AB179" s="134" t="str">
        <f>K29</f>
        <v>12</v>
      </c>
      <c r="AC179" s="135" t="str">
        <f>K30</f>
        <v>5000</v>
      </c>
      <c r="AD179" s="136"/>
      <c r="AE179" s="21"/>
      <c r="AF179" s="137" t="str">
        <f>IF(A120="YES",A40,0)</f>
        <v>12</v>
      </c>
      <c r="AG179" s="21"/>
      <c r="AH179" s="21"/>
      <c r="AI179" s="29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199</v>
      </c>
      <c r="B181" s="28" t="s">
        <v>200</v>
      </c>
      <c r="C181" s="28"/>
      <c r="D181" s="21"/>
      <c r="E181" s="28" t="s">
        <v>201</v>
      </c>
      <c r="F181" s="21"/>
      <c r="G181" s="21"/>
      <c r="H181" s="29"/>
      <c r="J181" s="27" t="s">
        <v>199</v>
      </c>
      <c r="K181" s="28" t="s">
        <v>200</v>
      </c>
      <c r="L181" s="28"/>
      <c r="M181" s="21"/>
      <c r="N181" s="28" t="s">
        <v>201</v>
      </c>
      <c r="O181" s="21"/>
      <c r="P181" s="21"/>
      <c r="Q181" s="29"/>
      <c r="S181" s="27" t="s">
        <v>199</v>
      </c>
      <c r="T181" s="28" t="s">
        <v>200</v>
      </c>
      <c r="U181" s="28"/>
      <c r="V181" s="21"/>
      <c r="W181" s="28" t="s">
        <v>201</v>
      </c>
      <c r="X181" s="21"/>
      <c r="Y181" s="21"/>
      <c r="Z181" s="29"/>
      <c r="AB181" s="27" t="s">
        <v>199</v>
      </c>
      <c r="AC181" s="28" t="s">
        <v>200</v>
      </c>
      <c r="AD181" s="28"/>
      <c r="AE181" s="21"/>
      <c r="AF181" s="28" t="s">
        <v>201</v>
      </c>
      <c r="AG181" s="21"/>
      <c r="AH181" s="21"/>
      <c r="AI181" s="29"/>
    </row>
    <row r="182" spans="1:35">
      <c r="A182" s="138">
        <f>H150-H146-H148-H149</f>
        <v>20416.669999999998</v>
      </c>
      <c r="B182" s="34">
        <f>H146</f>
        <v>4083.3339999999998</v>
      </c>
      <c r="C182" s="38"/>
      <c r="D182" s="21"/>
      <c r="E182" s="137">
        <f>H148+H149</f>
        <v>0</v>
      </c>
      <c r="F182" s="21"/>
      <c r="G182" s="21"/>
      <c r="H182" s="29"/>
      <c r="J182" s="138" t="e">
        <f>Q150-Q146-Q148-Q149</f>
        <v>#VALUE!</v>
      </c>
      <c r="K182" s="34" t="e">
        <f>Q146</f>
        <v>#VALUE!</v>
      </c>
      <c r="L182" s="38"/>
      <c r="M182" s="21"/>
      <c r="N182" s="137">
        <f>Q148+Q149</f>
        <v>55</v>
      </c>
      <c r="O182" s="21"/>
      <c r="P182" s="21"/>
      <c r="Q182" s="29"/>
      <c r="S182" s="138" t="e">
        <f>Z150-Z146-Z148-Z149</f>
        <v>#VALUE!</v>
      </c>
      <c r="T182" s="34" t="e">
        <f>Z146</f>
        <v>#VALUE!</v>
      </c>
      <c r="U182" s="38"/>
      <c r="V182" s="21"/>
      <c r="W182" s="137">
        <f>Z148+Z149</f>
        <v>55</v>
      </c>
      <c r="X182" s="21"/>
      <c r="Y182" s="21"/>
      <c r="Z182" s="29"/>
      <c r="AB182" s="138" t="e">
        <f>AI150-AI146-AI148-AI149</f>
        <v>#VALUE!</v>
      </c>
      <c r="AC182" s="34" t="e">
        <f>AI146</f>
        <v>#VALUE!</v>
      </c>
      <c r="AD182" s="38"/>
      <c r="AE182" s="21"/>
      <c r="AF182" s="137">
        <f>AI148+AI149</f>
        <v>55</v>
      </c>
      <c r="AG182" s="21"/>
      <c r="AH182" s="21"/>
      <c r="AI182" s="29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202</v>
      </c>
      <c r="B184" s="28" t="s">
        <v>148</v>
      </c>
      <c r="C184" s="28"/>
      <c r="D184" s="21"/>
      <c r="E184" s="28" t="s">
        <v>149</v>
      </c>
      <c r="F184" s="21"/>
      <c r="G184" s="21"/>
      <c r="H184" s="29"/>
      <c r="J184" s="27" t="s">
        <v>202</v>
      </c>
      <c r="K184" s="28" t="s">
        <v>148</v>
      </c>
      <c r="L184" s="28"/>
      <c r="M184" s="21"/>
      <c r="N184" s="28" t="s">
        <v>149</v>
      </c>
      <c r="O184" s="21"/>
      <c r="P184" s="21"/>
      <c r="Q184" s="29"/>
      <c r="S184" s="27" t="s">
        <v>202</v>
      </c>
      <c r="T184" s="28" t="s">
        <v>148</v>
      </c>
      <c r="U184" s="28"/>
      <c r="V184" s="21"/>
      <c r="W184" s="28" t="s">
        <v>149</v>
      </c>
      <c r="X184" s="21"/>
      <c r="Y184" s="21"/>
      <c r="Z184" s="29"/>
      <c r="AB184" s="27" t="s">
        <v>202</v>
      </c>
      <c r="AC184" s="28" t="s">
        <v>148</v>
      </c>
      <c r="AD184" s="28"/>
      <c r="AE184" s="21"/>
      <c r="AF184" s="28" t="s">
        <v>149</v>
      </c>
      <c r="AG184" s="21"/>
      <c r="AH184" s="21"/>
      <c r="AI184" s="29"/>
    </row>
    <row r="185" spans="1:35">
      <c r="A185" s="138">
        <f>H150</f>
        <v>24500.003999999997</v>
      </c>
      <c r="B185" s="34">
        <f>B120</f>
        <v>0</v>
      </c>
      <c r="C185" s="34"/>
      <c r="D185" s="21"/>
      <c r="E185" s="34">
        <f>E120</f>
        <v>0</v>
      </c>
      <c r="F185" s="21"/>
      <c r="G185" s="21"/>
      <c r="H185" s="90"/>
      <c r="J185" s="138" t="e">
        <f>Q150</f>
        <v>#VALUE!</v>
      </c>
      <c r="K185" s="34">
        <f>K120</f>
        <v>1000</v>
      </c>
      <c r="L185" s="34"/>
      <c r="M185" s="21"/>
      <c r="N185" s="34">
        <f>N120</f>
        <v>0</v>
      </c>
      <c r="O185" s="21"/>
      <c r="P185" s="21"/>
      <c r="Q185" s="90"/>
      <c r="S185" s="138" t="e">
        <f>Z150</f>
        <v>#VALUE!</v>
      </c>
      <c r="T185" s="34">
        <f>T120</f>
        <v>1000</v>
      </c>
      <c r="U185" s="34"/>
      <c r="V185" s="21"/>
      <c r="W185" s="34">
        <f>W120</f>
        <v>0</v>
      </c>
      <c r="X185" s="21"/>
      <c r="Y185" s="21"/>
      <c r="Z185" s="90"/>
      <c r="AB185" s="138" t="e">
        <f>AI150</f>
        <v>#VALUE!</v>
      </c>
      <c r="AC185" s="34">
        <f>AC120</f>
        <v>1000</v>
      </c>
      <c r="AD185" s="34"/>
      <c r="AE185" s="21"/>
      <c r="AF185" s="34">
        <f>AF120</f>
        <v>0</v>
      </c>
      <c r="AG185" s="21"/>
      <c r="AH185" s="21"/>
      <c r="AI185" s="90"/>
    </row>
    <row r="186" spans="1:35">
      <c r="A186" s="27"/>
      <c r="B186" s="28"/>
      <c r="C186" s="28"/>
      <c r="D186" s="21"/>
      <c r="E186" s="28"/>
      <c r="F186" s="21"/>
      <c r="G186" s="21"/>
      <c r="H186" s="29"/>
      <c r="J186" s="27"/>
      <c r="K186" s="28"/>
      <c r="L186" s="28"/>
      <c r="M186" s="21"/>
      <c r="N186" s="28"/>
      <c r="O186" s="21"/>
      <c r="P186" s="21"/>
      <c r="Q186" s="29"/>
      <c r="S186" s="27"/>
      <c r="T186" s="28"/>
      <c r="U186" s="28"/>
      <c r="V186" s="21"/>
      <c r="W186" s="28"/>
      <c r="X186" s="21"/>
      <c r="Y186" s="21"/>
      <c r="Z186" s="29"/>
      <c r="AB186" s="27"/>
      <c r="AC186" s="28"/>
      <c r="AD186" s="28"/>
      <c r="AE186" s="21"/>
      <c r="AF186" s="28"/>
      <c r="AG186" s="21"/>
      <c r="AH186" s="21"/>
      <c r="AI186" s="29"/>
    </row>
    <row r="187" spans="1:35">
      <c r="A187" s="27" t="s">
        <v>150</v>
      </c>
      <c r="B187" s="28" t="s">
        <v>185</v>
      </c>
      <c r="C187" s="28"/>
      <c r="D187" s="21"/>
      <c r="E187" s="28" t="s">
        <v>191</v>
      </c>
      <c r="F187" s="21"/>
      <c r="G187" s="21"/>
      <c r="H187" s="29"/>
      <c r="J187" s="27" t="s">
        <v>150</v>
      </c>
      <c r="K187" s="28" t="s">
        <v>185</v>
      </c>
      <c r="L187" s="28"/>
      <c r="M187" s="21"/>
      <c r="N187" s="28" t="s">
        <v>191</v>
      </c>
      <c r="O187" s="21"/>
      <c r="P187" s="21"/>
      <c r="Q187" s="29"/>
      <c r="S187" s="27" t="s">
        <v>150</v>
      </c>
      <c r="T187" s="28" t="s">
        <v>185</v>
      </c>
      <c r="U187" s="28"/>
      <c r="V187" s="21"/>
      <c r="W187" s="28" t="s">
        <v>191</v>
      </c>
      <c r="X187" s="21"/>
      <c r="Y187" s="21"/>
      <c r="Z187" s="29"/>
      <c r="AB187" s="27" t="s">
        <v>150</v>
      </c>
      <c r="AC187" s="28" t="s">
        <v>185</v>
      </c>
      <c r="AD187" s="28"/>
      <c r="AE187" s="21"/>
      <c r="AF187" s="28" t="s">
        <v>191</v>
      </c>
      <c r="AG187" s="21"/>
      <c r="AH187" s="21"/>
      <c r="AI187" s="29"/>
    </row>
    <row r="188" spans="1:35">
      <c r="A188" s="94">
        <f>B185+E185</f>
        <v>0</v>
      </c>
      <c r="B188" s="34">
        <f>G163</f>
        <v>0</v>
      </c>
      <c r="C188" s="34"/>
      <c r="D188" s="21"/>
      <c r="E188" s="34">
        <f>G167</f>
        <v>25900.003999999997</v>
      </c>
      <c r="F188" s="21"/>
      <c r="G188" s="21"/>
      <c r="H188" s="90"/>
      <c r="J188" s="94">
        <f>K185+N185</f>
        <v>1000</v>
      </c>
      <c r="K188" s="34">
        <f>P163</f>
        <v>-2000</v>
      </c>
      <c r="L188" s="34"/>
      <c r="M188" s="21"/>
      <c r="N188" s="34" t="e">
        <f>J185-J188-K188</f>
        <v>#VALUE!</v>
      </c>
      <c r="O188" s="21"/>
      <c r="P188" s="21"/>
      <c r="Q188" s="90"/>
      <c r="S188" s="94">
        <f>T185+W185</f>
        <v>1000</v>
      </c>
      <c r="T188" s="34">
        <f>Y163</f>
        <v>-2000</v>
      </c>
      <c r="U188" s="34"/>
      <c r="V188" s="21"/>
      <c r="W188" s="34" t="e">
        <f>S185-S188-T188</f>
        <v>#VALUE!</v>
      </c>
      <c r="X188" s="21"/>
      <c r="Y188" s="21"/>
      <c r="Z188" s="90"/>
      <c r="AB188" s="94">
        <f>AC185+AF185</f>
        <v>1000</v>
      </c>
      <c r="AC188" s="34">
        <f>AH163</f>
        <v>-2000</v>
      </c>
      <c r="AD188" s="34"/>
      <c r="AE188" s="21"/>
      <c r="AF188" s="34" t="e">
        <f>AB185-AB188-AC188</f>
        <v>#VALUE!</v>
      </c>
      <c r="AG188" s="21"/>
      <c r="AH188" s="21"/>
      <c r="AI188" s="90"/>
    </row>
    <row r="189" spans="1:35">
      <c r="A189" s="27"/>
      <c r="B189" s="28"/>
      <c r="C189" s="28"/>
      <c r="D189" s="21"/>
      <c r="E189" s="28"/>
      <c r="F189" s="21"/>
      <c r="G189" s="21"/>
      <c r="H189" s="29"/>
      <c r="J189" s="27"/>
      <c r="K189" s="28"/>
      <c r="L189" s="28"/>
      <c r="M189" s="21"/>
      <c r="N189" s="28"/>
      <c r="O189" s="21"/>
      <c r="P189" s="21"/>
      <c r="Q189" s="29"/>
      <c r="S189" s="27"/>
      <c r="T189" s="28"/>
      <c r="U189" s="28"/>
      <c r="V189" s="21"/>
      <c r="W189" s="28"/>
      <c r="X189" s="21"/>
      <c r="Y189" s="21"/>
      <c r="Z189" s="29"/>
      <c r="AB189" s="27"/>
      <c r="AC189" s="28"/>
      <c r="AD189" s="28"/>
      <c r="AE189" s="21"/>
      <c r="AF189" s="28"/>
      <c r="AG189" s="21"/>
      <c r="AH189" s="21"/>
      <c r="AI189" s="29"/>
    </row>
    <row r="190" spans="1:35">
      <c r="A190" s="27" t="s">
        <v>203</v>
      </c>
      <c r="B190" s="28" t="s">
        <v>66</v>
      </c>
      <c r="C190" s="28"/>
      <c r="D190" s="21"/>
      <c r="E190" s="28" t="s">
        <v>204</v>
      </c>
      <c r="F190" s="21"/>
      <c r="G190" s="21"/>
      <c r="H190" s="29"/>
      <c r="J190" s="27" t="s">
        <v>203</v>
      </c>
      <c r="K190" s="28" t="s">
        <v>66</v>
      </c>
      <c r="L190" s="28"/>
      <c r="M190" s="21"/>
      <c r="N190" s="28" t="s">
        <v>204</v>
      </c>
      <c r="O190" s="21"/>
      <c r="P190" s="21"/>
      <c r="Q190" s="29"/>
      <c r="S190" s="27" t="s">
        <v>203</v>
      </c>
      <c r="T190" s="28" t="s">
        <v>66</v>
      </c>
      <c r="U190" s="28"/>
      <c r="V190" s="21"/>
      <c r="W190" s="28" t="s">
        <v>204</v>
      </c>
      <c r="X190" s="21"/>
      <c r="Y190" s="21"/>
      <c r="Z190" s="29"/>
      <c r="AB190" s="27" t="s">
        <v>203</v>
      </c>
      <c r="AC190" s="28" t="s">
        <v>66</v>
      </c>
      <c r="AD190" s="28"/>
      <c r="AE190" s="21"/>
      <c r="AF190" s="28" t="s">
        <v>204</v>
      </c>
      <c r="AG190" s="21"/>
      <c r="AH190" s="21"/>
      <c r="AI190" s="29"/>
    </row>
    <row r="191" spans="1:35">
      <c r="A191" s="94">
        <f>(A176*B68)+E194-E188-A194</f>
        <v>-2980.4979624098414</v>
      </c>
      <c r="B191" s="34">
        <f>B123</f>
        <v>833.33333333333337</v>
      </c>
      <c r="C191" s="34"/>
      <c r="D191" s="21"/>
      <c r="E191" s="34">
        <f>E188+A191+(B191*1.2)+A194</f>
        <v>23929.506037590156</v>
      </c>
      <c r="F191" s="21"/>
      <c r="G191" s="21"/>
      <c r="H191" s="90"/>
      <c r="J191" s="94" t="e">
        <f>(J176*K68)+N194-N188-J194</f>
        <v>#VALUE!</v>
      </c>
      <c r="K191" s="34">
        <f>K123</f>
        <v>239.99</v>
      </c>
      <c r="L191" s="34"/>
      <c r="M191" s="21"/>
      <c r="N191" s="34" t="e">
        <f>N188+J191+K191+J194</f>
        <v>#VALUE!</v>
      </c>
      <c r="O191" s="21"/>
      <c r="P191" s="21"/>
      <c r="Q191" s="90"/>
      <c r="S191" s="94" t="e">
        <f>(S176*T68)+W194-W188-S194</f>
        <v>#VALUE!</v>
      </c>
      <c r="T191" s="34">
        <f>T123</f>
        <v>199.99</v>
      </c>
      <c r="U191" s="34"/>
      <c r="V191" s="21"/>
      <c r="W191" s="34" t="e">
        <f>W188+S191+T191+S194</f>
        <v>#VALUE!</v>
      </c>
      <c r="X191" s="21"/>
      <c r="Y191" s="21"/>
      <c r="Z191" s="90"/>
      <c r="AB191" s="94" t="e">
        <f>(AB176*AC68)+AF194-AF188-AB194</f>
        <v>#VALUE!</v>
      </c>
      <c r="AC191" s="34">
        <f>AC123</f>
        <v>239.99</v>
      </c>
      <c r="AD191" s="34"/>
      <c r="AE191" s="21"/>
      <c r="AF191" s="34" t="e">
        <f>AF188+AB191+AC191+AB194</f>
        <v>#VALUE!</v>
      </c>
      <c r="AG191" s="21"/>
      <c r="AH191" s="21"/>
      <c r="AI191" s="90"/>
    </row>
    <row r="192" spans="1:35">
      <c r="A192" s="27"/>
      <c r="B192" s="28"/>
      <c r="C192" s="28"/>
      <c r="D192" s="21"/>
      <c r="E192" s="28"/>
      <c r="F192" s="21"/>
      <c r="G192" s="21"/>
      <c r="H192" s="29"/>
      <c r="J192" s="27"/>
      <c r="K192" s="28"/>
      <c r="L192" s="28"/>
      <c r="M192" s="21"/>
      <c r="N192" s="28"/>
      <c r="O192" s="21"/>
      <c r="P192" s="21"/>
      <c r="Q192" s="29"/>
      <c r="S192" s="27"/>
      <c r="T192" s="28"/>
      <c r="U192" s="28"/>
      <c r="V192" s="21"/>
      <c r="W192" s="28"/>
      <c r="X192" s="21"/>
      <c r="Y192" s="21"/>
      <c r="Z192" s="29"/>
      <c r="AB192" s="27"/>
      <c r="AC192" s="28"/>
      <c r="AD192" s="28"/>
      <c r="AE192" s="21"/>
      <c r="AF192" s="28"/>
      <c r="AG192" s="21"/>
      <c r="AH192" s="21"/>
      <c r="AI192" s="29"/>
    </row>
    <row r="193" spans="1:35">
      <c r="A193" s="27" t="s">
        <v>205</v>
      </c>
      <c r="B193" s="28" t="s">
        <v>206</v>
      </c>
      <c r="C193" s="28"/>
      <c r="D193" s="21"/>
      <c r="E193" s="28" t="s">
        <v>207</v>
      </c>
      <c r="F193" s="21"/>
      <c r="G193" s="21"/>
      <c r="H193" s="29"/>
      <c r="J193" s="27" t="s">
        <v>205</v>
      </c>
      <c r="K193" s="28" t="s">
        <v>206</v>
      </c>
      <c r="L193" s="28"/>
      <c r="M193" s="21"/>
      <c r="N193" s="28" t="s">
        <v>207</v>
      </c>
      <c r="O193" s="21"/>
      <c r="P193" s="21"/>
      <c r="Q193" s="29"/>
      <c r="S193" s="27" t="s">
        <v>205</v>
      </c>
      <c r="T193" s="28" t="s">
        <v>206</v>
      </c>
      <c r="U193" s="28"/>
      <c r="V193" s="21"/>
      <c r="W193" s="28" t="s">
        <v>207</v>
      </c>
      <c r="X193" s="21"/>
      <c r="Y193" s="21"/>
      <c r="Z193" s="29"/>
      <c r="AB193" s="27" t="s">
        <v>205</v>
      </c>
      <c r="AC193" s="28" t="s">
        <v>206</v>
      </c>
      <c r="AD193" s="28"/>
      <c r="AE193" s="21"/>
      <c r="AF193" s="28" t="s">
        <v>207</v>
      </c>
      <c r="AG193" s="21"/>
      <c r="AH193" s="21"/>
      <c r="AI193" s="29"/>
    </row>
    <row r="194" spans="1:35">
      <c r="A194" s="94">
        <f>B69</f>
        <v>10</v>
      </c>
      <c r="B194" s="34">
        <f>A188+B191*1.2</f>
        <v>1000</v>
      </c>
      <c r="C194" s="34"/>
      <c r="D194" s="21"/>
      <c r="E194" s="34">
        <f>IF( E179=0, A194+E176, E179+A194)</f>
        <v>6010</v>
      </c>
      <c r="F194" s="21"/>
      <c r="G194" s="21"/>
      <c r="H194" s="90"/>
      <c r="J194" s="94">
        <f>K69</f>
        <v>20</v>
      </c>
      <c r="K194" s="34">
        <f>J188+K191</f>
        <v>1239.99</v>
      </c>
      <c r="L194" s="34"/>
      <c r="M194" s="21"/>
      <c r="N194" s="34">
        <f>N179+J194</f>
        <v>32</v>
      </c>
      <c r="O194" s="21"/>
      <c r="P194" s="21"/>
      <c r="Q194" s="90"/>
      <c r="S194" s="94">
        <f>T69</f>
        <v>10</v>
      </c>
      <c r="T194" s="34">
        <f>S188+T191</f>
        <v>1199.99</v>
      </c>
      <c r="U194" s="34"/>
      <c r="V194" s="21"/>
      <c r="W194" s="34">
        <f>W179+S194</f>
        <v>22</v>
      </c>
      <c r="X194" s="21"/>
      <c r="Y194" s="21"/>
      <c r="Z194" s="90"/>
      <c r="AB194" s="94">
        <f>AC69</f>
        <v>10</v>
      </c>
      <c r="AC194" s="34">
        <f>AB188+AC191</f>
        <v>1239.99</v>
      </c>
      <c r="AD194" s="34"/>
      <c r="AE194" s="21"/>
      <c r="AF194" s="34">
        <f>AF179+AB194</f>
        <v>22</v>
      </c>
      <c r="AG194" s="21"/>
      <c r="AH194" s="21"/>
      <c r="AI194" s="90"/>
    </row>
    <row r="195" spans="1:35">
      <c r="A195" s="27"/>
      <c r="B195" s="28"/>
      <c r="C195" s="28"/>
      <c r="D195" s="28"/>
      <c r="E195" s="21"/>
      <c r="F195" s="21"/>
      <c r="G195" s="21"/>
      <c r="H195" s="29"/>
      <c r="J195" s="27"/>
      <c r="K195" s="28"/>
      <c r="L195" s="28"/>
      <c r="M195" s="28"/>
      <c r="N195" s="21"/>
      <c r="O195" s="21"/>
      <c r="P195" s="21"/>
      <c r="Q195" s="29"/>
      <c r="S195" s="27"/>
      <c r="T195" s="28"/>
      <c r="U195" s="28"/>
      <c r="V195" s="28"/>
      <c r="W195" s="21"/>
      <c r="X195" s="28"/>
      <c r="Y195" s="28"/>
      <c r="Z195" s="29"/>
      <c r="AB195" s="27"/>
      <c r="AC195" s="28"/>
      <c r="AD195" s="28"/>
      <c r="AE195" s="28"/>
      <c r="AF195" s="21"/>
      <c r="AG195" s="21"/>
      <c r="AH195" s="21"/>
      <c r="AI195" s="29"/>
    </row>
    <row r="196" spans="1:35">
      <c r="A196" s="27" t="s">
        <v>208</v>
      </c>
      <c r="B196" s="28" t="s">
        <v>209</v>
      </c>
      <c r="C196" s="28"/>
      <c r="D196" s="28"/>
      <c r="E196" s="35" t="s">
        <v>210</v>
      </c>
      <c r="F196" s="21"/>
      <c r="G196" s="21"/>
      <c r="H196" s="29"/>
      <c r="J196" s="27" t="s">
        <v>208</v>
      </c>
      <c r="K196" s="28" t="s">
        <v>209</v>
      </c>
      <c r="L196" s="28"/>
      <c r="M196" s="28"/>
      <c r="N196" s="35" t="s">
        <v>210</v>
      </c>
      <c r="O196" s="21"/>
      <c r="P196" s="21"/>
      <c r="Q196" s="29"/>
      <c r="S196" s="27" t="s">
        <v>208</v>
      </c>
      <c r="T196" s="28" t="s">
        <v>209</v>
      </c>
      <c r="U196" s="28"/>
      <c r="V196" s="28"/>
      <c r="W196" s="35" t="s">
        <v>210</v>
      </c>
      <c r="X196" s="28"/>
      <c r="Y196" s="28"/>
      <c r="Z196" s="29"/>
      <c r="AB196" s="27" t="s">
        <v>208</v>
      </c>
      <c r="AC196" s="28" t="s">
        <v>209</v>
      </c>
      <c r="AD196" s="28"/>
      <c r="AE196" s="28"/>
      <c r="AF196" s="35" t="s">
        <v>210</v>
      </c>
      <c r="AG196" s="28"/>
      <c r="AH196" s="28"/>
      <c r="AI196" s="29"/>
    </row>
    <row r="197" spans="1:35">
      <c r="A197" s="94">
        <f>J18*0.000002*100</f>
        <v>7.4808000000000003</v>
      </c>
      <c r="B197" s="34">
        <f>(G167*B76)</f>
        <v>518.00007999999991</v>
      </c>
      <c r="C197" s="28"/>
      <c r="D197" s="28"/>
      <c r="E197" s="34">
        <f>K55*A117*0.1</f>
        <v>0</v>
      </c>
      <c r="F197" s="21"/>
      <c r="G197" s="21"/>
      <c r="H197" s="29"/>
      <c r="J197" s="94">
        <f>IF(N114="YES",H15*0.000002,0)</f>
        <v>0</v>
      </c>
      <c r="K197" s="34" t="e">
        <f>(P167*K76)/1.2</f>
        <v>#VALUE!</v>
      </c>
      <c r="L197" s="28"/>
      <c r="M197" s="28"/>
      <c r="N197" s="34">
        <f>(E40*J117)*0.1</f>
        <v>0</v>
      </c>
      <c r="O197" s="21"/>
      <c r="P197" s="21"/>
      <c r="Q197" s="29"/>
      <c r="S197" s="94">
        <f>IF(W114="YES",Z15*0.000002,0)</f>
        <v>0</v>
      </c>
      <c r="T197" s="34" t="e">
        <f>(Y167*T76)/1.2</f>
        <v>#VALUE!</v>
      </c>
      <c r="U197" s="28"/>
      <c r="V197" s="28"/>
      <c r="W197" s="34">
        <f>(E40*S117)*0.1</f>
        <v>0</v>
      </c>
      <c r="X197" s="28"/>
      <c r="Y197" s="28"/>
      <c r="Z197" s="29"/>
      <c r="AB197" s="94">
        <f>IF(AF114="YES",AI15*0.000002,0)</f>
        <v>0</v>
      </c>
      <c r="AC197" s="34" t="e">
        <f>(AH167*AC76)/1.2</f>
        <v>#VALUE!</v>
      </c>
      <c r="AD197" s="28"/>
      <c r="AE197" s="28"/>
      <c r="AF197" s="34">
        <f>(E40*AB117)*0.1</f>
        <v>0</v>
      </c>
      <c r="AG197" s="28"/>
      <c r="AH197" s="28"/>
      <c r="AI197" s="29"/>
    </row>
    <row r="198" spans="1:35">
      <c r="A198" s="94"/>
      <c r="B198" s="34"/>
      <c r="C198" s="28"/>
      <c r="D198" s="28"/>
      <c r="E198" s="21"/>
      <c r="F198" s="21"/>
      <c r="G198" s="21"/>
      <c r="H198" s="29"/>
      <c r="J198" s="94"/>
      <c r="K198" s="34"/>
      <c r="L198" s="28"/>
      <c r="M198" s="28"/>
      <c r="N198" s="21"/>
      <c r="O198" s="21"/>
      <c r="P198" s="21"/>
      <c r="Q198" s="29"/>
      <c r="S198" s="94"/>
      <c r="T198" s="34"/>
      <c r="U198" s="28"/>
      <c r="V198" s="28"/>
      <c r="W198" s="21"/>
      <c r="X198" s="28"/>
      <c r="Y198" s="28"/>
      <c r="Z198" s="29"/>
      <c r="AB198" s="94"/>
      <c r="AC198" s="34"/>
      <c r="AD198" s="28"/>
      <c r="AE198" s="28"/>
      <c r="AF198" s="21"/>
      <c r="AG198" s="28"/>
      <c r="AH198" s="28"/>
      <c r="AI198" s="29"/>
    </row>
    <row r="199" spans="1:35">
      <c r="A199" s="53" t="s">
        <v>211</v>
      </c>
      <c r="B199" s="35" t="s">
        <v>212</v>
      </c>
      <c r="C199" s="28"/>
      <c r="D199" s="28"/>
      <c r="E199" s="35" t="s">
        <v>213</v>
      </c>
      <c r="F199" s="21"/>
      <c r="G199" s="21"/>
      <c r="H199" s="29"/>
      <c r="J199" s="53" t="s">
        <v>211</v>
      </c>
      <c r="K199" s="35" t="s">
        <v>212</v>
      </c>
      <c r="L199" s="28"/>
      <c r="M199" s="28"/>
      <c r="N199" s="35" t="s">
        <v>213</v>
      </c>
      <c r="O199" s="21"/>
      <c r="P199" s="21"/>
      <c r="Q199" s="29"/>
      <c r="S199" s="53" t="s">
        <v>211</v>
      </c>
      <c r="T199" s="35" t="s">
        <v>212</v>
      </c>
      <c r="U199" s="28"/>
      <c r="V199" s="28"/>
      <c r="W199" s="35" t="s">
        <v>213</v>
      </c>
      <c r="X199" s="28"/>
      <c r="Y199" s="28"/>
      <c r="Z199" s="29"/>
      <c r="AB199" s="53" t="s">
        <v>211</v>
      </c>
      <c r="AC199" s="35" t="s">
        <v>212</v>
      </c>
      <c r="AD199" s="28"/>
      <c r="AE199" s="28"/>
      <c r="AF199" s="35" t="s">
        <v>213</v>
      </c>
      <c r="AG199" s="28"/>
      <c r="AH199" s="28"/>
      <c r="AI199" s="29"/>
    </row>
    <row r="200" spans="1:35">
      <c r="A200" s="94">
        <v>10</v>
      </c>
      <c r="B200" s="34">
        <f>B197+E197+A200</f>
        <v>528.00007999999991</v>
      </c>
      <c r="C200" s="28"/>
      <c r="D200" s="28"/>
      <c r="E200" s="34">
        <f>H157</f>
        <v>1916.6699999999973</v>
      </c>
      <c r="F200" s="21"/>
      <c r="G200" s="21"/>
      <c r="H200" s="29"/>
      <c r="J200" s="94">
        <f>K194-100</f>
        <v>1139.99</v>
      </c>
      <c r="K200" s="34" t="e">
        <f>K197+N197+J200</f>
        <v>#VALUE!</v>
      </c>
      <c r="L200" s="28"/>
      <c r="M200" s="28"/>
      <c r="N200" s="34" t="e">
        <f>Q157</f>
        <v>#VALUE!</v>
      </c>
      <c r="O200" s="21"/>
      <c r="P200" s="21"/>
      <c r="Q200" s="29"/>
      <c r="S200" s="94">
        <f>T194-100</f>
        <v>1099.99</v>
      </c>
      <c r="T200" s="34" t="e">
        <f>T197+W197+S200</f>
        <v>#VALUE!</v>
      </c>
      <c r="U200" s="28"/>
      <c r="V200" s="28"/>
      <c r="W200" s="34" t="e">
        <f>Z157</f>
        <v>#VALUE!</v>
      </c>
      <c r="X200" s="28"/>
      <c r="Y200" s="28"/>
      <c r="Z200" s="29"/>
      <c r="AB200" s="94">
        <f>AC194-100</f>
        <v>1139.99</v>
      </c>
      <c r="AC200" s="34" t="e">
        <f>AC197+AF197+AB200</f>
        <v>#VALUE!</v>
      </c>
      <c r="AD200" s="28"/>
      <c r="AE200" s="28"/>
      <c r="AF200" s="34" t="e">
        <f>AI157</f>
        <v>#VALUE!</v>
      </c>
      <c r="AG200" s="28"/>
      <c r="AH200" s="28"/>
      <c r="AI200" s="29"/>
    </row>
    <row r="201" spans="1:35">
      <c r="A201" s="27"/>
      <c r="B201" s="28"/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58" t="s">
        <v>214</v>
      </c>
      <c r="B202" s="28"/>
      <c r="C202" s="28"/>
      <c r="D202" s="59"/>
      <c r="E202" s="59"/>
      <c r="F202" s="59"/>
      <c r="G202" s="59"/>
      <c r="H202" s="60"/>
      <c r="J202" s="58" t="s">
        <v>214</v>
      </c>
      <c r="K202" s="28"/>
      <c r="L202" s="28"/>
      <c r="M202" s="59"/>
      <c r="N202" s="59"/>
      <c r="O202" s="59"/>
      <c r="P202" s="59"/>
      <c r="Q202" s="60"/>
      <c r="S202" s="58" t="s">
        <v>214</v>
      </c>
      <c r="T202" s="28"/>
      <c r="U202" s="28"/>
      <c r="V202" s="59"/>
      <c r="W202" s="59"/>
      <c r="X202" s="59"/>
      <c r="Y202" s="59"/>
      <c r="Z202" s="60"/>
      <c r="AB202" s="58" t="s">
        <v>214</v>
      </c>
      <c r="AC202" s="28"/>
      <c r="AD202" s="28"/>
      <c r="AE202" s="59"/>
      <c r="AF202" s="59"/>
      <c r="AG202" s="59"/>
      <c r="AH202" s="59"/>
      <c r="AI202" s="60"/>
    </row>
    <row r="203" spans="1:35">
      <c r="A203" s="27"/>
      <c r="B203" s="61"/>
      <c r="C203" s="61"/>
      <c r="D203" s="28"/>
      <c r="E203" s="21"/>
      <c r="F203" s="21"/>
      <c r="G203" s="21"/>
      <c r="H203" s="29"/>
      <c r="J203" s="27"/>
      <c r="K203" s="61"/>
      <c r="L203" s="61"/>
      <c r="M203" s="28"/>
      <c r="N203" s="21"/>
      <c r="O203" s="21"/>
      <c r="P203" s="21"/>
      <c r="Q203" s="29"/>
      <c r="S203" s="27"/>
      <c r="T203" s="61"/>
      <c r="U203" s="61"/>
      <c r="V203" s="28"/>
      <c r="W203" s="21"/>
      <c r="X203" s="21"/>
      <c r="Y203" s="21"/>
      <c r="Z203" s="29"/>
      <c r="AB203" s="27"/>
      <c r="AC203" s="61"/>
      <c r="AD203" s="61"/>
      <c r="AE203" s="28"/>
      <c r="AF203" s="21"/>
      <c r="AG203" s="21"/>
      <c r="AH203" s="21"/>
      <c r="AI203" s="29"/>
    </row>
    <row r="204" spans="1:35" ht="21">
      <c r="A204" s="369" t="s">
        <v>94</v>
      </c>
      <c r="B204" s="341" t="s">
        <v>95</v>
      </c>
      <c r="C204" s="341"/>
      <c r="D204" s="341"/>
      <c r="E204" s="21"/>
      <c r="F204" s="21"/>
      <c r="G204" s="21"/>
      <c r="H204" s="29"/>
      <c r="J204" s="369" t="s">
        <v>94</v>
      </c>
      <c r="K204" s="370" t="s">
        <v>95</v>
      </c>
      <c r="L204" s="370"/>
      <c r="M204" s="370"/>
      <c r="N204" s="21"/>
      <c r="O204" s="21"/>
      <c r="P204" s="21"/>
      <c r="Q204" s="29"/>
      <c r="S204" s="369" t="s">
        <v>94</v>
      </c>
      <c r="T204" s="341" t="s">
        <v>95</v>
      </c>
      <c r="U204" s="341"/>
      <c r="V204" s="341"/>
      <c r="W204" s="21"/>
      <c r="X204" s="21"/>
      <c r="Y204" s="21"/>
      <c r="Z204" s="29"/>
      <c r="AB204" s="369" t="s">
        <v>94</v>
      </c>
      <c r="AC204" s="341" t="s">
        <v>95</v>
      </c>
      <c r="AD204" s="341"/>
      <c r="AE204" s="341"/>
      <c r="AF204" s="21"/>
      <c r="AG204" s="21"/>
      <c r="AH204" s="21"/>
      <c r="AI204" s="29"/>
    </row>
    <row r="205" spans="1:35" ht="19.5" customHeight="1">
      <c r="A205" s="369"/>
      <c r="B205" s="342" t="str">
        <f>K30</f>
        <v>5000</v>
      </c>
      <c r="C205" s="342"/>
      <c r="D205" s="342"/>
      <c r="E205" s="21"/>
      <c r="F205" s="21"/>
      <c r="G205" s="21"/>
      <c r="H205" s="29"/>
      <c r="J205" s="369"/>
      <c r="K205" s="371" t="str">
        <f>K30</f>
        <v>5000</v>
      </c>
      <c r="L205" s="371"/>
      <c r="M205" s="371"/>
      <c r="N205" s="21"/>
      <c r="O205" s="21"/>
      <c r="P205" s="21"/>
      <c r="Q205" s="29"/>
      <c r="S205" s="369"/>
      <c r="T205" s="342" t="str">
        <f>K30</f>
        <v>5000</v>
      </c>
      <c r="U205" s="342"/>
      <c r="V205" s="342"/>
      <c r="W205" s="21"/>
      <c r="X205" s="21"/>
      <c r="Y205" s="21"/>
      <c r="Z205" s="29"/>
      <c r="AB205" s="369"/>
      <c r="AC205" s="342" t="str">
        <f>K30</f>
        <v>5000</v>
      </c>
      <c r="AD205" s="342"/>
      <c r="AE205" s="342"/>
      <c r="AF205" s="21"/>
      <c r="AG205" s="21"/>
      <c r="AH205" s="21"/>
      <c r="AI205" s="29"/>
    </row>
    <row r="206" spans="1:35">
      <c r="A206" s="62" t="str">
        <f>K29</f>
        <v>12</v>
      </c>
      <c r="B206" s="343">
        <f>B105</f>
        <v>1538.136912508196</v>
      </c>
      <c r="C206" s="343"/>
      <c r="D206" s="343"/>
      <c r="E206" s="21"/>
      <c r="F206" s="21"/>
      <c r="G206" s="21"/>
      <c r="H206" s="29"/>
      <c r="J206" s="62" t="str">
        <f>K29</f>
        <v>12</v>
      </c>
      <c r="K206" s="343" t="e">
        <f>K105</f>
        <v>#VALUE!</v>
      </c>
      <c r="L206" s="343"/>
      <c r="M206" s="343"/>
      <c r="N206" s="21"/>
      <c r="O206" s="21"/>
      <c r="P206" s="21"/>
      <c r="Q206" s="29"/>
      <c r="S206" s="62" t="str">
        <f>K29</f>
        <v>12</v>
      </c>
      <c r="T206" s="343" t="e">
        <f>T105</f>
        <v>#VALUE!</v>
      </c>
      <c r="U206" s="343"/>
      <c r="V206" s="343"/>
      <c r="W206" s="21"/>
      <c r="X206" s="21"/>
      <c r="Y206" s="21"/>
      <c r="Z206" s="29"/>
      <c r="AB206" s="62" t="str">
        <f>K29</f>
        <v>12</v>
      </c>
      <c r="AC206" s="343" t="e">
        <f>AC105</f>
        <v>#VALUE!</v>
      </c>
      <c r="AD206" s="343"/>
      <c r="AE206" s="343"/>
      <c r="AF206" s="21"/>
      <c r="AG206" s="21"/>
      <c r="AH206" s="21"/>
      <c r="AI206" s="29"/>
    </row>
    <row r="207" spans="1:35">
      <c r="A207" s="27"/>
      <c r="B207" s="28"/>
      <c r="C207" s="28"/>
      <c r="D207" s="28"/>
      <c r="E207" s="21"/>
      <c r="F207" s="21"/>
      <c r="G207" s="21"/>
      <c r="H207" s="29"/>
      <c r="J207" s="27"/>
      <c r="K207" s="28"/>
      <c r="L207" s="28"/>
      <c r="M207" s="28"/>
      <c r="N207" s="21"/>
      <c r="O207" s="21"/>
      <c r="P207" s="21"/>
      <c r="Q207" s="29"/>
      <c r="S207" s="27"/>
      <c r="T207" s="28"/>
      <c r="U207" s="28"/>
      <c r="V207" s="28"/>
      <c r="W207" s="21"/>
      <c r="X207" s="21"/>
      <c r="Y207" s="21"/>
      <c r="Z207" s="29"/>
      <c r="AB207" s="27"/>
      <c r="AC207" s="28"/>
      <c r="AD207" s="28"/>
      <c r="AE207" s="28"/>
      <c r="AF207" s="21"/>
      <c r="AG207" s="21"/>
      <c r="AH207" s="21"/>
      <c r="AI207" s="29"/>
    </row>
    <row r="208" spans="1:35">
      <c r="A208" s="27"/>
      <c r="B208" s="28"/>
      <c r="C208" s="28"/>
      <c r="D208" s="28"/>
      <c r="E208" s="21"/>
      <c r="F208" s="21"/>
      <c r="G208" s="21"/>
      <c r="H208" s="29"/>
      <c r="J208" s="27"/>
      <c r="K208" s="28"/>
      <c r="L208" s="28"/>
      <c r="M208" s="28"/>
      <c r="N208" s="21"/>
      <c r="O208" s="21"/>
      <c r="P208" s="21"/>
      <c r="Q208" s="29"/>
      <c r="S208" s="27"/>
      <c r="T208" s="28"/>
      <c r="U208" s="28"/>
      <c r="V208" s="28"/>
      <c r="W208" s="21"/>
      <c r="X208" s="21"/>
      <c r="Y208" s="21"/>
      <c r="Z208" s="29"/>
      <c r="AB208" s="27"/>
      <c r="AC208" s="28"/>
      <c r="AD208" s="28"/>
      <c r="AE208" s="28"/>
      <c r="AF208" s="21"/>
      <c r="AG208" s="21"/>
      <c r="AH208" s="21"/>
      <c r="AI208" s="29"/>
    </row>
    <row r="209" spans="1:35">
      <c r="A209" s="27" t="s">
        <v>215</v>
      </c>
      <c r="B209" s="28" t="s">
        <v>216</v>
      </c>
      <c r="C209" s="28"/>
      <c r="D209" s="28"/>
      <c r="E209" s="21"/>
      <c r="F209" s="21"/>
      <c r="G209" s="21"/>
      <c r="H209" s="29"/>
      <c r="J209" s="27"/>
      <c r="K209" s="28"/>
      <c r="L209" s="28"/>
      <c r="M209" s="28"/>
      <c r="N209" s="21"/>
      <c r="O209" s="21"/>
      <c r="P209" s="21"/>
      <c r="Q209" s="29"/>
      <c r="S209" s="27"/>
      <c r="T209" s="28"/>
      <c r="U209" s="28"/>
      <c r="V209" s="28"/>
      <c r="W209" s="21"/>
      <c r="X209" s="21"/>
      <c r="Y209" s="21"/>
      <c r="Z209" s="29"/>
      <c r="AB209" s="27"/>
      <c r="AC209" s="28"/>
      <c r="AD209" s="28"/>
      <c r="AE209" s="28"/>
      <c r="AF209" s="21"/>
      <c r="AG209" s="21"/>
      <c r="AH209" s="21"/>
      <c r="AI209" s="29"/>
    </row>
    <row r="210" spans="1:35">
      <c r="A210" s="32">
        <f>IF(A49=0,((G176*(B68+1))-E188),((G176*B68)+E194-E188-A194))</f>
        <v>-3812.6139999999978</v>
      </c>
      <c r="B210" s="38">
        <f>E188+A210+(B191*1.2)+A194</f>
        <v>23097.39</v>
      </c>
      <c r="C210" s="28"/>
      <c r="D210" s="28"/>
      <c r="E210" s="21"/>
      <c r="F210" s="21"/>
      <c r="G210" s="21"/>
      <c r="H210" s="29"/>
      <c r="J210" s="27"/>
      <c r="K210" s="28"/>
      <c r="L210" s="28"/>
      <c r="M210" s="28"/>
      <c r="N210" s="21"/>
      <c r="O210" s="21"/>
      <c r="P210" s="21"/>
      <c r="Q210" s="29"/>
      <c r="S210" s="27"/>
      <c r="T210" s="28"/>
      <c r="U210" s="28"/>
      <c r="V210" s="28"/>
      <c r="W210" s="21"/>
      <c r="X210" s="21"/>
      <c r="Y210" s="21"/>
      <c r="Z210" s="29"/>
      <c r="AB210" s="27"/>
      <c r="AC210" s="28"/>
      <c r="AD210" s="28"/>
      <c r="AE210" s="28"/>
      <c r="AF210" s="21"/>
      <c r="AG210" s="21"/>
      <c r="AH210" s="21"/>
      <c r="AI210" s="29"/>
    </row>
    <row r="211" spans="1:35">
      <c r="A211" s="49"/>
      <c r="B211" s="50"/>
      <c r="C211" s="50"/>
      <c r="D211" s="50"/>
      <c r="E211" s="50"/>
      <c r="F211" s="50"/>
      <c r="G211" s="50"/>
      <c r="H211" s="57"/>
      <c r="J211" s="49"/>
      <c r="K211" s="50"/>
      <c r="L211" s="50"/>
      <c r="M211" s="50"/>
      <c r="N211" s="50"/>
      <c r="O211" s="50"/>
      <c r="P211" s="50"/>
      <c r="Q211" s="57"/>
      <c r="S211" s="49"/>
      <c r="T211" s="50"/>
      <c r="U211" s="50"/>
      <c r="V211" s="50"/>
      <c r="W211" s="50"/>
      <c r="X211" s="50"/>
      <c r="Y211" s="50"/>
      <c r="Z211" s="57"/>
      <c r="AB211" s="49"/>
      <c r="AC211" s="50"/>
      <c r="AD211" s="50"/>
      <c r="AE211" s="50"/>
      <c r="AF211" s="50"/>
      <c r="AG211" s="50"/>
      <c r="AH211" s="50"/>
      <c r="AI211" s="57"/>
    </row>
    <row r="215" spans="1:35" ht="23.25">
      <c r="A215" s="372" t="s">
        <v>192</v>
      </c>
      <c r="B215" s="372"/>
      <c r="C215" s="372"/>
      <c r="D215" s="372"/>
      <c r="E215" s="372"/>
      <c r="F215" s="372"/>
      <c r="G215" s="372"/>
      <c r="H215" s="372"/>
    </row>
    <row r="216" spans="1:35">
      <c r="A216" s="27"/>
      <c r="B216" s="28"/>
      <c r="C216" s="28"/>
      <c r="D216" s="28"/>
      <c r="E216" s="21"/>
      <c r="F216" s="21"/>
      <c r="G216" s="21"/>
      <c r="H216" s="29"/>
    </row>
    <row r="217" spans="1:35">
      <c r="A217" s="139" t="s">
        <v>137</v>
      </c>
      <c r="B217" s="140" t="s">
        <v>52</v>
      </c>
      <c r="C217" s="140"/>
      <c r="D217" s="140"/>
      <c r="E217" s="140" t="s">
        <v>53</v>
      </c>
      <c r="F217" s="141"/>
      <c r="G217" s="21"/>
      <c r="H217" s="29"/>
    </row>
    <row r="218" spans="1:35">
      <c r="A218" s="142" t="s">
        <v>217</v>
      </c>
      <c r="B218" s="131" t="str">
        <f>A206</f>
        <v>12</v>
      </c>
      <c r="C218" s="131"/>
      <c r="D218" s="131"/>
      <c r="E218" s="131" t="str">
        <f>B205</f>
        <v>5000</v>
      </c>
      <c r="F218" s="141"/>
      <c r="G218" s="21"/>
      <c r="H218" s="29"/>
    </row>
    <row r="219" spans="1:35">
      <c r="A219" s="27"/>
      <c r="B219" s="28"/>
      <c r="C219" s="28"/>
      <c r="D219" s="28"/>
      <c r="E219" s="21"/>
      <c r="F219" s="21"/>
      <c r="G219" s="21"/>
      <c r="H219" s="29"/>
    </row>
    <row r="220" spans="1:35">
      <c r="A220" s="139" t="s">
        <v>194</v>
      </c>
      <c r="B220" s="140" t="s">
        <v>195</v>
      </c>
      <c r="C220" s="140"/>
      <c r="D220" s="140"/>
      <c r="E220" s="140" t="s">
        <v>196</v>
      </c>
      <c r="F220" s="21"/>
      <c r="G220" s="21"/>
      <c r="H220" s="29"/>
    </row>
    <row r="221" spans="1:35">
      <c r="A221" s="132">
        <f>A176</f>
        <v>1538.136912508196</v>
      </c>
      <c r="B221" s="133">
        <f>B176</f>
        <v>0</v>
      </c>
      <c r="C221" s="131"/>
      <c r="D221" s="131"/>
      <c r="E221" s="133">
        <f>E176</f>
        <v>1538.136912508196</v>
      </c>
      <c r="F221" s="21"/>
      <c r="G221" s="21"/>
      <c r="H221" s="29"/>
    </row>
    <row r="222" spans="1:35">
      <c r="A222" s="27"/>
      <c r="B222" s="28"/>
      <c r="C222" s="28"/>
      <c r="D222" s="28"/>
      <c r="E222" s="21"/>
      <c r="F222" s="21"/>
      <c r="G222" s="21"/>
      <c r="H222" s="29"/>
    </row>
    <row r="223" spans="1:35">
      <c r="A223" s="27" t="s">
        <v>199</v>
      </c>
      <c r="B223" s="28" t="s">
        <v>200</v>
      </c>
      <c r="C223" s="28"/>
      <c r="D223" s="21"/>
      <c r="E223" s="28" t="s">
        <v>201</v>
      </c>
      <c r="F223" s="21"/>
      <c r="G223" s="21"/>
      <c r="H223" s="29"/>
    </row>
    <row r="224" spans="1:35">
      <c r="A224" s="138">
        <f>A182</f>
        <v>20416.669999999998</v>
      </c>
      <c r="B224" s="34">
        <f>B182</f>
        <v>4083.3339999999998</v>
      </c>
      <c r="C224" s="38"/>
      <c r="D224" s="21"/>
      <c r="E224" s="137">
        <f>E182</f>
        <v>0</v>
      </c>
      <c r="F224" s="21"/>
      <c r="G224" s="21"/>
      <c r="H224" s="29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202</v>
      </c>
      <c r="B226" s="28" t="s">
        <v>148</v>
      </c>
      <c r="C226" s="28"/>
      <c r="D226" s="21"/>
      <c r="E226" s="28" t="s">
        <v>149</v>
      </c>
      <c r="F226" s="21"/>
      <c r="G226" s="21"/>
      <c r="H226" s="29"/>
    </row>
    <row r="227" spans="1:8">
      <c r="A227" s="138">
        <f>A185</f>
        <v>24500.003999999997</v>
      </c>
      <c r="B227" s="34">
        <f>B185</f>
        <v>0</v>
      </c>
      <c r="C227" s="34"/>
      <c r="D227" s="21"/>
      <c r="E227" s="34">
        <f>E185</f>
        <v>0</v>
      </c>
      <c r="F227" s="21"/>
      <c r="G227" s="21"/>
      <c r="H227" s="90"/>
    </row>
    <row r="228" spans="1:8">
      <c r="A228" s="27"/>
      <c r="B228" s="28"/>
      <c r="C228" s="28"/>
      <c r="D228" s="21"/>
      <c r="E228" s="28"/>
      <c r="F228" s="21"/>
      <c r="G228" s="21"/>
      <c r="H228" s="29"/>
    </row>
    <row r="229" spans="1:8">
      <c r="A229" s="27" t="s">
        <v>150</v>
      </c>
      <c r="B229" s="28" t="s">
        <v>185</v>
      </c>
      <c r="C229" s="28"/>
      <c r="D229" s="21"/>
      <c r="E229" s="28" t="s">
        <v>191</v>
      </c>
      <c r="F229" s="21"/>
      <c r="G229" s="21"/>
      <c r="H229" s="29"/>
    </row>
    <row r="230" spans="1:8">
      <c r="A230" s="94">
        <f>A188</f>
        <v>0</v>
      </c>
      <c r="B230" s="34">
        <f>B188</f>
        <v>0</v>
      </c>
      <c r="C230" s="34"/>
      <c r="D230" s="21"/>
      <c r="E230" s="34">
        <f>E188</f>
        <v>25900.003999999997</v>
      </c>
      <c r="F230" s="21"/>
      <c r="G230" s="21"/>
      <c r="H230" s="90"/>
    </row>
    <row r="231" spans="1:8">
      <c r="A231" s="27"/>
      <c r="B231" s="28"/>
      <c r="C231" s="28"/>
      <c r="D231" s="21"/>
      <c r="E231" s="28"/>
      <c r="F231" s="21"/>
      <c r="G231" s="21"/>
      <c r="H231" s="29"/>
    </row>
    <row r="232" spans="1:8">
      <c r="A232" s="27" t="s">
        <v>203</v>
      </c>
      <c r="B232" s="28" t="s">
        <v>66</v>
      </c>
      <c r="C232" s="28"/>
      <c r="D232" s="21"/>
      <c r="E232" s="28" t="s">
        <v>204</v>
      </c>
      <c r="F232" s="21"/>
      <c r="G232" s="21"/>
      <c r="H232" s="29"/>
    </row>
    <row r="233" spans="1:8">
      <c r="A233" s="94">
        <f>A191</f>
        <v>-2980.4979624098414</v>
      </c>
      <c r="B233" s="34">
        <f>B191</f>
        <v>833.33333333333337</v>
      </c>
      <c r="C233" s="34"/>
      <c r="D233" s="21"/>
      <c r="E233" s="34">
        <f>E191</f>
        <v>23929.506037590156</v>
      </c>
      <c r="F233" s="21"/>
      <c r="G233" s="21"/>
      <c r="H233" s="90"/>
    </row>
    <row r="234" spans="1:8">
      <c r="A234" s="27"/>
      <c r="B234" s="28"/>
      <c r="C234" s="28"/>
      <c r="D234" s="21"/>
      <c r="E234" s="28"/>
      <c r="F234" s="21"/>
      <c r="G234" s="21"/>
      <c r="H234" s="29"/>
    </row>
    <row r="235" spans="1:8">
      <c r="A235" s="27" t="s">
        <v>205</v>
      </c>
      <c r="B235" s="28" t="s">
        <v>206</v>
      </c>
      <c r="C235" s="28"/>
      <c r="D235" s="21"/>
      <c r="E235" s="28" t="s">
        <v>218</v>
      </c>
      <c r="F235" s="21"/>
      <c r="G235" s="21"/>
      <c r="H235" s="29"/>
    </row>
    <row r="236" spans="1:8">
      <c r="A236" s="94">
        <f>A194</f>
        <v>10</v>
      </c>
      <c r="B236" s="34">
        <f>B194</f>
        <v>1000</v>
      </c>
      <c r="C236" s="34"/>
      <c r="D236" s="21"/>
      <c r="E236" s="34">
        <f>B68</f>
        <v>11</v>
      </c>
      <c r="F236" s="21"/>
      <c r="G236" s="21"/>
      <c r="H236" s="90"/>
    </row>
    <row r="237" spans="1:8">
      <c r="A237" s="27"/>
      <c r="B237" s="28"/>
      <c r="C237" s="28"/>
      <c r="D237" s="28"/>
      <c r="E237" s="21"/>
      <c r="F237" s="21"/>
      <c r="G237" s="21"/>
      <c r="H237" s="29"/>
    </row>
    <row r="238" spans="1:8">
      <c r="A238" s="27" t="s">
        <v>194</v>
      </c>
      <c r="B238" s="28" t="s">
        <v>195</v>
      </c>
      <c r="C238" s="28"/>
      <c r="D238" s="28"/>
      <c r="E238" s="28" t="s">
        <v>196</v>
      </c>
      <c r="F238" s="21"/>
      <c r="G238" s="21"/>
      <c r="H238" s="29"/>
    </row>
    <row r="239" spans="1:8">
      <c r="A239" s="94">
        <f>A176</f>
        <v>1538.136912508196</v>
      </c>
      <c r="B239" s="34">
        <f>B176</f>
        <v>0</v>
      </c>
      <c r="C239" s="38"/>
      <c r="D239" s="38"/>
      <c r="E239" s="34">
        <f>E176</f>
        <v>1538.136912508196</v>
      </c>
      <c r="F239" s="21"/>
      <c r="G239" s="21"/>
      <c r="H239" s="29"/>
    </row>
    <row r="240" spans="1:8">
      <c r="A240" s="27"/>
      <c r="B240" s="28"/>
      <c r="C240" s="28"/>
      <c r="D240" s="28"/>
      <c r="E240" s="21"/>
      <c r="F240" s="21"/>
      <c r="G240" s="21"/>
      <c r="H240" s="29"/>
    </row>
    <row r="241" spans="1:8">
      <c r="A241" s="27" t="s">
        <v>219</v>
      </c>
      <c r="B241" s="28" t="s">
        <v>220</v>
      </c>
      <c r="C241" s="28"/>
      <c r="D241" s="28"/>
      <c r="E241" s="28" t="s">
        <v>80</v>
      </c>
      <c r="F241" s="21"/>
      <c r="G241" s="21"/>
      <c r="H241" s="29"/>
    </row>
    <row r="242" spans="1:8">
      <c r="A242" s="94">
        <f>E179</f>
        <v>6000</v>
      </c>
      <c r="B242" s="34">
        <f>E194</f>
        <v>6010</v>
      </c>
      <c r="C242" s="28"/>
      <c r="D242" s="28"/>
      <c r="E242" s="34">
        <f>J18*0.000006*100</f>
        <v>22.442400000000003</v>
      </c>
      <c r="F242" s="21"/>
      <c r="G242" s="21"/>
      <c r="H242" s="29"/>
    </row>
    <row r="243" spans="1:8">
      <c r="A243" s="94"/>
      <c r="B243" s="34"/>
      <c r="C243" s="28"/>
      <c r="D243" s="28"/>
      <c r="E243" s="34"/>
      <c r="F243" s="21"/>
      <c r="G243" s="21"/>
      <c r="H243" s="29"/>
    </row>
    <row r="244" spans="1:8">
      <c r="A244" s="53" t="s">
        <v>221</v>
      </c>
      <c r="B244" s="35" t="s">
        <v>85</v>
      </c>
      <c r="C244" s="28"/>
      <c r="D244" s="28"/>
      <c r="E244" s="35" t="s">
        <v>142</v>
      </c>
      <c r="F244" s="21"/>
      <c r="G244" s="21"/>
      <c r="H244" s="29"/>
    </row>
    <row r="245" spans="1:8">
      <c r="A245" s="94">
        <f>A197</f>
        <v>7.4808000000000003</v>
      </c>
      <c r="B245" s="34">
        <f>E242+A245</f>
        <v>29.923200000000001</v>
      </c>
      <c r="C245" s="28"/>
      <c r="D245" s="28"/>
      <c r="E245" s="34"/>
      <c r="F245" s="21"/>
      <c r="G245" s="21"/>
      <c r="H245" s="29"/>
    </row>
    <row r="246" spans="1:8">
      <c r="A246" s="94"/>
      <c r="B246" s="34"/>
      <c r="C246" s="28"/>
      <c r="D246" s="28"/>
      <c r="E246" s="34"/>
      <c r="F246" s="21"/>
      <c r="G246" s="21"/>
      <c r="H246" s="29"/>
    </row>
    <row r="247" spans="1:8" ht="23.25">
      <c r="A247" s="373" t="s">
        <v>222</v>
      </c>
      <c r="B247" s="373"/>
      <c r="C247" s="373"/>
      <c r="D247" s="373"/>
      <c r="E247" s="373"/>
      <c r="F247" s="373"/>
      <c r="G247" s="373"/>
      <c r="H247" s="373"/>
    </row>
    <row r="248" spans="1:8">
      <c r="A248" s="27" t="s">
        <v>223</v>
      </c>
      <c r="B248" s="28" t="s">
        <v>209</v>
      </c>
      <c r="C248" s="28"/>
      <c r="D248" s="28"/>
      <c r="E248" s="35" t="s">
        <v>210</v>
      </c>
      <c r="F248" s="21"/>
      <c r="G248" s="21"/>
      <c r="H248" s="29"/>
    </row>
    <row r="249" spans="1:8">
      <c r="A249" s="94">
        <f>H157</f>
        <v>1916.6699999999973</v>
      </c>
      <c r="B249" s="34">
        <f>B197</f>
        <v>518.00007999999991</v>
      </c>
      <c r="C249" s="28"/>
      <c r="D249" s="28"/>
      <c r="E249" s="34">
        <f>E197</f>
        <v>0</v>
      </c>
      <c r="F249" s="21"/>
      <c r="G249" s="21"/>
      <c r="H249" s="29"/>
    </row>
    <row r="250" spans="1:8">
      <c r="A250" s="94"/>
      <c r="B250" s="34"/>
      <c r="C250" s="28"/>
      <c r="D250" s="28"/>
      <c r="E250" s="21"/>
      <c r="F250" s="21"/>
      <c r="G250" s="21"/>
      <c r="H250" s="29"/>
    </row>
    <row r="251" spans="1:8">
      <c r="A251" s="53" t="s">
        <v>211</v>
      </c>
      <c r="B251" s="35" t="s">
        <v>212</v>
      </c>
      <c r="C251" s="28"/>
      <c r="D251" s="28"/>
      <c r="E251" s="35"/>
      <c r="F251" s="21"/>
      <c r="G251" s="21"/>
      <c r="H251" s="29"/>
    </row>
    <row r="252" spans="1:8">
      <c r="A252" s="94">
        <f>A200</f>
        <v>10</v>
      </c>
      <c r="B252" s="34">
        <f>B249+E249+A252+A249-H165</f>
        <v>1044.6700799999971</v>
      </c>
      <c r="C252" s="28"/>
      <c r="D252" s="28"/>
      <c r="E252" s="34"/>
      <c r="F252" s="21"/>
      <c r="G252" s="21"/>
      <c r="H252" s="29"/>
    </row>
    <row r="253" spans="1:8">
      <c r="A253" s="27"/>
      <c r="B253" s="28"/>
      <c r="C253" s="28"/>
      <c r="D253" s="28"/>
      <c r="E253" s="21"/>
      <c r="F253" s="21"/>
      <c r="G253" s="21"/>
      <c r="H253" s="29"/>
    </row>
    <row r="254" spans="1:8">
      <c r="A254" s="49"/>
      <c r="B254" s="50"/>
      <c r="C254" s="50"/>
      <c r="D254" s="50"/>
      <c r="E254" s="50"/>
      <c r="F254" s="50"/>
      <c r="G254" s="50"/>
      <c r="H254" s="57"/>
    </row>
    <row r="260" spans="1:8" ht="23.25">
      <c r="A260" s="372" t="s">
        <v>224</v>
      </c>
      <c r="B260" s="372"/>
      <c r="C260" s="372"/>
      <c r="D260" s="372"/>
      <c r="E260" s="372"/>
      <c r="F260" s="372"/>
      <c r="G260" s="372"/>
      <c r="H260" s="372"/>
    </row>
    <row r="261" spans="1:8">
      <c r="A261" s="27"/>
      <c r="B261" s="28"/>
      <c r="C261" s="28"/>
      <c r="D261" s="28"/>
      <c r="E261" s="21"/>
      <c r="F261" s="21"/>
      <c r="G261" s="21"/>
      <c r="H261" s="29"/>
    </row>
    <row r="262" spans="1:8">
      <c r="A262" s="139" t="s">
        <v>225</v>
      </c>
      <c r="B262" s="143">
        <f>B72</f>
        <v>6.5000000000000002E-2</v>
      </c>
      <c r="C262" s="144"/>
      <c r="D262" s="374" t="s">
        <v>226</v>
      </c>
      <c r="E262" s="374"/>
      <c r="F262" s="143">
        <f>B92</f>
        <v>0.1255</v>
      </c>
      <c r="G262" s="21"/>
      <c r="H262" s="29"/>
    </row>
    <row r="263" spans="1:8">
      <c r="A263" s="139" t="s">
        <v>227</v>
      </c>
      <c r="B263" s="146">
        <f>(E191-B191)-(B210-B191-A194)</f>
        <v>842.11603759015634</v>
      </c>
      <c r="C263" s="144"/>
      <c r="D263" s="374" t="s">
        <v>228</v>
      </c>
      <c r="E263" s="374"/>
      <c r="F263" s="146">
        <f>F270+F276+F278+B279+B280</f>
        <v>518.00007999999991</v>
      </c>
      <c r="G263" s="21"/>
      <c r="H263" s="29"/>
    </row>
    <row r="264" spans="1:8">
      <c r="A264" s="139" t="s">
        <v>229</v>
      </c>
      <c r="B264" s="146">
        <f>F271+B272</f>
        <v>10</v>
      </c>
      <c r="C264" s="144"/>
      <c r="D264" s="374" t="s">
        <v>230</v>
      </c>
      <c r="E264" s="374"/>
      <c r="F264" s="146">
        <f>(B263-F263)+B264</f>
        <v>334.11595759015643</v>
      </c>
      <c r="G264" s="21"/>
      <c r="H264" s="29"/>
    </row>
    <row r="265" spans="1:8">
      <c r="A265" s="147"/>
      <c r="B265" s="144"/>
      <c r="C265" s="148"/>
      <c r="D265" s="148"/>
      <c r="E265" s="148"/>
      <c r="F265" s="148"/>
      <c r="G265" s="149"/>
      <c r="H265" s="150"/>
    </row>
    <row r="266" spans="1:8">
      <c r="A266" s="27" t="s">
        <v>225</v>
      </c>
      <c r="B266" s="151">
        <f>B262</f>
        <v>6.5000000000000002E-2</v>
      </c>
      <c r="C266" s="144"/>
      <c r="D266" s="144"/>
      <c r="E266" s="144"/>
      <c r="F266" s="144"/>
      <c r="G266" s="21"/>
      <c r="H266" s="29"/>
    </row>
    <row r="267" spans="1:8">
      <c r="A267" s="152"/>
      <c r="B267" s="153"/>
      <c r="C267" s="154"/>
      <c r="D267" s="154"/>
      <c r="E267" s="149"/>
      <c r="F267" s="149"/>
      <c r="G267" s="149"/>
      <c r="H267" s="150"/>
    </row>
    <row r="268" spans="1:8">
      <c r="A268" s="27" t="s">
        <v>231</v>
      </c>
      <c r="B268" s="151">
        <f>B73</f>
        <v>0.05</v>
      </c>
      <c r="C268" s="28"/>
      <c r="D268" s="363" t="s">
        <v>232</v>
      </c>
      <c r="E268" s="363"/>
      <c r="F268" s="151">
        <v>0</v>
      </c>
      <c r="G268" s="21"/>
      <c r="H268" s="29"/>
    </row>
    <row r="269" spans="1:8">
      <c r="A269" s="93" t="s">
        <v>226</v>
      </c>
      <c r="B269" s="155">
        <f>B92</f>
        <v>0.1255</v>
      </c>
      <c r="C269" s="38"/>
      <c r="D269" s="363" t="s">
        <v>227</v>
      </c>
      <c r="E269" s="363"/>
      <c r="F269" s="115">
        <f>B263</f>
        <v>842.11603759015634</v>
      </c>
      <c r="G269" s="21"/>
      <c r="H269" s="29"/>
    </row>
    <row r="270" spans="1:8">
      <c r="A270" s="27" t="s">
        <v>233</v>
      </c>
      <c r="B270" s="155">
        <f>B76</f>
        <v>0.02</v>
      </c>
      <c r="C270" s="28"/>
      <c r="D270" s="363" t="s">
        <v>233</v>
      </c>
      <c r="E270" s="363"/>
      <c r="F270" s="119">
        <f>B77</f>
        <v>518.00007999999991</v>
      </c>
      <c r="G270" s="21"/>
      <c r="H270" s="29"/>
    </row>
    <row r="271" spans="1:8">
      <c r="A271" s="27" t="s">
        <v>234</v>
      </c>
      <c r="B271" s="151">
        <f>A117</f>
        <v>0.2</v>
      </c>
      <c r="C271" s="28"/>
      <c r="D271" s="363" t="s">
        <v>234</v>
      </c>
      <c r="E271" s="363"/>
      <c r="F271" s="115">
        <f>E249*10</f>
        <v>0</v>
      </c>
      <c r="G271" s="21"/>
      <c r="H271" s="29"/>
    </row>
    <row r="272" spans="1:8">
      <c r="A272" s="27" t="s">
        <v>235</v>
      </c>
      <c r="B272" s="115">
        <f>A252</f>
        <v>10</v>
      </c>
      <c r="C272" s="28"/>
      <c r="D272" s="35" t="s">
        <v>230</v>
      </c>
      <c r="E272" s="35"/>
      <c r="F272" s="115">
        <f>(B263-F263)+B264</f>
        <v>334.11595759015643</v>
      </c>
      <c r="G272" s="21"/>
      <c r="H272" s="29"/>
    </row>
    <row r="273" spans="1:8">
      <c r="A273" s="94"/>
      <c r="B273" s="34"/>
      <c r="C273" s="28"/>
      <c r="D273" s="28"/>
      <c r="E273" s="34"/>
      <c r="F273" s="21"/>
      <c r="G273" s="21"/>
      <c r="H273" s="29"/>
    </row>
    <row r="274" spans="1:8" ht="23.25">
      <c r="A274" s="373" t="s">
        <v>236</v>
      </c>
      <c r="B274" s="373"/>
      <c r="C274" s="373"/>
      <c r="D274" s="373"/>
      <c r="E274" s="373"/>
      <c r="F274" s="373"/>
      <c r="G274" s="373"/>
      <c r="H274" s="373"/>
    </row>
    <row r="275" spans="1:8">
      <c r="A275" s="27" t="s">
        <v>237</v>
      </c>
      <c r="B275" s="119">
        <v>0</v>
      </c>
      <c r="C275" s="28"/>
      <c r="D275" s="375" t="s">
        <v>238</v>
      </c>
      <c r="E275" s="375"/>
      <c r="F275" s="119">
        <v>0</v>
      </c>
      <c r="G275" s="21"/>
      <c r="H275" s="29"/>
    </row>
    <row r="276" spans="1:8">
      <c r="A276" s="94"/>
      <c r="B276" s="115"/>
      <c r="C276" s="28"/>
      <c r="D276" s="363" t="s">
        <v>239</v>
      </c>
      <c r="E276" s="363"/>
      <c r="F276" s="115">
        <f>B275+F275*B218</f>
        <v>0</v>
      </c>
      <c r="G276" s="21"/>
      <c r="H276" s="29"/>
    </row>
    <row r="277" spans="1:8">
      <c r="A277" s="53" t="s">
        <v>240</v>
      </c>
      <c r="B277" s="156" t="s">
        <v>10</v>
      </c>
      <c r="C277" s="28"/>
      <c r="D277" s="363" t="s">
        <v>241</v>
      </c>
      <c r="E277" s="363"/>
      <c r="F277" s="156">
        <f>B79</f>
        <v>0</v>
      </c>
      <c r="G277" s="21"/>
      <c r="H277" s="29"/>
    </row>
    <row r="278" spans="1:8">
      <c r="A278" s="53"/>
      <c r="B278" s="121"/>
      <c r="C278" s="28"/>
      <c r="D278" s="363" t="s">
        <v>242</v>
      </c>
      <c r="E278" s="363"/>
      <c r="F278" s="115">
        <f>B100</f>
        <v>0</v>
      </c>
      <c r="G278" s="21"/>
      <c r="H278" s="29"/>
    </row>
    <row r="279" spans="1:8">
      <c r="A279" s="53" t="s">
        <v>243</v>
      </c>
      <c r="B279" s="119">
        <v>0</v>
      </c>
      <c r="C279" s="28"/>
      <c r="D279" s="28"/>
      <c r="E279" s="34"/>
      <c r="F279" s="21"/>
      <c r="G279" s="21"/>
      <c r="H279" s="29"/>
    </row>
    <row r="280" spans="1:8">
      <c r="A280" s="27" t="s">
        <v>244</v>
      </c>
      <c r="B280" s="119">
        <v>0</v>
      </c>
      <c r="C280" s="28"/>
      <c r="D280" s="28"/>
      <c r="E280" s="21"/>
      <c r="F280" s="21"/>
      <c r="G280" s="21"/>
      <c r="H280" s="29"/>
    </row>
    <row r="281" spans="1:8">
      <c r="A281" s="49"/>
      <c r="B281" s="50"/>
      <c r="C281" s="50"/>
      <c r="D281" s="50"/>
      <c r="E281" s="50"/>
      <c r="F281" s="50"/>
      <c r="G281" s="50"/>
      <c r="H281" s="57"/>
    </row>
  </sheetData>
  <mergeCells count="267">
    <mergeCell ref="D278:E278"/>
    <mergeCell ref="D264:E264"/>
    <mergeCell ref="D268:E268"/>
    <mergeCell ref="D269:E269"/>
    <mergeCell ref="D270:E270"/>
    <mergeCell ref="D271:E271"/>
    <mergeCell ref="A274:H274"/>
    <mergeCell ref="D275:E275"/>
    <mergeCell ref="D276:E276"/>
    <mergeCell ref="D277:E277"/>
    <mergeCell ref="B206:D206"/>
    <mergeCell ref="K206:M206"/>
    <mergeCell ref="T206:V206"/>
    <mergeCell ref="AC206:AE206"/>
    <mergeCell ref="A215:H215"/>
    <mergeCell ref="A247:H247"/>
    <mergeCell ref="A260:H260"/>
    <mergeCell ref="D262:E262"/>
    <mergeCell ref="D263:E263"/>
    <mergeCell ref="A204:A205"/>
    <mergeCell ref="B204:D204"/>
    <mergeCell ref="J204:J205"/>
    <mergeCell ref="K204:M204"/>
    <mergeCell ref="S204:S205"/>
    <mergeCell ref="T204:V204"/>
    <mergeCell ref="AB204:AB205"/>
    <mergeCell ref="AC204:AE204"/>
    <mergeCell ref="B205:D205"/>
    <mergeCell ref="K205:M205"/>
    <mergeCell ref="T205:V205"/>
    <mergeCell ref="AC205:AE205"/>
    <mergeCell ref="G168:H168"/>
    <mergeCell ref="P168:Q168"/>
    <mergeCell ref="Y168:Z168"/>
    <mergeCell ref="AH168:AI168"/>
    <mergeCell ref="A171:H171"/>
    <mergeCell ref="J171:Q171"/>
    <mergeCell ref="S171:Z171"/>
    <mergeCell ref="AB171:AI171"/>
    <mergeCell ref="B173:C173"/>
    <mergeCell ref="K173:L173"/>
    <mergeCell ref="T173:U173"/>
    <mergeCell ref="AC173:AD173"/>
    <mergeCell ref="E164:F164"/>
    <mergeCell ref="N164:O164"/>
    <mergeCell ref="W164:X164"/>
    <mergeCell ref="AF164:AG164"/>
    <mergeCell ref="G166:H166"/>
    <mergeCell ref="P166:Q166"/>
    <mergeCell ref="Y166:Z166"/>
    <mergeCell ref="AH166:AI166"/>
    <mergeCell ref="G167:H167"/>
    <mergeCell ref="P167:Q167"/>
    <mergeCell ref="Y167:Z167"/>
    <mergeCell ref="AH167:AI167"/>
    <mergeCell ref="E162:F162"/>
    <mergeCell ref="G162:H162"/>
    <mergeCell ref="N162:O162"/>
    <mergeCell ref="P162:Q162"/>
    <mergeCell ref="W162:X162"/>
    <mergeCell ref="Y162:Z162"/>
    <mergeCell ref="AF162:AG162"/>
    <mergeCell ref="AH162:AI162"/>
    <mergeCell ref="E163:F163"/>
    <mergeCell ref="G163:H163"/>
    <mergeCell ref="N163:O163"/>
    <mergeCell ref="P163:Q163"/>
    <mergeCell ref="W163:X163"/>
    <mergeCell ref="Y163:Z163"/>
    <mergeCell ref="AF163:AG163"/>
    <mergeCell ref="AH163:AI163"/>
    <mergeCell ref="A159:H159"/>
    <mergeCell ref="J159:Q159"/>
    <mergeCell ref="S159:Z159"/>
    <mergeCell ref="AB159:AI159"/>
    <mergeCell ref="E161:F161"/>
    <mergeCell ref="G161:H161"/>
    <mergeCell ref="N161:O161"/>
    <mergeCell ref="P161:Q161"/>
    <mergeCell ref="W161:X161"/>
    <mergeCell ref="Y161:Z161"/>
    <mergeCell ref="AF161:AG161"/>
    <mergeCell ref="AH161:AI161"/>
    <mergeCell ref="B155:F155"/>
    <mergeCell ref="K155:O155"/>
    <mergeCell ref="T155:X155"/>
    <mergeCell ref="AC155:AG155"/>
    <mergeCell ref="A156:F156"/>
    <mergeCell ref="J156:O156"/>
    <mergeCell ref="S156:X156"/>
    <mergeCell ref="AB156:AG156"/>
    <mergeCell ref="A157:F157"/>
    <mergeCell ref="J157:O157"/>
    <mergeCell ref="S157:X157"/>
    <mergeCell ref="AB157:AG157"/>
    <mergeCell ref="A152:F152"/>
    <mergeCell ref="J152:O152"/>
    <mergeCell ref="S152:X152"/>
    <mergeCell ref="AB152:AG152"/>
    <mergeCell ref="B153:F153"/>
    <mergeCell ref="K153:O153"/>
    <mergeCell ref="T153:X153"/>
    <mergeCell ref="AC153:AG153"/>
    <mergeCell ref="B154:F154"/>
    <mergeCell ref="K154:O154"/>
    <mergeCell ref="T154:X154"/>
    <mergeCell ref="AC154:AG154"/>
    <mergeCell ref="A149:F149"/>
    <mergeCell ref="J149:O149"/>
    <mergeCell ref="S149:X149"/>
    <mergeCell ref="AB149:AG149"/>
    <mergeCell ref="A150:F150"/>
    <mergeCell ref="J150:O150"/>
    <mergeCell ref="S150:X150"/>
    <mergeCell ref="AB150:AG150"/>
    <mergeCell ref="A151:F151"/>
    <mergeCell ref="J151:O151"/>
    <mergeCell ref="S151:X151"/>
    <mergeCell ref="AB151:AG151"/>
    <mergeCell ref="A146:F146"/>
    <mergeCell ref="J146:O146"/>
    <mergeCell ref="S146:X146"/>
    <mergeCell ref="AB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C142:AD142"/>
    <mergeCell ref="AE142:AF142"/>
    <mergeCell ref="AG142:AH142"/>
    <mergeCell ref="A144:F144"/>
    <mergeCell ref="J144:O144"/>
    <mergeCell ref="S144:X144"/>
    <mergeCell ref="AB144:AG144"/>
    <mergeCell ref="A145:F145"/>
    <mergeCell ref="J145:O145"/>
    <mergeCell ref="S145:X145"/>
    <mergeCell ref="AB145:AG145"/>
    <mergeCell ref="B142:C142"/>
    <mergeCell ref="D142:E142"/>
    <mergeCell ref="F142:G142"/>
    <mergeCell ref="K142:L142"/>
    <mergeCell ref="M142:N142"/>
    <mergeCell ref="O142:P142"/>
    <mergeCell ref="T142:U142"/>
    <mergeCell ref="V142:W142"/>
    <mergeCell ref="X142:Y142"/>
    <mergeCell ref="AC140:AD140"/>
    <mergeCell ref="AE140:AF140"/>
    <mergeCell ref="AG140:AH140"/>
    <mergeCell ref="B141:C141"/>
    <mergeCell ref="D141:E141"/>
    <mergeCell ref="F141:G141"/>
    <mergeCell ref="K141:L141"/>
    <mergeCell ref="M141:N141"/>
    <mergeCell ref="O141:P141"/>
    <mergeCell ref="T141:U141"/>
    <mergeCell ref="V141:W141"/>
    <mergeCell ref="X141:Y141"/>
    <mergeCell ref="AC141:AD141"/>
    <mergeCell ref="AE141:AF141"/>
    <mergeCell ref="AG141:AH141"/>
    <mergeCell ref="B140:C140"/>
    <mergeCell ref="D140:E140"/>
    <mergeCell ref="F140:G140"/>
    <mergeCell ref="K140:L140"/>
    <mergeCell ref="M140:N140"/>
    <mergeCell ref="O140:P140"/>
    <mergeCell ref="T140:U140"/>
    <mergeCell ref="V140:W140"/>
    <mergeCell ref="X140:Y140"/>
    <mergeCell ref="AC128:AD128"/>
    <mergeCell ref="AE128:AF128"/>
    <mergeCell ref="AG128:AH128"/>
    <mergeCell ref="B139:C139"/>
    <mergeCell ref="D139:E139"/>
    <mergeCell ref="F139:G139"/>
    <mergeCell ref="K139:L139"/>
    <mergeCell ref="M139:N139"/>
    <mergeCell ref="O139:P139"/>
    <mergeCell ref="T139:U139"/>
    <mergeCell ref="V139:W139"/>
    <mergeCell ref="X139:Y139"/>
    <mergeCell ref="AC139:AD139"/>
    <mergeCell ref="AE139:AF139"/>
    <mergeCell ref="AG139:AH139"/>
    <mergeCell ref="B128:C128"/>
    <mergeCell ref="D128:E128"/>
    <mergeCell ref="F128:G128"/>
    <mergeCell ref="K128:L128"/>
    <mergeCell ref="M128:N128"/>
    <mergeCell ref="O128:P128"/>
    <mergeCell ref="T128:U128"/>
    <mergeCell ref="V128:W128"/>
    <mergeCell ref="X128:Y128"/>
    <mergeCell ref="B123:D123"/>
    <mergeCell ref="E123:G123"/>
    <mergeCell ref="K123:M123"/>
    <mergeCell ref="N123:P123"/>
    <mergeCell ref="T123:V123"/>
    <mergeCell ref="W123:Y123"/>
    <mergeCell ref="AC123:AE123"/>
    <mergeCell ref="AF123:AH123"/>
    <mergeCell ref="A126:H126"/>
    <mergeCell ref="J126:Q126"/>
    <mergeCell ref="S126:Z126"/>
    <mergeCell ref="AB126:AI126"/>
    <mergeCell ref="B117:D117"/>
    <mergeCell ref="E117:G117"/>
    <mergeCell ref="K117:M117"/>
    <mergeCell ref="N117:P117"/>
    <mergeCell ref="T117:V117"/>
    <mergeCell ref="W117:Y117"/>
    <mergeCell ref="AC117:AE117"/>
    <mergeCell ref="AF117:AH117"/>
    <mergeCell ref="B120:D120"/>
    <mergeCell ref="E120:G120"/>
    <mergeCell ref="K120:M120"/>
    <mergeCell ref="N120:P120"/>
    <mergeCell ref="T120:V120"/>
    <mergeCell ref="W120:Y120"/>
    <mergeCell ref="AC120:AE120"/>
    <mergeCell ref="AF120:AH120"/>
    <mergeCell ref="A111:H111"/>
    <mergeCell ref="J111:Q111"/>
    <mergeCell ref="S111:Z111"/>
    <mergeCell ref="AB111:AI111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C53:E53"/>
    <mergeCell ref="A58:A59"/>
    <mergeCell ref="B58:D58"/>
    <mergeCell ref="B59:D59"/>
    <mergeCell ref="B60:D60"/>
    <mergeCell ref="A109:H109"/>
    <mergeCell ref="J109:Q109"/>
    <mergeCell ref="S109:Z109"/>
    <mergeCell ref="AB109:AI109"/>
    <mergeCell ref="C34:D34"/>
    <mergeCell ref="F34:G34"/>
    <mergeCell ref="C37:D37"/>
    <mergeCell ref="J38:K38"/>
    <mergeCell ref="C40:D40"/>
    <mergeCell ref="F40:G40"/>
    <mergeCell ref="C43:D43"/>
    <mergeCell ref="F43:G43"/>
    <mergeCell ref="C46:D46"/>
    <mergeCell ref="F46:G46"/>
    <mergeCell ref="A1:F1"/>
    <mergeCell ref="D7:E18"/>
    <mergeCell ref="A16:C18"/>
    <mergeCell ref="A19:D19"/>
    <mergeCell ref="A21:D21"/>
    <mergeCell ref="A24:H24"/>
    <mergeCell ref="A26:H26"/>
    <mergeCell ref="C31:D31"/>
    <mergeCell ref="F31:G31"/>
  </mergeCells>
  <dataValidations count="5">
    <dataValidation type="list" allowBlank="1" showInputMessage="1" showErrorMessage="1" sqref="B114 K114 T114 AC114" xr:uid="{00000000-0002-0000-1A00-000000000000}">
      <formula1>$Y$136:$Y$145</formula1>
      <formula2>0</formula2>
    </dataValidation>
    <dataValidation type="list" allowBlank="1" showInputMessage="1" showErrorMessage="1" sqref="E114 N114 W114 AF114 A120 J120 S120 AB120" xr:uid="{00000000-0002-0000-1A00-000001000000}">
      <formula1>$Z$19:$Z$20</formula1>
      <formula2>0</formula2>
    </dataValidation>
    <dataValidation type="list" allowBlank="1" showInputMessage="1" showErrorMessage="1" sqref="B117:D117 K117:M117 T117:V117 AC117:AE117" xr:uid="{00000000-0002-0000-1A00-000002000000}">
      <formula1>$AP$117:$AP$118</formula1>
      <formula2>0</formula2>
    </dataValidation>
    <dataValidation type="list" allowBlank="1" showInputMessage="1" showErrorMessage="1" sqref="A153:A155" xr:uid="{00000000-0002-0000-1A00-000003000000}">
      <formula1>#REF!</formula1>
      <formula2>0</formula2>
    </dataValidation>
    <dataValidation type="list" allowBlank="1" showInputMessage="1" showErrorMessage="1" sqref="J153:J155 S153:S155 AB153:AB155" xr:uid="{00000000-0002-0000-1A00-000004000000}">
      <formula1>$AB$16:$AB$18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P272"/>
  <sheetViews>
    <sheetView topLeftCell="A245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6" customWidth="true" style="4" width="18.875"/>
    <col min="7" max="7" customWidth="true" style="4" width="23.125"/>
    <col min="8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30" t="s">
        <v>14</v>
      </c>
      <c r="B1" s="330"/>
      <c r="C1" s="330"/>
      <c r="D1" s="330"/>
      <c r="E1" s="330"/>
      <c r="F1" s="330"/>
      <c r="J1" s="5"/>
    </row>
    <row r="2" spans="1:25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J2" s="5"/>
    </row>
    <row r="3" spans="1:25">
      <c r="A3" s="9"/>
      <c r="B3" s="9"/>
      <c r="C3" s="9"/>
      <c r="D3" s="9"/>
      <c r="E3" s="9"/>
      <c r="F3" s="6" t="s">
        <v>10</v>
      </c>
      <c r="J3" s="5"/>
    </row>
    <row r="4" spans="1:25">
      <c r="A4" s="6" t="s">
        <v>18</v>
      </c>
      <c r="B4" s="7">
        <f>B15+C15</f>
        <v>22200</v>
      </c>
      <c r="C4" s="9"/>
      <c r="D4" s="9"/>
      <c r="E4" s="9"/>
      <c r="F4" s="6" t="s">
        <v>10</v>
      </c>
      <c r="H4" s="10"/>
      <c r="J4" s="5"/>
    </row>
    <row r="5" spans="1:25">
      <c r="A5" s="11"/>
      <c r="B5" s="11"/>
      <c r="C5" s="11"/>
      <c r="D5" s="11"/>
      <c r="E5" s="11"/>
      <c r="F5" s="11" t="s">
        <v>10</v>
      </c>
      <c r="J5" s="5"/>
    </row>
    <row r="6" spans="1:25">
      <c r="A6" s="11"/>
      <c r="B6" s="11"/>
      <c r="C6" s="11"/>
      <c r="D6" s="11"/>
      <c r="E6" s="11"/>
      <c r="F6" s="11"/>
      <c r="J6" s="5"/>
    </row>
    <row r="7" spans="1:25">
      <c r="A7" s="12" t="s">
        <v>19</v>
      </c>
      <c r="B7" s="12" t="s">
        <v>20</v>
      </c>
      <c r="C7" s="12" t="s">
        <v>16</v>
      </c>
      <c r="D7" s="331"/>
      <c r="E7" s="331"/>
      <c r="F7" s="11"/>
      <c r="J7" s="5"/>
    </row>
    <row r="8" spans="1:25">
      <c r="A8" s="13"/>
      <c r="B8" s="11"/>
      <c r="C8" s="11"/>
      <c r="D8" s="331"/>
      <c r="E8" s="331"/>
      <c r="F8" s="11"/>
      <c r="J8" s="5"/>
      <c r="L8" s="14" t="s">
        <v>17</v>
      </c>
      <c r="M8" s="11">
        <f>H13+H14</f>
        <v>0</v>
      </c>
    </row>
    <row r="9" spans="1:25">
      <c r="A9" s="12" t="s">
        <v>21</v>
      </c>
      <c r="B9" s="15">
        <v>18500</v>
      </c>
      <c r="C9" s="11">
        <f>B9*0.2</f>
        <v>3700</v>
      </c>
      <c r="D9" s="331"/>
      <c r="E9" s="331"/>
      <c r="F9" s="11"/>
      <c r="J9" s="5"/>
      <c r="L9" s="11"/>
      <c r="M9" s="11"/>
    </row>
    <row r="10" spans="1:25">
      <c r="A10" s="12"/>
      <c r="B10" s="11"/>
      <c r="C10" s="11"/>
      <c r="D10" s="331"/>
      <c r="E10" s="331"/>
      <c r="F10" s="11"/>
      <c r="J10" s="5"/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31"/>
      <c r="E11" s="331"/>
      <c r="F11" s="11"/>
      <c r="J11" s="5"/>
      <c r="L11" s="11"/>
      <c r="M11" s="11"/>
    </row>
    <row r="12" spans="1:25">
      <c r="A12" s="12"/>
      <c r="B12" s="11"/>
      <c r="C12" s="11"/>
      <c r="D12" s="331"/>
      <c r="E12" s="331"/>
      <c r="F12" s="11"/>
      <c r="J12" s="5"/>
    </row>
    <row r="13" spans="1:25">
      <c r="A13" s="12" t="s">
        <v>23</v>
      </c>
      <c r="B13" s="15">
        <v>0</v>
      </c>
      <c r="C13" s="11"/>
      <c r="D13" s="331"/>
      <c r="E13" s="331"/>
      <c r="F13" s="11"/>
      <c r="J13" s="5"/>
    </row>
    <row r="14" spans="1:25">
      <c r="A14" s="12"/>
      <c r="B14" s="11"/>
      <c r="C14" s="11"/>
      <c r="D14" s="331"/>
      <c r="E14" s="331"/>
      <c r="F14" s="11"/>
      <c r="J14" s="5" t="s">
        <v>24</v>
      </c>
    </row>
    <row r="15" spans="1:25">
      <c r="A15" s="12" t="s">
        <v>25</v>
      </c>
      <c r="B15" s="11">
        <f>SUM(B9:B13)</f>
        <v>18500</v>
      </c>
      <c r="C15" s="11">
        <f>SUM(C9:C13)</f>
        <v>3700</v>
      </c>
      <c r="D15" s="331"/>
      <c r="E15" s="331"/>
      <c r="F15" s="11"/>
      <c r="J15" s="17">
        <f>H15</f>
        <v>0</v>
      </c>
    </row>
    <row r="16" spans="1:25">
      <c r="A16" s="332"/>
      <c r="B16" s="332"/>
      <c r="C16" s="332"/>
      <c r="D16" s="331"/>
      <c r="E16" s="331"/>
      <c r="F16" s="11"/>
      <c r="J16" s="5"/>
      <c r="Y16" s="18" t="s">
        <v>26</v>
      </c>
    </row>
    <row r="17" spans="1:26">
      <c r="A17" s="332"/>
      <c r="B17" s="332"/>
      <c r="C17" s="332"/>
      <c r="D17" s="331"/>
      <c r="E17" s="331"/>
      <c r="F17" s="11"/>
      <c r="J17" s="19" t="s">
        <v>27</v>
      </c>
      <c r="Y17" s="18" t="s">
        <v>28</v>
      </c>
    </row>
    <row r="18" spans="1:26">
      <c r="A18" s="332"/>
      <c r="B18" s="332"/>
      <c r="C18" s="332"/>
      <c r="D18" s="331"/>
      <c r="E18" s="331"/>
      <c r="F18" s="11"/>
      <c r="J18" s="20">
        <v>37404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22200</v>
      </c>
      <c r="F19" s="11"/>
      <c r="J19" s="5"/>
      <c r="Z19" s="5" t="s">
        <v>31</v>
      </c>
    </row>
    <row r="20" spans="1:26">
      <c r="A20" s="11"/>
      <c r="B20" s="11"/>
      <c r="C20" s="11"/>
      <c r="D20" s="11"/>
      <c r="E20" s="11"/>
      <c r="F20" s="11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18500</v>
      </c>
      <c r="F21" s="11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76" t="s">
        <v>246</v>
      </c>
      <c r="B24" s="376"/>
      <c r="C24" s="376"/>
      <c r="D24" s="376"/>
      <c r="E24" s="376"/>
      <c r="F24" s="55"/>
      <c r="G24" s="55"/>
      <c r="H24" s="55"/>
    </row>
    <row r="25" spans="1:26">
      <c r="A25" s="157"/>
      <c r="B25" s="158"/>
      <c r="C25" s="158"/>
      <c r="D25" s="158"/>
      <c r="E25" s="159"/>
      <c r="F25" s="55"/>
      <c r="G25" s="55"/>
      <c r="H25" s="55"/>
    </row>
    <row r="26" spans="1:26" ht="23.25">
      <c r="A26" s="377" t="s">
        <v>247</v>
      </c>
      <c r="B26" s="377"/>
      <c r="C26" s="377"/>
      <c r="D26" s="377"/>
      <c r="E26" s="377"/>
      <c r="F26" s="55"/>
      <c r="G26" s="160"/>
      <c r="H26" s="160"/>
    </row>
    <row r="27" spans="1:26">
      <c r="A27" s="157"/>
      <c r="B27" s="158"/>
      <c r="C27" s="158"/>
      <c r="D27" s="158"/>
      <c r="E27" s="159"/>
      <c r="F27" s="55"/>
      <c r="G27" s="161" t="s">
        <v>96</v>
      </c>
      <c r="H27" s="161">
        <f>IF(A32=Y104,1,IF(A32=Y105,1,IF(A32=Y106,3,IF(A32=Y107,6,IF(A32=Y108,9,IF(A32=Y109,12,IF(A32=Y110,3,IF(A32=Y111,6,IF(A32=Y112,9,0)))))))))</f>
        <v>0</v>
      </c>
    </row>
    <row r="28" spans="1:26" ht="37.5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IF(A32=Y104,H29-H37,IF(A32=Y105,H29-H37,IF(A32=Y106,H29-1,IF(A32=Y107,H29-1,IF(A32=Y108,H29-1,IF(A32=Y109,H29-1,IF(A32=Y110,H29-H37,IF(A32=Y111,H29-H37,IF(A32=Y112,H29-H37,0)))))))))</f>
        <v>0</v>
      </c>
    </row>
    <row r="29" spans="1:26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 t="str">
        <f>B35</f>
        <v>33</v>
      </c>
    </row>
    <row r="30" spans="1:26">
      <c r="A30" s="157"/>
      <c r="B30" s="380"/>
      <c r="C30" s="380"/>
      <c r="D30" s="158"/>
      <c r="E30" s="159"/>
      <c r="F30" s="55"/>
      <c r="G30" s="160" t="s">
        <v>45</v>
      </c>
      <c r="H30" s="160" t="str">
        <f>D35</f>
        <v>5000</v>
      </c>
    </row>
    <row r="31" spans="1:26" ht="37.5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</row>
    <row r="32" spans="1:26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>
        <f>A41</f>
        <v>0</v>
      </c>
      <c r="J32" s="39" t="s">
        <v>50</v>
      </c>
      <c r="K32" s="40" t="s">
        <v>402</v>
      </c>
    </row>
    <row r="33" spans="1:16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J33" s="39"/>
      <c r="K33" s="13"/>
    </row>
    <row r="34" spans="1:16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J34" s="39" t="s">
        <v>57</v>
      </c>
      <c r="K34" s="44" t="s">
        <v>398</v>
      </c>
    </row>
    <row r="35" spans="1:16">
      <c r="A35" s="167">
        <f>B32+D32</f>
        <v>500</v>
      </c>
      <c r="B35" s="378" t="s">
        <v>403</v>
      </c>
      <c r="C35" s="378"/>
      <c r="D35" s="378" t="s">
        <v>397</v>
      </c>
      <c r="E35" s="378"/>
      <c r="F35" s="55"/>
      <c r="G35" s="46"/>
      <c r="H35" s="174"/>
      <c r="J35" s="39"/>
      <c r="K35" s="13">
        <v>6.5000000000000002E-2</v>
      </c>
    </row>
    <row r="36" spans="1:16">
      <c r="A36" s="157"/>
      <c r="B36" s="158"/>
      <c r="C36" s="158"/>
      <c r="D36" s="158"/>
      <c r="E36" s="159"/>
      <c r="F36" s="55"/>
      <c r="G36" s="55" t="s">
        <v>91</v>
      </c>
      <c r="H36" s="56">
        <v>0</v>
      </c>
      <c r="J36" s="39" t="s">
        <v>64</v>
      </c>
      <c r="K36" s="47">
        <f>K32-K34</f>
        <v>21200</v>
      </c>
    </row>
    <row r="37" spans="1:16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</row>
    <row r="38" spans="1:16">
      <c r="A38" s="175">
        <f>(B35/12)*D35</f>
        <v>13750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J38" s="382"/>
      <c r="K38" s="382"/>
      <c r="L38" s="5"/>
      <c r="N38" s="4">
        <f>80.88*36</f>
        <v>2911.68</v>
      </c>
    </row>
    <row r="39" spans="1:16">
      <c r="A39" s="176"/>
      <c r="B39" s="171"/>
      <c r="C39" s="171"/>
      <c r="D39" s="158"/>
      <c r="E39" s="159"/>
      <c r="F39" s="55"/>
      <c r="G39" s="55"/>
      <c r="H39" s="5"/>
      <c r="L39" s="5"/>
      <c r="N39" s="4">
        <f>K39-L39</f>
        <v>0</v>
      </c>
    </row>
    <row r="40" spans="1:16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L40" s="5"/>
      <c r="N40" s="4">
        <f>N38-N39</f>
        <v>2911.68</v>
      </c>
    </row>
    <row r="41" spans="1:16">
      <c r="A41" s="89">
        <f>H36/B35</f>
        <v>0</v>
      </c>
      <c r="B41" s="383" t="str">
        <f>IF(B38="YES",D38+A41,D38)</f>
        <v>500</v>
      </c>
      <c r="C41" s="383"/>
      <c r="D41" s="346">
        <v>6000</v>
      </c>
      <c r="E41" s="346"/>
      <c r="F41" s="55"/>
      <c r="G41" s="55"/>
      <c r="H41" s="180"/>
      <c r="J41" s="5"/>
      <c r="K41" s="5"/>
      <c r="L41" s="5"/>
    </row>
    <row r="42" spans="1:16">
      <c r="A42" s="176"/>
      <c r="B42" s="171"/>
      <c r="C42" s="171"/>
      <c r="D42" s="171"/>
      <c r="E42" s="181"/>
      <c r="F42" s="55"/>
      <c r="G42" s="384" t="s">
        <v>65</v>
      </c>
      <c r="H42" s="384"/>
      <c r="J42" s="5"/>
      <c r="K42" s="5"/>
      <c r="L42" s="5"/>
    </row>
    <row r="43" spans="1:16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500.36363636363637</v>
      </c>
      <c r="J43" s="5"/>
      <c r="K43" s="5"/>
      <c r="L43" s="5"/>
    </row>
    <row r="44" spans="1:16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0</v>
      </c>
      <c r="J44" s="5"/>
      <c r="K44" s="5"/>
      <c r="L44" s="5"/>
    </row>
    <row r="45" spans="1:16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500.36363636363637</v>
      </c>
      <c r="J45" s="5"/>
      <c r="K45" s="5"/>
      <c r="L45" s="5"/>
    </row>
    <row r="46" spans="1:16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500.36363636363637</v>
      </c>
      <c r="J46" s="5"/>
      <c r="K46" s="5"/>
      <c r="L46" s="5"/>
    </row>
    <row r="47" spans="1:16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J47" s="5"/>
      <c r="K47" s="5"/>
      <c r="L47" s="5"/>
    </row>
    <row r="48" spans="1:16">
      <c r="B48" s="171"/>
      <c r="C48" s="171"/>
      <c r="D48" s="171"/>
      <c r="E48" s="181"/>
      <c r="F48" s="55"/>
      <c r="G48" s="55"/>
      <c r="H48" s="5"/>
      <c r="J48" s="48"/>
      <c r="K48" s="5"/>
      <c r="L48" s="5"/>
    </row>
    <row r="49" spans="1:29">
      <c r="A49" s="176"/>
      <c r="B49" s="171"/>
      <c r="C49" s="171"/>
      <c r="D49" s="171"/>
      <c r="E49" s="181"/>
      <c r="F49" s="55"/>
      <c r="G49" s="55"/>
      <c r="H49" s="5"/>
      <c r="J49" s="5"/>
      <c r="K49" s="5"/>
      <c r="L49" s="5"/>
    </row>
    <row r="50" spans="1:29">
      <c r="A50" s="157"/>
      <c r="B50" s="183"/>
      <c r="C50" s="183"/>
      <c r="D50" s="158"/>
      <c r="E50" s="159"/>
      <c r="I50" s="5"/>
      <c r="J50" s="5"/>
      <c r="K50" s="5"/>
    </row>
    <row r="51" spans="1:29" ht="19.5" customHeight="1">
      <c r="A51" s="387" t="s">
        <v>94</v>
      </c>
      <c r="B51" s="388" t="s">
        <v>95</v>
      </c>
      <c r="C51" s="388"/>
      <c r="D51" s="158"/>
      <c r="E51" s="159"/>
      <c r="I51" s="5"/>
      <c r="J51" s="5"/>
      <c r="K51" s="5"/>
    </row>
    <row r="52" spans="1:29">
      <c r="A52" s="387"/>
      <c r="B52" s="389" t="str">
        <f>H30</f>
        <v>5000</v>
      </c>
      <c r="C52" s="389"/>
      <c r="D52" s="184" t="s">
        <v>10</v>
      </c>
      <c r="E52" s="159"/>
      <c r="I52" s="5"/>
      <c r="J52" s="5"/>
      <c r="K52" s="5"/>
    </row>
    <row r="53" spans="1:29">
      <c r="A53" s="185" t="str">
        <f>H29</f>
        <v>33</v>
      </c>
      <c r="B53" s="343">
        <f>H45</f>
        <v>500.36363636363637</v>
      </c>
      <c r="C53" s="343"/>
      <c r="D53" s="158"/>
      <c r="E53" s="159"/>
      <c r="I53" s="5"/>
      <c r="J53" s="5"/>
      <c r="K53" s="5"/>
    </row>
    <row r="54" spans="1:29">
      <c r="I54" s="5"/>
      <c r="J54" s="5"/>
      <c r="K54" s="5"/>
    </row>
    <row r="55" spans="1:29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29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29">
      <c r="A57" s="22"/>
      <c r="B57" s="23"/>
      <c r="C57" s="23"/>
      <c r="D57" s="23"/>
      <c r="E57" s="63"/>
      <c r="F57" s="63"/>
      <c r="G57" s="63"/>
      <c r="H57" s="24"/>
    </row>
    <row r="58" spans="1:29">
      <c r="A58" s="27" t="s">
        <v>96</v>
      </c>
      <c r="B58" s="28">
        <v>1</v>
      </c>
      <c r="C58" s="186"/>
      <c r="D58" s="28"/>
      <c r="E58" s="21"/>
      <c r="F58" s="21"/>
      <c r="G58" s="21"/>
      <c r="H58" s="29"/>
    </row>
    <row r="59" spans="1:29">
      <c r="A59" s="27" t="s">
        <v>97</v>
      </c>
      <c r="B59" s="28">
        <f>B35-B58</f>
        <v>32</v>
      </c>
      <c r="C59" s="186"/>
      <c r="D59" s="28"/>
      <c r="E59" s="21"/>
      <c r="F59" s="21"/>
      <c r="G59" s="21"/>
      <c r="H59" s="29"/>
    </row>
    <row r="60" spans="1:29">
      <c r="A60" s="64" t="s">
        <v>98</v>
      </c>
      <c r="B60" s="65">
        <v>10</v>
      </c>
      <c r="C60" s="186"/>
      <c r="D60" s="28"/>
      <c r="E60" s="21"/>
      <c r="F60" s="21"/>
      <c r="G60" s="21"/>
      <c r="H60" s="29"/>
    </row>
    <row r="61" spans="1:29">
      <c r="A61" s="27" t="s">
        <v>27</v>
      </c>
      <c r="B61" s="28">
        <f>J18</f>
        <v>37404</v>
      </c>
      <c r="C61" s="186"/>
      <c r="D61" s="28"/>
      <c r="E61" s="21"/>
      <c r="F61" s="21"/>
      <c r="G61" s="21"/>
      <c r="H61" s="29"/>
    </row>
    <row r="62" spans="1:29">
      <c r="A62" s="66" t="s">
        <v>99</v>
      </c>
      <c r="B62" s="67">
        <v>0</v>
      </c>
      <c r="C62" s="186"/>
      <c r="D62" s="28"/>
      <c r="E62" s="21"/>
      <c r="F62" s="21"/>
      <c r="G62" s="21"/>
      <c r="H62" s="29"/>
      <c r="K62" s="10"/>
      <c r="T62" s="10"/>
      <c r="AC62" s="10"/>
    </row>
    <row r="63" spans="1:29">
      <c r="A63" s="68" t="s">
        <v>100</v>
      </c>
      <c r="B63" s="69">
        <v>6.5000000000000002E-2</v>
      </c>
      <c r="C63" s="186"/>
      <c r="D63" s="28"/>
      <c r="E63" s="21"/>
      <c r="F63" s="21"/>
      <c r="G63" s="21"/>
      <c r="H63" s="29"/>
      <c r="K63" s="10"/>
      <c r="T63" s="10"/>
      <c r="AC63" s="10"/>
    </row>
    <row r="64" spans="1:29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K64" s="10"/>
      <c r="T64" s="10"/>
      <c r="AC64" s="10"/>
    </row>
    <row r="65" spans="1:29">
      <c r="A65" s="49" t="s">
        <v>102</v>
      </c>
      <c r="B65" s="57">
        <f>(B89*B59)-B53</f>
        <v>19110.329944020268</v>
      </c>
      <c r="C65" s="28"/>
      <c r="D65" s="28"/>
      <c r="E65" s="21"/>
      <c r="F65" s="21"/>
      <c r="G65" s="21"/>
      <c r="H65" s="29"/>
    </row>
    <row r="66" spans="1:29">
      <c r="A66" s="66" t="s">
        <v>103</v>
      </c>
      <c r="B66" s="67">
        <v>0.03</v>
      </c>
      <c r="C66" s="28"/>
      <c r="D66" s="28"/>
      <c r="E66" s="21"/>
      <c r="F66" s="21"/>
      <c r="G66" s="21"/>
      <c r="H66" s="29"/>
      <c r="K66" s="10"/>
      <c r="T66" s="10"/>
      <c r="AC66" s="10"/>
    </row>
    <row r="67" spans="1:29">
      <c r="A67" s="27"/>
      <c r="B67" s="72">
        <f>B66</f>
        <v>0.03</v>
      </c>
      <c r="C67" s="28"/>
      <c r="D67" s="28"/>
      <c r="E67" s="21"/>
      <c r="F67" s="21"/>
      <c r="G67" s="21"/>
      <c r="H67" s="29"/>
      <c r="K67" s="10"/>
      <c r="T67" s="10"/>
      <c r="AC67" s="10"/>
    </row>
    <row r="68" spans="1:29">
      <c r="A68" s="49" t="s">
        <v>105</v>
      </c>
      <c r="B68" s="57">
        <f>(G158*B67)</f>
        <v>777.60011999999983</v>
      </c>
      <c r="C68" s="28"/>
      <c r="D68" s="28"/>
      <c r="E68" s="21"/>
      <c r="F68" s="21"/>
      <c r="G68" s="21"/>
      <c r="H68" s="29"/>
    </row>
    <row r="69" spans="1:29">
      <c r="A69" s="66" t="s">
        <v>106</v>
      </c>
      <c r="B69" s="67">
        <v>0</v>
      </c>
      <c r="C69" s="187"/>
      <c r="D69" s="28"/>
      <c r="E69" s="21"/>
      <c r="F69" s="21"/>
      <c r="G69" s="21"/>
      <c r="H69" s="29"/>
      <c r="K69" s="10"/>
      <c r="T69" s="10"/>
      <c r="AC69" s="10"/>
    </row>
    <row r="70" spans="1:29">
      <c r="A70" s="68" t="s">
        <v>107</v>
      </c>
      <c r="B70" s="69">
        <v>0</v>
      </c>
      <c r="C70" s="187"/>
      <c r="D70" s="28"/>
      <c r="E70" s="21"/>
      <c r="F70" s="21"/>
      <c r="G70" s="21"/>
      <c r="H70" s="29"/>
      <c r="K70" s="10"/>
      <c r="T70" s="10"/>
      <c r="AC70" s="10"/>
    </row>
    <row r="71" spans="1:29">
      <c r="A71" s="49" t="s">
        <v>108</v>
      </c>
      <c r="B71" s="73">
        <f>B69*(1+B70)</f>
        <v>0</v>
      </c>
      <c r="C71" s="187"/>
      <c r="D71" s="28"/>
      <c r="E71" s="21"/>
      <c r="F71" s="21"/>
      <c r="G71" s="21"/>
      <c r="H71" s="29"/>
      <c r="K71" s="10"/>
      <c r="T71" s="10"/>
      <c r="AC71" s="10"/>
    </row>
    <row r="72" spans="1:29">
      <c r="A72" s="66" t="s">
        <v>109</v>
      </c>
      <c r="B72" s="74">
        <v>0</v>
      </c>
      <c r="C72" s="187"/>
      <c r="D72" s="28"/>
      <c r="E72" s="21"/>
      <c r="F72" s="21"/>
      <c r="G72" s="21"/>
      <c r="H72" s="29"/>
    </row>
    <row r="73" spans="1:29">
      <c r="A73" s="68" t="s">
        <v>110</v>
      </c>
      <c r="B73" s="65">
        <v>0</v>
      </c>
      <c r="C73" s="187"/>
      <c r="D73" s="28"/>
      <c r="E73" s="21"/>
      <c r="F73" s="21"/>
      <c r="G73" s="21"/>
      <c r="H73" s="29"/>
    </row>
    <row r="74" spans="1:29">
      <c r="A74" s="49" t="s">
        <v>111</v>
      </c>
      <c r="B74" s="57">
        <f>B73*B35</f>
        <v>0</v>
      </c>
      <c r="C74" s="187"/>
      <c r="D74" s="28">
        <f>B74+B72</f>
        <v>0</v>
      </c>
      <c r="E74" s="21"/>
      <c r="F74" s="21"/>
      <c r="G74" s="21"/>
      <c r="H74" s="29"/>
    </row>
    <row r="75" spans="1:29">
      <c r="A75" s="68" t="s">
        <v>112</v>
      </c>
      <c r="B75" s="65">
        <v>0</v>
      </c>
      <c r="C75" s="187"/>
      <c r="D75" s="28">
        <f>B75</f>
        <v>0</v>
      </c>
      <c r="E75" s="21"/>
      <c r="F75" s="21"/>
      <c r="G75" s="21"/>
      <c r="H75" s="29"/>
    </row>
    <row r="76" spans="1:29">
      <c r="A76" s="70" t="s">
        <v>113</v>
      </c>
      <c r="B76" s="75">
        <v>0</v>
      </c>
      <c r="C76" s="187"/>
      <c r="D76" s="28">
        <f>B76</f>
        <v>0</v>
      </c>
      <c r="E76" s="21"/>
      <c r="F76" s="28"/>
      <c r="G76" s="21"/>
      <c r="H76" s="29"/>
    </row>
    <row r="77" spans="1:29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</row>
    <row r="78" spans="1:29">
      <c r="A78" s="27" t="s">
        <v>115</v>
      </c>
      <c r="B78" s="29">
        <f>B77/B35</f>
        <v>0</v>
      </c>
      <c r="C78" s="28"/>
      <c r="D78" s="28"/>
      <c r="E78" s="21"/>
      <c r="F78" s="21"/>
      <c r="G78" s="21"/>
      <c r="H78" s="29"/>
    </row>
    <row r="79" spans="1:29">
      <c r="A79" s="78" t="s">
        <v>116</v>
      </c>
      <c r="B79" s="52">
        <f>H46</f>
        <v>500.36363636363637</v>
      </c>
      <c r="C79" s="28"/>
      <c r="D79" s="28"/>
      <c r="E79" s="21"/>
      <c r="F79" s="21"/>
      <c r="G79" s="21"/>
      <c r="H79" s="29"/>
    </row>
    <row r="80" spans="1:29">
      <c r="A80" s="27"/>
      <c r="B80" s="28"/>
      <c r="C80" s="28"/>
      <c r="D80" s="28"/>
      <c r="E80" s="21"/>
      <c r="F80" s="21"/>
      <c r="G80" s="21"/>
      <c r="H80" s="29"/>
    </row>
    <row r="81" spans="1:29">
      <c r="A81" s="22" t="s">
        <v>117</v>
      </c>
      <c r="B81" s="24">
        <f>K36</f>
        <v>21200</v>
      </c>
      <c r="C81" s="28"/>
      <c r="D81" s="28"/>
      <c r="E81" s="21"/>
      <c r="F81" s="22" t="s">
        <v>117</v>
      </c>
      <c r="G81" s="24">
        <f>B81</f>
        <v>21200</v>
      </c>
      <c r="H81" s="29"/>
    </row>
    <row r="82" spans="1:29">
      <c r="A82" s="27" t="s">
        <v>118</v>
      </c>
      <c r="B82" s="29">
        <f>IF(A111="YES",D41,0)</f>
        <v>6000</v>
      </c>
      <c r="C82" s="28"/>
      <c r="D82" s="28"/>
      <c r="E82" s="21"/>
      <c r="F82" s="27" t="s">
        <v>118</v>
      </c>
      <c r="G82" s="29">
        <f>IF(A111="YES",D41,0)</f>
        <v>6000</v>
      </c>
      <c r="H82" s="29"/>
    </row>
    <row r="83" spans="1:29">
      <c r="A83" s="27" t="s">
        <v>119</v>
      </c>
      <c r="B83" s="79">
        <f>B62+B63+B64</f>
        <v>0.115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K83" s="10"/>
      <c r="T83" s="10"/>
      <c r="AC83" s="10"/>
    </row>
    <row r="84" spans="1:29">
      <c r="A84" s="27" t="s">
        <v>120</v>
      </c>
      <c r="B84" s="72">
        <f>B83/12</f>
        <v>9.5833333333333343E-3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K84" s="10"/>
      <c r="T84" s="10"/>
      <c r="AC84" s="10"/>
    </row>
    <row r="85" spans="1:29">
      <c r="A85" s="27" t="s">
        <v>121</v>
      </c>
      <c r="B85" s="29">
        <f>IF(B82=0,(B59+B58),(B59))</f>
        <v>32</v>
      </c>
      <c r="C85" s="28"/>
      <c r="D85" s="28"/>
      <c r="E85" s="21"/>
      <c r="F85" s="27" t="s">
        <v>121</v>
      </c>
      <c r="G85" s="29">
        <f>IF(G82=0,(B59+B58),(B59))</f>
        <v>32</v>
      </c>
      <c r="H85" s="29"/>
    </row>
    <row r="86" spans="1:29">
      <c r="A86" s="27" t="s">
        <v>122</v>
      </c>
      <c r="B86" s="29">
        <f>(B82/((1+B84)^(B85+1)))</f>
        <v>4379.8532592461879</v>
      </c>
      <c r="C86" s="28">
        <f>(B82/((1+B84)^(B85+1)))</f>
        <v>4379.8532592461879</v>
      </c>
      <c r="D86" s="28"/>
      <c r="E86" s="21"/>
      <c r="F86" s="27" t="s">
        <v>122</v>
      </c>
      <c r="G86" s="29">
        <f>(G82/((1+G84)^(G85+1)))</f>
        <v>5020.3107927380479</v>
      </c>
      <c r="H86" s="29"/>
    </row>
    <row r="87" spans="1:29">
      <c r="A87" s="27" t="s">
        <v>123</v>
      </c>
      <c r="B87" s="29">
        <f>((1-(1/((1+B84)^B85)))/B84)</f>
        <v>27.446489513380339</v>
      </c>
      <c r="C87" s="28">
        <f>((1-(1/((1+B84)^B85)))/B84)</f>
        <v>27.446489513380339</v>
      </c>
      <c r="D87" s="28"/>
      <c r="E87" s="21"/>
      <c r="F87" s="27" t="s">
        <v>123</v>
      </c>
      <c r="G87" s="29">
        <f>((1-(1/((1+G84)^G85)))/G84)</f>
        <v>29.307564834911432</v>
      </c>
      <c r="H87" s="29"/>
    </row>
    <row r="88" spans="1:29">
      <c r="A88" s="27" t="s">
        <v>124</v>
      </c>
      <c r="B88" s="29">
        <f>B81-B86</f>
        <v>16820.146740753811</v>
      </c>
      <c r="C88" s="28">
        <f>B81-B86</f>
        <v>16820.146740753811</v>
      </c>
      <c r="D88" s="28"/>
      <c r="E88" s="21"/>
      <c r="F88" s="27" t="s">
        <v>124</v>
      </c>
      <c r="G88" s="29">
        <f>G81-G86</f>
        <v>16179.689207261952</v>
      </c>
      <c r="H88" s="29"/>
    </row>
    <row r="89" spans="1:29">
      <c r="A89" s="27" t="s">
        <v>125</v>
      </c>
      <c r="B89" s="29">
        <f>(B88/B87)</f>
        <v>612.83417438699701</v>
      </c>
      <c r="C89" s="28">
        <f>(B88/B87)</f>
        <v>612.83417438699701</v>
      </c>
      <c r="D89" s="28"/>
      <c r="E89" s="21"/>
      <c r="F89" s="27" t="s">
        <v>125</v>
      </c>
      <c r="G89" s="29">
        <f>(G88/G87)</f>
        <v>552.06528752564805</v>
      </c>
      <c r="H89" s="29"/>
    </row>
    <row r="90" spans="1:29">
      <c r="A90" s="27" t="s">
        <v>126</v>
      </c>
      <c r="B90" s="29">
        <f>((B89*(B85))+B77)</f>
        <v>19610.693580383904</v>
      </c>
      <c r="C90" s="28"/>
      <c r="D90" s="28"/>
      <c r="E90" s="21"/>
      <c r="F90" s="27" t="s">
        <v>126</v>
      </c>
      <c r="G90" s="29">
        <f>((G89*(G85))+G77)</f>
        <v>17666.089200820737</v>
      </c>
      <c r="H90" s="29"/>
    </row>
    <row r="91" spans="1:29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</row>
    <row r="92" spans="1:29">
      <c r="A92" s="49" t="s">
        <v>128</v>
      </c>
      <c r="B92" s="57">
        <f>(B90+B91)</f>
        <v>19610.693580383904</v>
      </c>
      <c r="C92" s="28"/>
      <c r="D92" s="28"/>
      <c r="E92" s="21"/>
      <c r="F92" s="49" t="s">
        <v>128</v>
      </c>
      <c r="G92" s="57">
        <f>(G90+G91)</f>
        <v>17666.089200820737</v>
      </c>
      <c r="H92" s="29"/>
    </row>
    <row r="93" spans="1:29">
      <c r="A93" s="27"/>
      <c r="B93" s="28"/>
      <c r="C93" s="28"/>
      <c r="D93" s="28"/>
      <c r="E93" s="21"/>
      <c r="F93" s="27"/>
      <c r="G93" s="28"/>
      <c r="H93" s="29"/>
    </row>
    <row r="94" spans="1:29">
      <c r="A94" s="76" t="s">
        <v>129</v>
      </c>
      <c r="B94" s="80" t="str">
        <f>IF(B38="YES",((H36/B85)*(1+A108)*1.2),"0")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</row>
    <row r="95" spans="1:29">
      <c r="A95" s="81" t="s">
        <v>130</v>
      </c>
      <c r="B95" s="82">
        <f>B92/(B85)</f>
        <v>612.83417438699701</v>
      </c>
      <c r="C95" s="28"/>
      <c r="D95" s="28"/>
      <c r="E95" s="21"/>
      <c r="F95" s="81" t="s">
        <v>130</v>
      </c>
      <c r="G95" s="82">
        <f>G92/(G85)</f>
        <v>552.06528752564805</v>
      </c>
      <c r="H95" s="29"/>
    </row>
    <row r="96" spans="1:29">
      <c r="A96" s="83" t="s">
        <v>131</v>
      </c>
      <c r="B96" s="84">
        <f>B94+B95</f>
        <v>612.83417438699701</v>
      </c>
      <c r="C96" s="28"/>
      <c r="D96" s="28"/>
      <c r="E96" s="21"/>
      <c r="F96" s="83" t="s">
        <v>131</v>
      </c>
      <c r="G96" s="84">
        <f>G94+G95</f>
        <v>552.06528752564805</v>
      </c>
      <c r="H96" s="29"/>
    </row>
    <row r="97" spans="1:42">
      <c r="A97" s="49"/>
      <c r="B97" s="50"/>
      <c r="C97" s="50"/>
      <c r="D97" s="50"/>
      <c r="E97" s="85"/>
      <c r="F97" s="85"/>
      <c r="G97" s="85"/>
      <c r="H97" s="57"/>
    </row>
    <row r="98" spans="1:42">
      <c r="A98" s="21"/>
      <c r="B98" s="21"/>
      <c r="C98" s="21"/>
      <c r="D98" s="21"/>
      <c r="E98" s="21"/>
      <c r="F98" s="21"/>
      <c r="G98" s="21"/>
      <c r="H98" s="21"/>
    </row>
    <row r="99" spans="1:42">
      <c r="A99" s="21"/>
      <c r="B99" s="21"/>
      <c r="C99" s="21"/>
      <c r="D99" s="21"/>
      <c r="E99" s="21"/>
      <c r="F99" s="21"/>
      <c r="G99" s="21"/>
      <c r="H99" s="21"/>
    </row>
    <row r="100" spans="1:42" ht="47.25" customHeight="1">
      <c r="A100" s="344" t="s">
        <v>134</v>
      </c>
      <c r="B100" s="344"/>
      <c r="C100" s="344"/>
      <c r="D100" s="344"/>
      <c r="E100" s="344"/>
      <c r="F100" s="344"/>
      <c r="G100" s="344"/>
      <c r="H100" s="344"/>
      <c r="J100" s="382"/>
      <c r="K100" s="382"/>
      <c r="L100" s="382"/>
      <c r="M100" s="382"/>
      <c r="N100" s="382"/>
      <c r="O100" s="382"/>
      <c r="P100" s="382"/>
      <c r="Q100" s="382"/>
      <c r="S100" s="382"/>
      <c r="T100" s="382"/>
      <c r="U100" s="382"/>
      <c r="V100" s="382"/>
      <c r="W100" s="382"/>
      <c r="X100" s="382"/>
      <c r="Y100" s="382"/>
      <c r="Z100" s="382"/>
      <c r="AB100" s="382"/>
      <c r="AC100" s="382"/>
      <c r="AD100" s="382"/>
      <c r="AE100" s="382"/>
      <c r="AF100" s="382"/>
      <c r="AG100" s="382"/>
      <c r="AH100" s="382"/>
      <c r="AI100" s="382"/>
    </row>
    <row r="101" spans="1:42">
      <c r="A101" s="22"/>
      <c r="B101" s="23"/>
      <c r="C101" s="23"/>
      <c r="D101" s="23"/>
      <c r="E101" s="63"/>
      <c r="F101" s="63"/>
      <c r="G101" s="63"/>
      <c r="H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82"/>
      <c r="K102" s="382"/>
      <c r="L102" s="382"/>
      <c r="M102" s="382"/>
      <c r="N102" s="382"/>
      <c r="O102" s="382"/>
      <c r="P102" s="382"/>
      <c r="Q102" s="382"/>
      <c r="S102" s="382"/>
      <c r="T102" s="382"/>
      <c r="U102" s="382"/>
      <c r="V102" s="382"/>
      <c r="W102" s="382"/>
      <c r="X102" s="382"/>
      <c r="Y102" s="382"/>
      <c r="Z102" s="382"/>
      <c r="AB102" s="382"/>
      <c r="AC102" s="382"/>
      <c r="AD102" s="382"/>
      <c r="AE102" s="382"/>
      <c r="AF102" s="382"/>
      <c r="AG102" s="382"/>
      <c r="AH102" s="382"/>
      <c r="AI102" s="382"/>
    </row>
    <row r="103" spans="1:42">
      <c r="A103" s="27"/>
      <c r="B103" s="28"/>
      <c r="C103" s="28"/>
      <c r="D103" s="28"/>
      <c r="E103" s="21"/>
      <c r="F103" s="21"/>
      <c r="G103" s="21"/>
      <c r="H103" s="88"/>
      <c r="Z103" s="55" t="s">
        <v>140</v>
      </c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Z104" s="55" t="s">
        <v>270</v>
      </c>
    </row>
    <row r="105" spans="1:42">
      <c r="A105" s="32" t="s">
        <v>139</v>
      </c>
      <c r="B105" s="345" t="s">
        <v>140</v>
      </c>
      <c r="C105" s="345"/>
      <c r="D105" s="345"/>
      <c r="E105" s="346" t="s">
        <v>386</v>
      </c>
      <c r="F105" s="346"/>
      <c r="G105" s="346"/>
      <c r="H105" s="88"/>
      <c r="K105" s="382"/>
      <c r="L105" s="382"/>
      <c r="M105" s="382"/>
      <c r="N105" s="382"/>
      <c r="O105" s="382"/>
      <c r="P105" s="382"/>
      <c r="T105" s="382"/>
      <c r="U105" s="382"/>
      <c r="V105" s="382"/>
      <c r="W105" s="382"/>
      <c r="X105" s="382"/>
      <c r="Y105" s="382"/>
      <c r="Z105" s="55" t="s">
        <v>271</v>
      </c>
      <c r="AC105" s="382"/>
      <c r="AD105" s="382"/>
      <c r="AE105" s="382"/>
      <c r="AF105" s="382"/>
      <c r="AG105" s="382"/>
      <c r="AH105" s="382"/>
    </row>
    <row r="106" spans="1:42">
      <c r="A106" s="27"/>
      <c r="B106" s="28"/>
      <c r="C106" s="28"/>
      <c r="D106" s="21"/>
      <c r="E106" s="28"/>
      <c r="F106" s="28"/>
      <c r="G106" s="21"/>
      <c r="H106" s="29"/>
      <c r="Z106" s="55" t="s">
        <v>272</v>
      </c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Z107" s="55" t="s">
        <v>273</v>
      </c>
    </row>
    <row r="108" spans="1:42">
      <c r="A108" s="188">
        <v>0.2</v>
      </c>
      <c r="B108" s="348" t="s">
        <v>400</v>
      </c>
      <c r="C108" s="348"/>
      <c r="D108" s="348">
        <v>0</v>
      </c>
      <c r="E108" s="349">
        <f>B83</f>
        <v>0.115</v>
      </c>
      <c r="F108" s="349"/>
      <c r="G108" s="349"/>
      <c r="H108" s="42"/>
      <c r="J108" s="10"/>
      <c r="K108" s="382"/>
      <c r="L108" s="382"/>
      <c r="M108" s="382"/>
      <c r="N108" s="390"/>
      <c r="O108" s="390"/>
      <c r="P108" s="390"/>
      <c r="S108" s="10"/>
      <c r="T108" s="382"/>
      <c r="U108" s="382"/>
      <c r="V108" s="382"/>
      <c r="W108" s="390"/>
      <c r="X108" s="390"/>
      <c r="Y108" s="390"/>
      <c r="Z108" s="55" t="s">
        <v>274</v>
      </c>
      <c r="AB108" s="10"/>
      <c r="AC108" s="382"/>
      <c r="AD108" s="382"/>
      <c r="AE108" s="382"/>
      <c r="AF108" s="390"/>
      <c r="AG108" s="390"/>
      <c r="AH108" s="390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Z109" s="55" t="s">
        <v>275</v>
      </c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Z110" s="55" t="s">
        <v>276</v>
      </c>
    </row>
    <row r="111" spans="1:42">
      <c r="A111" s="36" t="s">
        <v>385</v>
      </c>
      <c r="B111" s="348">
        <v>0</v>
      </c>
      <c r="C111" s="348"/>
      <c r="D111" s="348"/>
      <c r="E111" s="348">
        <v>0</v>
      </c>
      <c r="F111" s="348"/>
      <c r="G111" s="348"/>
      <c r="H111" s="88"/>
      <c r="K111" s="382"/>
      <c r="L111" s="382"/>
      <c r="M111" s="382"/>
      <c r="N111" s="382"/>
      <c r="O111" s="382"/>
      <c r="P111" s="382"/>
      <c r="T111" s="382"/>
      <c r="U111" s="382"/>
      <c r="V111" s="382"/>
      <c r="W111" s="382"/>
      <c r="X111" s="382"/>
      <c r="Y111" s="382"/>
      <c r="Z111" s="55" t="s">
        <v>277</v>
      </c>
      <c r="AC111" s="382"/>
      <c r="AD111" s="382"/>
      <c r="AE111" s="382"/>
      <c r="AF111" s="382"/>
      <c r="AG111" s="382"/>
      <c r="AH111" s="382"/>
    </row>
    <row r="112" spans="1:42">
      <c r="A112" s="27"/>
      <c r="B112" s="28"/>
      <c r="C112" s="28"/>
      <c r="D112" s="28"/>
      <c r="E112" s="28"/>
      <c r="F112" s="28"/>
      <c r="G112" s="21"/>
      <c r="H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</row>
    <row r="114" spans="1:35">
      <c r="A114" s="94">
        <f>B111+E111</f>
        <v>0</v>
      </c>
      <c r="B114" s="348">
        <v>1000</v>
      </c>
      <c r="C114" s="348"/>
      <c r="D114" s="348"/>
      <c r="E114" s="348">
        <v>0</v>
      </c>
      <c r="F114" s="348"/>
      <c r="G114" s="348"/>
      <c r="H114" s="88"/>
      <c r="K114" s="382"/>
      <c r="L114" s="382"/>
      <c r="M114" s="382"/>
      <c r="N114" s="382"/>
      <c r="O114" s="382"/>
      <c r="P114" s="382"/>
      <c r="T114" s="382"/>
      <c r="U114" s="382"/>
      <c r="V114" s="382"/>
      <c r="W114" s="382"/>
      <c r="X114" s="382"/>
      <c r="Y114" s="382"/>
      <c r="AC114" s="382"/>
      <c r="AD114" s="382"/>
      <c r="AE114" s="382"/>
      <c r="AF114" s="382"/>
      <c r="AG114" s="382"/>
      <c r="AH114" s="382"/>
    </row>
    <row r="115" spans="1:35">
      <c r="A115" s="95"/>
      <c r="B115" s="21"/>
      <c r="C115" s="21"/>
      <c r="D115" s="21"/>
      <c r="E115" s="21"/>
      <c r="F115" s="21"/>
      <c r="G115" s="21"/>
      <c r="H115" s="88"/>
    </row>
    <row r="116" spans="1:35">
      <c r="A116" s="95"/>
      <c r="B116" s="21"/>
      <c r="C116" s="21"/>
      <c r="D116" s="21"/>
      <c r="E116" s="21"/>
      <c r="F116" s="21"/>
      <c r="G116" s="21"/>
      <c r="H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82"/>
      <c r="K117" s="382"/>
      <c r="L117" s="382"/>
      <c r="M117" s="382"/>
      <c r="N117" s="382"/>
      <c r="O117" s="382"/>
      <c r="P117" s="382"/>
      <c r="Q117" s="382"/>
      <c r="S117" s="382"/>
      <c r="T117" s="382"/>
      <c r="U117" s="382"/>
      <c r="V117" s="382"/>
      <c r="W117" s="382"/>
      <c r="X117" s="382"/>
      <c r="Y117" s="382"/>
      <c r="Z117" s="382"/>
      <c r="AB117" s="382"/>
      <c r="AC117" s="382"/>
      <c r="AD117" s="382"/>
      <c r="AE117" s="382"/>
      <c r="AF117" s="382"/>
      <c r="AG117" s="382"/>
      <c r="AH117" s="382"/>
      <c r="AI117" s="382"/>
    </row>
    <row r="118" spans="1:35">
      <c r="A118" s="95"/>
      <c r="B118" s="21"/>
      <c r="C118" s="21"/>
      <c r="D118" s="21"/>
      <c r="E118" s="21"/>
      <c r="F118" s="21"/>
      <c r="G118" s="21"/>
      <c r="H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K119" s="382"/>
      <c r="L119" s="382"/>
      <c r="M119" s="382"/>
      <c r="N119" s="382"/>
      <c r="O119" s="382"/>
      <c r="P119" s="382"/>
      <c r="T119" s="382"/>
      <c r="U119" s="382"/>
      <c r="V119" s="382"/>
      <c r="W119" s="382"/>
      <c r="X119" s="382"/>
      <c r="Y119" s="382"/>
      <c r="AC119" s="382"/>
      <c r="AD119" s="382"/>
      <c r="AE119" s="382"/>
      <c r="AF119" s="382"/>
      <c r="AG119" s="382"/>
      <c r="AH119" s="382"/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</row>
    <row r="121" spans="1:35">
      <c r="A121" s="22" t="s">
        <v>160</v>
      </c>
      <c r="B121" s="22">
        <f>E19</f>
        <v>22200</v>
      </c>
      <c r="C121" s="36">
        <v>20416.669999999998</v>
      </c>
      <c r="D121" s="22">
        <f>D3</f>
        <v>0</v>
      </c>
      <c r="E121" s="36">
        <f>D121</f>
        <v>0</v>
      </c>
      <c r="F121" s="22">
        <v>0</v>
      </c>
      <c r="G121" s="36">
        <f>F121</f>
        <v>0</v>
      </c>
      <c r="H121" s="101">
        <f>H3</f>
        <v>0</v>
      </c>
    </row>
    <row r="122" spans="1:35">
      <c r="A122" s="27" t="s">
        <v>161</v>
      </c>
      <c r="B122" s="102">
        <v>0</v>
      </c>
      <c r="C122" s="103">
        <f>B122</f>
        <v>0</v>
      </c>
      <c r="D122" s="102">
        <v>0</v>
      </c>
      <c r="E122" s="103">
        <f>D122</f>
        <v>0</v>
      </c>
      <c r="F122" s="102">
        <v>0</v>
      </c>
      <c r="G122" s="104">
        <f>F122</f>
        <v>0</v>
      </c>
      <c r="H122" s="105"/>
      <c r="K122" s="10"/>
      <c r="L122" s="10"/>
      <c r="M122" s="10"/>
      <c r="N122" s="10"/>
      <c r="O122" s="10"/>
      <c r="P122" s="10"/>
      <c r="Q122" s="10"/>
      <c r="T122" s="10"/>
      <c r="U122" s="10"/>
      <c r="V122" s="10"/>
      <c r="W122" s="10"/>
      <c r="X122" s="10"/>
      <c r="Y122" s="10"/>
      <c r="Z122" s="10"/>
      <c r="AC122" s="10"/>
      <c r="AD122" s="10"/>
      <c r="AE122" s="10"/>
      <c r="AF122" s="10"/>
      <c r="AG122" s="10"/>
      <c r="AH122" s="10"/>
      <c r="AI122" s="10"/>
    </row>
    <row r="123" spans="1:35">
      <c r="A123" s="27" t="s">
        <v>162</v>
      </c>
      <c r="B123" s="27">
        <v>0</v>
      </c>
      <c r="C123" s="36">
        <f>B123</f>
        <v>0</v>
      </c>
      <c r="D123" s="27">
        <v>0</v>
      </c>
      <c r="E123" s="36">
        <f>D123</f>
        <v>0</v>
      </c>
      <c r="F123" s="27">
        <v>0</v>
      </c>
      <c r="G123" s="36">
        <f>F123</f>
        <v>0</v>
      </c>
      <c r="H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</row>
    <row r="125" spans="1:35">
      <c r="A125" s="49" t="s">
        <v>164</v>
      </c>
      <c r="B125" s="49">
        <f t="shared" ref="B125:G125" si="0">B121-B124</f>
        <v>22200</v>
      </c>
      <c r="C125" s="57">
        <f t="shared" si="0"/>
        <v>20416.669999999998</v>
      </c>
      <c r="D125" s="49">
        <f t="shared" si="0"/>
        <v>0</v>
      </c>
      <c r="E125" s="57">
        <f t="shared" si="0"/>
        <v>0</v>
      </c>
      <c r="F125" s="49">
        <f t="shared" si="0"/>
        <v>0</v>
      </c>
      <c r="G125" s="57">
        <f t="shared" si="0"/>
        <v>0</v>
      </c>
      <c r="H125" s="57"/>
    </row>
    <row r="126" spans="1:35">
      <c r="A126" s="27"/>
      <c r="B126" s="28"/>
      <c r="C126" s="28"/>
      <c r="D126" s="28"/>
      <c r="E126" s="28"/>
      <c r="F126" s="28"/>
      <c r="G126" s="28"/>
      <c r="H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</row>
    <row r="129" spans="1:34">
      <c r="A129" s="27"/>
      <c r="B129" s="28"/>
      <c r="C129" s="28"/>
      <c r="D129" s="28"/>
      <c r="E129" s="28"/>
      <c r="F129" s="28"/>
      <c r="G129" s="115"/>
      <c r="H129" s="116"/>
    </row>
    <row r="130" spans="1:34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K130" s="382"/>
      <c r="L130" s="382"/>
      <c r="M130" s="382"/>
      <c r="N130" s="382"/>
      <c r="O130" s="382"/>
      <c r="P130" s="382"/>
      <c r="T130" s="382"/>
      <c r="U130" s="382"/>
      <c r="V130" s="382"/>
      <c r="W130" s="382"/>
      <c r="X130" s="382"/>
      <c r="Y130" s="382"/>
      <c r="AC130" s="382"/>
      <c r="AD130" s="382"/>
      <c r="AE130" s="382"/>
      <c r="AF130" s="382"/>
      <c r="AG130" s="382"/>
      <c r="AH130" s="382"/>
    </row>
    <row r="131" spans="1:34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K131" s="382"/>
      <c r="L131" s="382"/>
      <c r="M131" s="390"/>
      <c r="N131" s="390"/>
      <c r="O131" s="382"/>
      <c r="P131" s="382"/>
      <c r="T131" s="382"/>
      <c r="U131" s="382"/>
      <c r="V131" s="390"/>
      <c r="W131" s="390"/>
      <c r="X131" s="382"/>
      <c r="Y131" s="382"/>
      <c r="AC131" s="382"/>
      <c r="AD131" s="382"/>
      <c r="AE131" s="390"/>
      <c r="AF131" s="390"/>
      <c r="AG131" s="382"/>
      <c r="AH131" s="382"/>
    </row>
    <row r="132" spans="1:34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K132" s="382"/>
      <c r="L132" s="382"/>
      <c r="M132" s="390"/>
      <c r="N132" s="390"/>
      <c r="O132" s="382"/>
      <c r="P132" s="382"/>
      <c r="T132" s="382"/>
      <c r="U132" s="382"/>
      <c r="V132" s="390"/>
      <c r="W132" s="390"/>
      <c r="X132" s="382"/>
      <c r="Y132" s="382"/>
      <c r="AC132" s="382"/>
      <c r="AD132" s="382"/>
      <c r="AE132" s="390"/>
      <c r="AF132" s="390"/>
      <c r="AG132" s="382"/>
      <c r="AH132" s="382"/>
    </row>
    <row r="133" spans="1:34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K133" s="382"/>
      <c r="L133" s="382"/>
      <c r="M133" s="390"/>
      <c r="N133" s="390"/>
      <c r="O133" s="382"/>
      <c r="P133" s="382"/>
      <c r="T133" s="382"/>
      <c r="U133" s="382"/>
      <c r="V133" s="390"/>
      <c r="W133" s="390"/>
      <c r="X133" s="382"/>
      <c r="Y133" s="382"/>
      <c r="AC133" s="382"/>
      <c r="AD133" s="382"/>
      <c r="AE133" s="390"/>
      <c r="AF133" s="390"/>
      <c r="AG133" s="382"/>
      <c r="AH133" s="382"/>
    </row>
    <row r="134" spans="1:34">
      <c r="A134" s="27"/>
      <c r="B134" s="28"/>
      <c r="C134" s="28"/>
      <c r="D134" s="28"/>
      <c r="E134" s="28"/>
      <c r="F134" s="28"/>
      <c r="G134" s="115"/>
      <c r="H134" s="116"/>
    </row>
    <row r="135" spans="1:34" ht="21">
      <c r="A135" s="356" t="s">
        <v>172</v>
      </c>
      <c r="B135" s="356"/>
      <c r="C135" s="356"/>
      <c r="D135" s="356"/>
      <c r="E135" s="356"/>
      <c r="F135" s="356"/>
      <c r="G135" s="109">
        <f>E21</f>
        <v>18500</v>
      </c>
      <c r="H135" s="120">
        <f>C125+E125+G125+H128</f>
        <v>20416.669999999998</v>
      </c>
      <c r="J135" s="382"/>
      <c r="K135" s="382"/>
      <c r="L135" s="382"/>
      <c r="M135" s="382"/>
      <c r="N135" s="382"/>
      <c r="O135" s="382"/>
      <c r="S135" s="382"/>
      <c r="T135" s="382"/>
      <c r="U135" s="382"/>
      <c r="V135" s="382"/>
      <c r="W135" s="382"/>
      <c r="X135" s="382"/>
      <c r="AB135" s="382"/>
      <c r="AC135" s="382"/>
      <c r="AD135" s="382"/>
      <c r="AE135" s="382"/>
      <c r="AF135" s="382"/>
      <c r="AG135" s="382"/>
    </row>
    <row r="136" spans="1:34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82"/>
      <c r="K136" s="382"/>
      <c r="L136" s="382"/>
      <c r="M136" s="382"/>
      <c r="N136" s="382"/>
      <c r="O136" s="382"/>
      <c r="S136" s="382"/>
      <c r="T136" s="382"/>
      <c r="U136" s="382"/>
      <c r="V136" s="382"/>
      <c r="W136" s="382"/>
      <c r="X136" s="382"/>
      <c r="AB136" s="382"/>
      <c r="AC136" s="382"/>
      <c r="AD136" s="382"/>
      <c r="AE136" s="382"/>
      <c r="AF136" s="382"/>
      <c r="AG136" s="382"/>
    </row>
    <row r="137" spans="1:34">
      <c r="A137" s="357" t="s">
        <v>174</v>
      </c>
      <c r="B137" s="357"/>
      <c r="C137" s="357"/>
      <c r="D137" s="357"/>
      <c r="E137" s="357"/>
      <c r="F137" s="357"/>
      <c r="G137" s="29">
        <f>(G135+G136)*20%</f>
        <v>3700</v>
      </c>
      <c r="H137" s="29">
        <f>(H135+H136)*20%</f>
        <v>4083.3339999999998</v>
      </c>
      <c r="J137" s="382"/>
      <c r="K137" s="382"/>
      <c r="L137" s="382"/>
      <c r="M137" s="382"/>
      <c r="N137" s="382"/>
      <c r="O137" s="382"/>
      <c r="S137" s="382"/>
      <c r="T137" s="382"/>
      <c r="U137" s="382"/>
      <c r="V137" s="382"/>
      <c r="W137" s="382"/>
      <c r="X137" s="382"/>
      <c r="AB137" s="382"/>
      <c r="AC137" s="382"/>
      <c r="AD137" s="382"/>
      <c r="AE137" s="382"/>
      <c r="AF137" s="382"/>
      <c r="AG137" s="382"/>
    </row>
    <row r="138" spans="1:34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82"/>
      <c r="K138" s="382"/>
      <c r="L138" s="382"/>
      <c r="M138" s="382"/>
      <c r="N138" s="382"/>
      <c r="O138" s="382"/>
      <c r="S138" s="382"/>
      <c r="T138" s="382"/>
      <c r="U138" s="382"/>
      <c r="V138" s="382"/>
      <c r="W138" s="382"/>
      <c r="X138" s="382"/>
      <c r="AB138" s="382"/>
      <c r="AC138" s="382"/>
      <c r="AD138" s="382"/>
      <c r="AE138" s="382"/>
      <c r="AF138" s="382"/>
      <c r="AG138" s="382"/>
    </row>
    <row r="139" spans="1:34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82"/>
      <c r="K139" s="382"/>
      <c r="L139" s="382"/>
      <c r="M139" s="382"/>
      <c r="N139" s="382"/>
      <c r="O139" s="382"/>
      <c r="S139" s="382"/>
      <c r="T139" s="382"/>
      <c r="U139" s="382"/>
      <c r="V139" s="382"/>
      <c r="W139" s="382"/>
      <c r="X139" s="382"/>
      <c r="AB139" s="382"/>
      <c r="AC139" s="382"/>
      <c r="AD139" s="382"/>
      <c r="AE139" s="382"/>
      <c r="AF139" s="382"/>
      <c r="AG139" s="382"/>
    </row>
    <row r="140" spans="1:34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82"/>
      <c r="K140" s="382"/>
      <c r="L140" s="382"/>
      <c r="M140" s="382"/>
      <c r="N140" s="382"/>
      <c r="O140" s="382"/>
      <c r="S140" s="382"/>
      <c r="T140" s="382"/>
      <c r="U140" s="382"/>
      <c r="V140" s="382"/>
      <c r="W140" s="382"/>
      <c r="X140" s="382"/>
      <c r="AB140" s="382"/>
      <c r="AC140" s="382"/>
      <c r="AD140" s="382"/>
      <c r="AE140" s="382"/>
      <c r="AF140" s="382"/>
      <c r="AG140" s="382"/>
    </row>
    <row r="141" spans="1:34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22200</v>
      </c>
      <c r="H141" s="122">
        <f>(H135+H136+H139+H140+H137)-H138</f>
        <v>24500.003999999997</v>
      </c>
      <c r="J141" s="382"/>
      <c r="K141" s="382"/>
      <c r="L141" s="382"/>
      <c r="M141" s="382"/>
      <c r="N141" s="382"/>
      <c r="O141" s="382"/>
      <c r="S141" s="382"/>
      <c r="T141" s="382"/>
      <c r="U141" s="382"/>
      <c r="V141" s="382"/>
      <c r="W141" s="382"/>
      <c r="X141" s="382"/>
      <c r="AB141" s="382"/>
      <c r="AC141" s="382"/>
      <c r="AD141" s="382"/>
      <c r="AE141" s="382"/>
      <c r="AF141" s="382"/>
      <c r="AG141" s="382"/>
    </row>
    <row r="142" spans="1:34">
      <c r="A142" s="357" t="s">
        <v>179</v>
      </c>
      <c r="B142" s="357"/>
      <c r="C142" s="357"/>
      <c r="D142" s="357"/>
      <c r="E142" s="357"/>
      <c r="F142" s="357"/>
      <c r="G142" s="36">
        <f>F142</f>
        <v>0</v>
      </c>
      <c r="H142" s="36">
        <f>G142</f>
        <v>0</v>
      </c>
      <c r="J142" s="382"/>
      <c r="K142" s="382"/>
      <c r="L142" s="382"/>
      <c r="M142" s="382"/>
      <c r="N142" s="382"/>
      <c r="O142" s="382"/>
      <c r="S142" s="382"/>
      <c r="T142" s="382"/>
      <c r="U142" s="382"/>
      <c r="V142" s="382"/>
      <c r="W142" s="382"/>
      <c r="X142" s="382"/>
      <c r="AB142" s="382"/>
      <c r="AC142" s="382"/>
      <c r="AD142" s="382"/>
      <c r="AE142" s="382"/>
      <c r="AF142" s="382"/>
      <c r="AG142" s="382"/>
    </row>
    <row r="143" spans="1:34">
      <c r="A143" s="358" t="s">
        <v>180</v>
      </c>
      <c r="B143" s="358"/>
      <c r="C143" s="358"/>
      <c r="D143" s="358"/>
      <c r="E143" s="358"/>
      <c r="F143" s="358"/>
      <c r="G143" s="29"/>
      <c r="H143" s="29"/>
      <c r="J143" s="382"/>
      <c r="K143" s="382"/>
      <c r="L143" s="382"/>
      <c r="M143" s="382"/>
      <c r="N143" s="382"/>
      <c r="O143" s="382"/>
      <c r="S143" s="382"/>
      <c r="T143" s="382"/>
      <c r="U143" s="382"/>
      <c r="V143" s="382"/>
      <c r="W143" s="382"/>
      <c r="X143" s="382"/>
      <c r="AB143" s="382"/>
      <c r="AC143" s="382"/>
      <c r="AD143" s="382"/>
      <c r="AE143" s="382"/>
      <c r="AF143" s="382"/>
      <c r="AG143" s="382"/>
    </row>
    <row r="144" spans="1:34">
      <c r="A144" s="124" t="s">
        <v>26</v>
      </c>
      <c r="B144" s="360">
        <v>0</v>
      </c>
      <c r="C144" s="360"/>
      <c r="D144" s="360"/>
      <c r="E144" s="360"/>
      <c r="F144" s="360"/>
      <c r="G144" s="36">
        <v>0</v>
      </c>
      <c r="H144" s="36">
        <v>0</v>
      </c>
      <c r="K144" s="382"/>
      <c r="L144" s="382"/>
      <c r="M144" s="382"/>
      <c r="N144" s="382"/>
      <c r="O144" s="382"/>
      <c r="T144" s="382"/>
      <c r="U144" s="382"/>
      <c r="V144" s="382"/>
      <c r="W144" s="382"/>
      <c r="X144" s="382"/>
      <c r="AC144" s="382"/>
      <c r="AD144" s="382"/>
      <c r="AE144" s="382"/>
      <c r="AF144" s="382"/>
      <c r="AG144" s="382"/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36">
        <v>0</v>
      </c>
      <c r="H145" s="36">
        <v>0</v>
      </c>
      <c r="I145" s="4">
        <f>(G142+G145+G146+G144)</f>
        <v>0</v>
      </c>
      <c r="K145" s="382"/>
      <c r="L145" s="382"/>
      <c r="M145" s="382"/>
      <c r="N145" s="382"/>
      <c r="O145" s="382"/>
      <c r="T145" s="382"/>
      <c r="U145" s="382"/>
      <c r="V145" s="382"/>
      <c r="W145" s="382"/>
      <c r="X145" s="382"/>
      <c r="AC145" s="382"/>
      <c r="AD145" s="382"/>
      <c r="AE145" s="382"/>
      <c r="AF145" s="382"/>
      <c r="AG145" s="382"/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36">
        <v>0</v>
      </c>
      <c r="H146" s="36">
        <v>0</v>
      </c>
      <c r="I146" s="4">
        <f>(H142+H144+H145+H146)</f>
        <v>0</v>
      </c>
      <c r="K146" s="382"/>
      <c r="L146" s="382"/>
      <c r="M146" s="382"/>
      <c r="N146" s="382"/>
      <c r="O146" s="382"/>
      <c r="T146" s="382"/>
      <c r="U146" s="382"/>
      <c r="V146" s="382"/>
      <c r="W146" s="382"/>
      <c r="X146" s="382"/>
      <c r="AC146" s="382"/>
      <c r="AD146" s="382"/>
      <c r="AE146" s="382"/>
      <c r="AF146" s="382"/>
      <c r="AG146" s="382"/>
    </row>
    <row r="147" spans="1:35" ht="21">
      <c r="A147" s="357" t="s">
        <v>182</v>
      </c>
      <c r="B147" s="357"/>
      <c r="C147" s="357"/>
      <c r="D147" s="357"/>
      <c r="E147" s="357"/>
      <c r="F147" s="357"/>
      <c r="G147" s="126">
        <f>G141-((G144*1.2)+(G145*1.2)+(G146*1.2)+(G142*1.2))</f>
        <v>22200</v>
      </c>
      <c r="H147" s="126">
        <f>H141-((H144*1.2)+(H145*1.2)+(H146*1.2)+(H142*1.2))</f>
        <v>24500.003999999997</v>
      </c>
      <c r="J147" s="382"/>
      <c r="K147" s="382"/>
      <c r="L147" s="382"/>
      <c r="M147" s="382"/>
      <c r="N147" s="382"/>
      <c r="O147" s="382"/>
      <c r="S147" s="382"/>
      <c r="T147" s="382"/>
      <c r="U147" s="382"/>
      <c r="V147" s="382"/>
      <c r="W147" s="382"/>
      <c r="X147" s="382"/>
      <c r="AB147" s="382"/>
      <c r="AC147" s="382"/>
      <c r="AD147" s="382"/>
      <c r="AE147" s="382"/>
      <c r="AF147" s="382"/>
      <c r="AG147" s="382"/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1916.6699999999973</v>
      </c>
      <c r="I148" s="4">
        <f>(H148-G81)/1.2</f>
        <v>-16069.441666666669</v>
      </c>
      <c r="J148" s="382"/>
      <c r="K148" s="382"/>
      <c r="L148" s="382"/>
      <c r="M148" s="382"/>
      <c r="N148" s="382"/>
      <c r="O148" s="382"/>
      <c r="S148" s="382"/>
      <c r="T148" s="382"/>
      <c r="U148" s="382"/>
      <c r="V148" s="382"/>
      <c r="W148" s="382"/>
      <c r="X148" s="382"/>
      <c r="AB148" s="382"/>
      <c r="AC148" s="382"/>
      <c r="AD148" s="382"/>
      <c r="AE148" s="382"/>
      <c r="AF148" s="382"/>
      <c r="AG148" s="382"/>
    </row>
    <row r="149" spans="1:35">
      <c r="A149" s="27"/>
      <c r="B149" s="28"/>
      <c r="C149" s="28"/>
      <c r="D149" s="28"/>
      <c r="E149" s="21"/>
      <c r="F149" s="21"/>
      <c r="G149" s="21"/>
      <c r="H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82"/>
      <c r="K150" s="382"/>
      <c r="L150" s="382"/>
      <c r="M150" s="382"/>
      <c r="N150" s="382"/>
      <c r="O150" s="382"/>
      <c r="P150" s="382"/>
      <c r="Q150" s="382"/>
      <c r="S150" s="382"/>
      <c r="T150" s="382"/>
      <c r="U150" s="382"/>
      <c r="V150" s="382"/>
      <c r="W150" s="382"/>
      <c r="X150" s="382"/>
      <c r="Y150" s="382"/>
      <c r="Z150" s="382"/>
      <c r="AB150" s="382"/>
      <c r="AC150" s="382"/>
      <c r="AD150" s="382"/>
      <c r="AE150" s="382"/>
      <c r="AF150" s="382"/>
      <c r="AG150" s="382"/>
      <c r="AH150" s="382"/>
      <c r="AI150" s="382"/>
    </row>
    <row r="151" spans="1:35">
      <c r="A151" s="27"/>
      <c r="B151" s="28"/>
      <c r="C151" s="28"/>
      <c r="D151" s="28"/>
      <c r="E151" s="21"/>
      <c r="F151" s="21"/>
      <c r="G151" s="21"/>
      <c r="H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N152" s="382"/>
      <c r="O152" s="382"/>
      <c r="P152" s="382"/>
      <c r="Q152" s="382"/>
      <c r="W152" s="382"/>
      <c r="X152" s="382"/>
      <c r="Y152" s="382"/>
      <c r="Z152" s="382"/>
      <c r="AF152" s="382"/>
      <c r="AG152" s="382"/>
      <c r="AH152" s="382"/>
      <c r="AI152" s="382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N153" s="382"/>
      <c r="O153" s="382"/>
      <c r="P153" s="382"/>
      <c r="Q153" s="382"/>
      <c r="W153" s="382"/>
      <c r="X153" s="382"/>
      <c r="Y153" s="382"/>
      <c r="Z153" s="382"/>
      <c r="AF153" s="382"/>
      <c r="AG153" s="382"/>
      <c r="AH153" s="382"/>
      <c r="AI153" s="382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N154" s="382"/>
      <c r="O154" s="382"/>
      <c r="P154" s="382"/>
      <c r="Q154" s="382"/>
      <c r="W154" s="382"/>
      <c r="X154" s="382"/>
      <c r="Y154" s="382"/>
      <c r="Z154" s="382"/>
      <c r="AF154" s="382"/>
      <c r="AG154" s="382"/>
      <c r="AH154" s="382"/>
      <c r="AI154" s="382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N155" s="382"/>
      <c r="O155" s="382"/>
      <c r="W155" s="382"/>
      <c r="X155" s="382"/>
      <c r="AF155" s="382"/>
      <c r="AG155" s="382"/>
    </row>
    <row r="156" spans="1:35">
      <c r="A156" s="22" t="s">
        <v>189</v>
      </c>
      <c r="B156" s="23"/>
      <c r="C156" s="23"/>
      <c r="D156" s="63"/>
      <c r="E156" s="23"/>
      <c r="F156" s="63"/>
      <c r="G156" s="128" t="s">
        <v>10</v>
      </c>
      <c r="H156" s="36">
        <v>1420</v>
      </c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0</v>
      </c>
      <c r="H157" s="365"/>
      <c r="P157" s="382"/>
      <c r="Q157" s="382"/>
      <c r="Y157" s="382"/>
      <c r="Z157" s="382"/>
      <c r="AH157" s="382"/>
      <c r="AI157" s="382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25920.003999999997</v>
      </c>
      <c r="H158" s="366"/>
      <c r="P158" s="382"/>
      <c r="Q158" s="382"/>
      <c r="Y158" s="382"/>
      <c r="Z158" s="382"/>
      <c r="AH158" s="382"/>
      <c r="AI158" s="382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1000</v>
      </c>
      <c r="H159" s="367"/>
      <c r="P159" s="382"/>
      <c r="Q159" s="382"/>
      <c r="Y159" s="382"/>
      <c r="Z159" s="382"/>
      <c r="AH159" s="382"/>
      <c r="AI159" s="382"/>
    </row>
    <row r="160" spans="1:35">
      <c r="A160" s="27"/>
      <c r="B160" s="28"/>
      <c r="C160" s="28"/>
      <c r="D160" s="28"/>
      <c r="E160" s="21"/>
      <c r="F160" s="21"/>
      <c r="G160" s="21"/>
      <c r="H160" s="29"/>
    </row>
    <row r="161" spans="1:35">
      <c r="A161" s="27"/>
      <c r="B161" s="28"/>
      <c r="C161" s="28"/>
      <c r="D161" s="28"/>
      <c r="E161" s="21"/>
      <c r="F161" s="21"/>
      <c r="G161" s="21"/>
      <c r="H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82"/>
      <c r="K162" s="382"/>
      <c r="L162" s="382"/>
      <c r="M162" s="382"/>
      <c r="N162" s="382"/>
      <c r="O162" s="382"/>
      <c r="P162" s="382"/>
      <c r="Q162" s="382"/>
      <c r="S162" s="382"/>
      <c r="T162" s="382"/>
      <c r="U162" s="382"/>
      <c r="V162" s="382"/>
      <c r="W162" s="382"/>
      <c r="X162" s="382"/>
      <c r="Y162" s="382"/>
      <c r="Z162" s="382"/>
      <c r="AB162" s="382"/>
      <c r="AC162" s="382"/>
      <c r="AD162" s="382"/>
      <c r="AE162" s="382"/>
      <c r="AF162" s="382"/>
      <c r="AG162" s="382"/>
      <c r="AH162" s="382"/>
      <c r="AI162" s="382"/>
    </row>
    <row r="163" spans="1:35">
      <c r="A163" s="27"/>
      <c r="B163" s="28"/>
      <c r="C163" s="28"/>
      <c r="D163" s="28"/>
      <c r="E163" s="21"/>
      <c r="F163" s="21"/>
      <c r="G163" s="21"/>
      <c r="H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K164" s="382"/>
      <c r="L164" s="382"/>
      <c r="T164" s="382"/>
      <c r="U164" s="382"/>
      <c r="AC164" s="382"/>
      <c r="AD164" s="382"/>
    </row>
    <row r="165" spans="1:35">
      <c r="A165" s="27"/>
      <c r="B165" s="28"/>
      <c r="C165" s="28"/>
      <c r="D165" s="28"/>
      <c r="E165" s="21"/>
      <c r="F165" s="21"/>
      <c r="G165" s="21"/>
      <c r="H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</row>
    <row r="167" spans="1:35">
      <c r="A167" s="132">
        <f>B95</f>
        <v>612.83417438699701</v>
      </c>
      <c r="B167" s="133" t="str">
        <f>B94</f>
        <v>0</v>
      </c>
      <c r="C167" s="131"/>
      <c r="D167" s="131"/>
      <c r="E167" s="133">
        <f>B96</f>
        <v>612.83417438699701</v>
      </c>
      <c r="F167" s="21"/>
      <c r="G167" s="21">
        <f>ROUND(G95,2)</f>
        <v>552.07000000000005</v>
      </c>
      <c r="H167" s="29"/>
    </row>
    <row r="168" spans="1:35">
      <c r="A168" s="27"/>
      <c r="B168" s="28"/>
      <c r="C168" s="28"/>
      <c r="D168" s="28"/>
      <c r="E168" s="21"/>
      <c r="F168" s="21"/>
      <c r="G168" s="21"/>
      <c r="H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</row>
    <row r="170" spans="1:35">
      <c r="A170" s="134">
        <f>B29</f>
        <v>12345</v>
      </c>
      <c r="B170" s="135">
        <f>B30</f>
        <v>0</v>
      </c>
      <c r="C170" s="136"/>
      <c r="D170" s="21"/>
      <c r="E170" s="137">
        <v>6000</v>
      </c>
      <c r="F170" s="21"/>
      <c r="G170" s="21"/>
      <c r="H170" s="29"/>
    </row>
    <row r="171" spans="1:35">
      <c r="A171" s="27"/>
      <c r="B171" s="28"/>
      <c r="C171" s="28"/>
      <c r="D171" s="21"/>
      <c r="E171" s="28"/>
      <c r="F171" s="21"/>
      <c r="G171" s="21"/>
      <c r="H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</row>
    <row r="173" spans="1:35">
      <c r="A173" s="138">
        <f>H141-H137-H139-H140</f>
        <v>20416.669999999998</v>
      </c>
      <c r="B173" s="34">
        <f>H137</f>
        <v>4083.3339999999998</v>
      </c>
      <c r="C173" s="38"/>
      <c r="D173" s="21"/>
      <c r="E173" s="137">
        <f>H139+H140</f>
        <v>0</v>
      </c>
      <c r="F173" s="21"/>
      <c r="G173" s="21"/>
      <c r="H173" s="29"/>
    </row>
    <row r="174" spans="1:35">
      <c r="A174" s="27"/>
      <c r="B174" s="28"/>
      <c r="C174" s="28"/>
      <c r="D174" s="21"/>
      <c r="E174" s="28"/>
      <c r="F174" s="21"/>
      <c r="G174" s="21"/>
      <c r="H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</row>
    <row r="176" spans="1:35">
      <c r="A176" s="138">
        <f>H141</f>
        <v>24500.003999999997</v>
      </c>
      <c r="B176" s="34">
        <f>B111</f>
        <v>0</v>
      </c>
      <c r="C176" s="34"/>
      <c r="D176" s="21"/>
      <c r="E176" s="34">
        <f>E111</f>
        <v>0</v>
      </c>
      <c r="F176" s="21"/>
      <c r="G176" s="21"/>
      <c r="H176" s="90"/>
    </row>
    <row r="177" spans="1:8">
      <c r="A177" s="27"/>
      <c r="B177" s="28"/>
      <c r="C177" s="28"/>
      <c r="D177" s="21"/>
      <c r="E177" s="28"/>
      <c r="F177" s="21"/>
      <c r="G177" s="21"/>
      <c r="H177" s="29"/>
    </row>
    <row r="178" spans="1:8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</row>
    <row r="179" spans="1:8">
      <c r="A179" s="94">
        <f>B176+E176</f>
        <v>0</v>
      </c>
      <c r="B179" s="34">
        <f>G154</f>
        <v>0</v>
      </c>
      <c r="C179" s="34"/>
      <c r="D179" s="21"/>
      <c r="E179" s="34">
        <f>G158</f>
        <v>25920.003999999997</v>
      </c>
      <c r="F179" s="21"/>
      <c r="G179" s="21"/>
      <c r="H179" s="90"/>
    </row>
    <row r="180" spans="1:8">
      <c r="A180" s="27"/>
      <c r="B180" s="28"/>
      <c r="C180" s="28"/>
      <c r="D180" s="21"/>
      <c r="E180" s="28"/>
      <c r="F180" s="21"/>
      <c r="G180" s="21"/>
      <c r="H180" s="29"/>
    </row>
    <row r="181" spans="1:8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</row>
    <row r="182" spans="1:8">
      <c r="A182" s="94">
        <f>(A167*B59)+E185-E179-A185</f>
        <v>-309.31041961609299</v>
      </c>
      <c r="B182" s="34">
        <f>B114</f>
        <v>1000</v>
      </c>
      <c r="C182" s="34"/>
      <c r="D182" s="21"/>
      <c r="E182" s="34">
        <f>E179+A182+B182+A185</f>
        <v>26620.693580383904</v>
      </c>
      <c r="F182" s="21"/>
      <c r="G182" s="21"/>
      <c r="H182" s="90"/>
    </row>
    <row r="183" spans="1:8">
      <c r="A183" s="27"/>
      <c r="B183" s="28"/>
      <c r="C183" s="28"/>
      <c r="D183" s="21"/>
      <c r="E183" s="28"/>
      <c r="F183" s="21"/>
      <c r="G183" s="21"/>
      <c r="H183" s="29"/>
    </row>
    <row r="184" spans="1:8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</row>
    <row r="185" spans="1:8">
      <c r="A185" s="94">
        <f>B60</f>
        <v>10</v>
      </c>
      <c r="B185" s="34">
        <f>A179+B182</f>
        <v>1000</v>
      </c>
      <c r="C185" s="34"/>
      <c r="D185" s="21"/>
      <c r="E185" s="34">
        <f>IF( E170=0, A185+E167, E170+A185)</f>
        <v>6010</v>
      </c>
      <c r="F185" s="21"/>
      <c r="G185" s="21"/>
      <c r="H185" s="90"/>
    </row>
    <row r="186" spans="1:8">
      <c r="A186" s="27"/>
      <c r="B186" s="28"/>
      <c r="C186" s="28"/>
      <c r="D186" s="28"/>
      <c r="E186" s="21"/>
      <c r="F186" s="21"/>
      <c r="G186" s="21"/>
      <c r="H186" s="29"/>
    </row>
    <row r="187" spans="1:8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</row>
    <row r="188" spans="1:8">
      <c r="A188" s="94">
        <f>J18*0.000002*100*1.2</f>
        <v>8.9769600000000001</v>
      </c>
      <c r="B188" s="34">
        <f>(G158*B67)</f>
        <v>777.60011999999983</v>
      </c>
      <c r="C188" s="28"/>
      <c r="D188" s="28"/>
      <c r="E188" s="34">
        <f>IF(E105="YES",(H36*A108)*0.1,0)</f>
        <v>0</v>
      </c>
      <c r="F188" s="21"/>
      <c r="G188" s="21"/>
      <c r="H188" s="29"/>
    </row>
    <row r="189" spans="1:8">
      <c r="A189" s="94"/>
      <c r="B189" s="34"/>
      <c r="C189" s="28"/>
      <c r="D189" s="28"/>
      <c r="E189" s="21"/>
      <c r="F189" s="21"/>
      <c r="G189" s="21"/>
      <c r="H189" s="29"/>
    </row>
    <row r="190" spans="1:8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</row>
    <row r="191" spans="1:8">
      <c r="A191" s="94">
        <v>10</v>
      </c>
      <c r="B191" s="34">
        <f>B188+E188+A191</f>
        <v>787.60011999999983</v>
      </c>
      <c r="C191" s="28"/>
      <c r="D191" s="28"/>
      <c r="E191" s="34">
        <f>H148</f>
        <v>1916.6699999999973</v>
      </c>
      <c r="F191" s="21"/>
      <c r="G191" s="21"/>
      <c r="H191" s="29"/>
    </row>
    <row r="192" spans="1:8">
      <c r="A192" s="27"/>
      <c r="B192" s="28"/>
      <c r="C192" s="28"/>
      <c r="D192" s="28"/>
      <c r="E192" s="21"/>
      <c r="F192" s="21"/>
      <c r="G192" s="21"/>
      <c r="H192" s="29"/>
    </row>
    <row r="193" spans="1:31">
      <c r="A193" s="58" t="s">
        <v>214</v>
      </c>
      <c r="B193" s="28"/>
      <c r="C193" s="28"/>
      <c r="D193" s="59"/>
      <c r="E193" s="59"/>
      <c r="F193" s="59"/>
      <c r="G193" s="59"/>
      <c r="H193" s="60"/>
    </row>
    <row r="194" spans="1:31">
      <c r="A194" s="27"/>
      <c r="B194" s="61"/>
      <c r="C194" s="61"/>
      <c r="D194" s="28"/>
      <c r="E194" s="21"/>
      <c r="F194" s="21"/>
      <c r="G194" s="21"/>
      <c r="H194" s="29"/>
    </row>
    <row r="195" spans="1:31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82"/>
      <c r="K195" s="382"/>
      <c r="L195" s="382"/>
      <c r="M195" s="382"/>
      <c r="S195" s="382"/>
      <c r="T195" s="382"/>
      <c r="U195" s="382"/>
      <c r="V195" s="382"/>
      <c r="AB195" s="382"/>
      <c r="AC195" s="382"/>
      <c r="AD195" s="382"/>
      <c r="AE195" s="382"/>
    </row>
    <row r="196" spans="1:31" ht="19.5" customHeight="1">
      <c r="A196" s="369"/>
      <c r="B196" s="342" t="str">
        <f>H30</f>
        <v>5000</v>
      </c>
      <c r="C196" s="342"/>
      <c r="D196" s="342"/>
      <c r="E196" s="21"/>
      <c r="F196" s="21"/>
      <c r="G196" s="21"/>
      <c r="H196" s="29"/>
      <c r="J196" s="382"/>
      <c r="K196" s="382"/>
      <c r="L196" s="382"/>
      <c r="M196" s="382"/>
      <c r="S196" s="382"/>
      <c r="T196" s="382"/>
      <c r="U196" s="382"/>
      <c r="V196" s="382"/>
      <c r="AB196" s="382"/>
      <c r="AC196" s="382"/>
      <c r="AD196" s="382"/>
      <c r="AE196" s="382"/>
    </row>
    <row r="197" spans="1:31">
      <c r="A197" s="62" t="str">
        <f>H29</f>
        <v>33</v>
      </c>
      <c r="B197" s="343">
        <f>B96</f>
        <v>612.83417438699701</v>
      </c>
      <c r="C197" s="343"/>
      <c r="D197" s="343"/>
      <c r="E197" s="21"/>
      <c r="F197" s="21"/>
      <c r="G197" s="21"/>
      <c r="H197" s="29"/>
      <c r="K197" s="382"/>
      <c r="L197" s="382"/>
      <c r="M197" s="382"/>
      <c r="T197" s="382"/>
      <c r="U197" s="382"/>
      <c r="V197" s="382"/>
      <c r="AC197" s="382"/>
      <c r="AD197" s="382"/>
      <c r="AE197" s="382"/>
    </row>
    <row r="198" spans="1:31">
      <c r="A198" s="27"/>
      <c r="B198" s="28"/>
      <c r="C198" s="28"/>
      <c r="D198" s="28"/>
      <c r="E198" s="21"/>
      <c r="F198" s="21"/>
      <c r="G198" s="21"/>
      <c r="H198" s="29"/>
    </row>
    <row r="199" spans="1:31">
      <c r="A199" s="27"/>
      <c r="B199" s="28"/>
      <c r="C199" s="28"/>
      <c r="D199" s="28"/>
      <c r="E199" s="21"/>
      <c r="F199" s="21"/>
      <c r="G199" s="21"/>
      <c r="H199" s="29"/>
    </row>
    <row r="200" spans="1:31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</row>
    <row r="201" spans="1:31">
      <c r="A201" s="32">
        <f>IF(A40=0,((G167*(B59+1))-E179),((G167*B59)+E185-E179-A185))</f>
        <v>-2253.7639999999956</v>
      </c>
      <c r="B201" s="38">
        <f>E179+A201+B182+A185</f>
        <v>24676.240000000002</v>
      </c>
      <c r="C201" s="28"/>
      <c r="D201" s="28"/>
      <c r="E201" s="21"/>
      <c r="F201" s="21"/>
      <c r="G201" s="21"/>
      <c r="H201" s="29"/>
    </row>
    <row r="202" spans="1:31">
      <c r="A202" s="49"/>
      <c r="B202" s="50"/>
      <c r="C202" s="50"/>
      <c r="D202" s="50"/>
      <c r="E202" s="50"/>
      <c r="F202" s="50"/>
      <c r="G202" s="50"/>
      <c r="H202" s="57"/>
    </row>
    <row r="206" spans="1:31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1">
      <c r="A207" s="27"/>
      <c r="B207" s="28"/>
      <c r="C207" s="28"/>
      <c r="D207" s="28"/>
      <c r="E207" s="21"/>
      <c r="F207" s="21"/>
      <c r="G207" s="21"/>
      <c r="H207" s="29"/>
    </row>
    <row r="208" spans="1:31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42" t="s">
        <v>217</v>
      </c>
      <c r="B209" s="131" t="str">
        <f>A197</f>
        <v>33</v>
      </c>
      <c r="C209" s="131"/>
      <c r="D209" s="131"/>
      <c r="E209" s="131" t="str">
        <f>B196</f>
        <v>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612.83417438699701</v>
      </c>
      <c r="B212" s="133" t="str">
        <f>B167</f>
        <v>0</v>
      </c>
      <c r="C212" s="131"/>
      <c r="D212" s="131"/>
      <c r="E212" s="133">
        <f>E167</f>
        <v>612.83417438699701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20416.669999999998</v>
      </c>
      <c r="B215" s="34">
        <f>B173</f>
        <v>4083.3339999999998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24500.003999999997</v>
      </c>
      <c r="B218" s="34">
        <f>B176</f>
        <v>0</v>
      </c>
      <c r="C218" s="34"/>
      <c r="D218" s="21"/>
      <c r="E218" s="34">
        <f>E176</f>
        <v>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0</v>
      </c>
      <c r="B221" s="34">
        <f>B179</f>
        <v>0</v>
      </c>
      <c r="C221" s="34"/>
      <c r="D221" s="21"/>
      <c r="E221" s="34">
        <f>E179</f>
        <v>25920.003999999997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-309.31041961609299</v>
      </c>
      <c r="B224" s="34">
        <f>B182</f>
        <v>1000</v>
      </c>
      <c r="C224" s="34"/>
      <c r="D224" s="21"/>
      <c r="E224" s="34">
        <f>E182</f>
        <v>26620.693580383904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1000</v>
      </c>
      <c r="C227" s="34"/>
      <c r="D227" s="21"/>
      <c r="E227" s="34">
        <f>B59</f>
        <v>32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612.83417438699701</v>
      </c>
      <c r="B230" s="34" t="str">
        <f>B167</f>
        <v>0</v>
      </c>
      <c r="C230" s="38"/>
      <c r="D230" s="38"/>
      <c r="E230" s="34">
        <f>E167</f>
        <v>612.83417438699701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219</v>
      </c>
      <c r="B232" s="28" t="s">
        <v>220</v>
      </c>
      <c r="C232" s="28"/>
      <c r="D232" s="28"/>
      <c r="E232" s="28" t="s">
        <v>80</v>
      </c>
      <c r="F232" s="21"/>
      <c r="G232" s="21"/>
      <c r="H232" s="29"/>
    </row>
    <row r="233" spans="1:8">
      <c r="A233" s="94">
        <f>E170</f>
        <v>6000</v>
      </c>
      <c r="B233" s="34">
        <f>E185</f>
        <v>6010</v>
      </c>
      <c r="C233" s="28"/>
      <c r="D233" s="28"/>
      <c r="E233" s="34">
        <f>J18*0.000006*100*1.2</f>
        <v>26.930880000000002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221</v>
      </c>
      <c r="B235" s="35" t="s">
        <v>85</v>
      </c>
      <c r="C235" s="28"/>
      <c r="D235" s="28"/>
      <c r="E235" s="35" t="s">
        <v>142</v>
      </c>
      <c r="F235" s="21"/>
      <c r="G235" s="21"/>
      <c r="H235" s="29"/>
    </row>
    <row r="236" spans="1:8">
      <c r="A236" s="94">
        <f>A188</f>
        <v>8.9769600000000001</v>
      </c>
      <c r="B236" s="34">
        <f>E233+A236</f>
        <v>35.90784</v>
      </c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1916.6699999999973</v>
      </c>
      <c r="B240" s="34">
        <f>B188</f>
        <v>777.60011999999983</v>
      </c>
      <c r="C240" s="28"/>
      <c r="D240" s="28"/>
      <c r="E240" s="34">
        <f>IF(E105="YES",(H36*A108)*0.1,0)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1284.2701199999974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B63</f>
        <v>6.5000000000000002E-2</v>
      </c>
      <c r="C253" s="144"/>
      <c r="D253" s="374" t="s">
        <v>226</v>
      </c>
      <c r="E253" s="374"/>
      <c r="F253" s="143">
        <f>B83</f>
        <v>0.115</v>
      </c>
      <c r="G253" s="21"/>
      <c r="H253" s="29"/>
    </row>
    <row r="254" spans="1:8">
      <c r="A254" s="139" t="s">
        <v>227</v>
      </c>
      <c r="B254" s="145">
        <f>(E182-B182)-(B201-B182-A185)</f>
        <v>1954.4535803839026</v>
      </c>
      <c r="C254" s="144"/>
      <c r="D254" s="374" t="s">
        <v>228</v>
      </c>
      <c r="E254" s="374"/>
      <c r="F254" s="146">
        <f>F261+F267+F269+B270+B271</f>
        <v>777.60011999999983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1186.8534603839028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0.115</v>
      </c>
      <c r="C260" s="38"/>
      <c r="D260" s="363" t="s">
        <v>227</v>
      </c>
      <c r="E260" s="363"/>
      <c r="F260" s="115">
        <f>B254</f>
        <v>1954.4535803839026</v>
      </c>
      <c r="G260" s="21"/>
      <c r="H260" s="29"/>
    </row>
    <row r="261" spans="1:8">
      <c r="A261" s="27" t="s">
        <v>233</v>
      </c>
      <c r="B261" s="155">
        <f>B67</f>
        <v>0.03</v>
      </c>
      <c r="C261" s="28"/>
      <c r="D261" s="363" t="s">
        <v>233</v>
      </c>
      <c r="E261" s="363"/>
      <c r="F261" s="119">
        <f>B68</f>
        <v>777.60011999999983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1186.8534603839028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71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A100:H100"/>
    <mergeCell ref="J100:Q100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G42:H42"/>
    <mergeCell ref="B44:C44"/>
    <mergeCell ref="D44:E44"/>
    <mergeCell ref="B47:C47"/>
    <mergeCell ref="D47:E47"/>
    <mergeCell ref="A51:A52"/>
    <mergeCell ref="B51:C51"/>
    <mergeCell ref="B52:C52"/>
    <mergeCell ref="B53:C53"/>
    <mergeCell ref="B30:C30"/>
    <mergeCell ref="B32:C32"/>
    <mergeCell ref="D32:E32"/>
    <mergeCell ref="B35:C35"/>
    <mergeCell ref="D35:E35"/>
    <mergeCell ref="B38:C38"/>
    <mergeCell ref="D38:E38"/>
    <mergeCell ref="J38:K38"/>
    <mergeCell ref="B41:C41"/>
    <mergeCell ref="D41:E41"/>
    <mergeCell ref="A1:F1"/>
    <mergeCell ref="D7:E18"/>
    <mergeCell ref="A16:C18"/>
    <mergeCell ref="A19:D19"/>
    <mergeCell ref="A21:D21"/>
    <mergeCell ref="A24:E24"/>
    <mergeCell ref="A26:E26"/>
    <mergeCell ref="B29:C29"/>
    <mergeCell ref="D29:E29"/>
  </mergeCells>
  <dataValidations count="4">
    <dataValidation type="list" allowBlank="1" showErrorMessage="1" sqref="B38" xr:uid="{00000000-0002-0000-1B00-000001000000}">
      <formula1>$Z$19:$Z$20</formula1>
      <formula2>0</formula2>
    </dataValidation>
    <dataValidation type="list" allowBlank="1" showInputMessage="1" showErrorMessage="1" sqref="B105 C108:D108 A144:A146" xr:uid="{00000000-0002-0000-1B00-000002000000}">
      <formula1>#REF!</formula1>
      <formula2>0</formula2>
    </dataValidation>
    <dataValidation type="list" allowBlank="1" showInputMessage="1" showErrorMessage="1" sqref="E105 A111" xr:uid="{00000000-0002-0000-1B00-000003000000}">
      <formula1>"YES,NO"</formula1>
      <formula2>0</formula2>
    </dataValidation>
    <dataValidation type="list" allowBlank="1" showInputMessage="1" showErrorMessage="1" sqref="B108" xr:uid="{00000000-0002-0000-1B00-000004000000}">
      <formula1>"A1 Credit,Limited Credit"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1B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P272"/>
  <sheetViews>
    <sheetView topLeftCell="A243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6" customWidth="true" style="4" width="18.875"/>
    <col min="7" max="7" customWidth="true" style="4" width="23.125"/>
    <col min="8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30" t="s">
        <v>14</v>
      </c>
      <c r="B1" s="330"/>
      <c r="C1" s="330"/>
      <c r="D1" s="330"/>
      <c r="E1" s="330"/>
      <c r="F1" s="330"/>
      <c r="J1" s="5"/>
    </row>
    <row r="2" spans="1:25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J2" s="5"/>
    </row>
    <row r="3" spans="1:25">
      <c r="A3" s="9"/>
      <c r="B3" s="9"/>
      <c r="C3" s="9"/>
      <c r="D3" s="9"/>
      <c r="E3" s="9"/>
      <c r="F3" s="6" t="s">
        <v>10</v>
      </c>
      <c r="J3" s="5"/>
    </row>
    <row r="4" spans="1:25">
      <c r="A4" s="6" t="s">
        <v>18</v>
      </c>
      <c r="B4" s="7">
        <f>B15+C15</f>
        <v>22200</v>
      </c>
      <c r="C4" s="9"/>
      <c r="D4" s="9"/>
      <c r="E4" s="9"/>
      <c r="F4" s="6" t="s">
        <v>10</v>
      </c>
      <c r="H4" s="10"/>
      <c r="J4" s="5"/>
    </row>
    <row r="5" spans="1:25">
      <c r="A5" s="11"/>
      <c r="B5" s="11"/>
      <c r="C5" s="11"/>
      <c r="D5" s="11"/>
      <c r="E5" s="11"/>
      <c r="F5" s="11" t="s">
        <v>10</v>
      </c>
      <c r="J5" s="5"/>
    </row>
    <row r="6" spans="1:25">
      <c r="A6" s="11"/>
      <c r="B6" s="11"/>
      <c r="C6" s="11"/>
      <c r="D6" s="11"/>
      <c r="E6" s="11"/>
      <c r="F6" s="11"/>
      <c r="J6" s="5"/>
    </row>
    <row r="7" spans="1:25">
      <c r="A7" s="12" t="s">
        <v>19</v>
      </c>
      <c r="B7" s="12" t="s">
        <v>20</v>
      </c>
      <c r="C7" s="12" t="s">
        <v>16</v>
      </c>
      <c r="D7" s="331"/>
      <c r="E7" s="331"/>
      <c r="F7" s="11"/>
      <c r="J7" s="5"/>
    </row>
    <row r="8" spans="1:25">
      <c r="A8" s="13"/>
      <c r="B8" s="11"/>
      <c r="C8" s="11"/>
      <c r="D8" s="331"/>
      <c r="E8" s="331"/>
      <c r="F8" s="11"/>
      <c r="J8" s="5"/>
      <c r="L8" s="14" t="s">
        <v>17</v>
      </c>
      <c r="M8" s="11">
        <f>H13+H14</f>
        <v>0</v>
      </c>
    </row>
    <row r="9" spans="1:25">
      <c r="A9" s="12" t="s">
        <v>21</v>
      </c>
      <c r="B9" s="15">
        <v>18500</v>
      </c>
      <c r="C9" s="11">
        <f>B9*0.2</f>
        <v>3700</v>
      </c>
      <c r="D9" s="331"/>
      <c r="E9" s="331"/>
      <c r="F9" s="11"/>
      <c r="J9" s="5"/>
      <c r="L9" s="11"/>
      <c r="M9" s="11"/>
    </row>
    <row r="10" spans="1:25">
      <c r="A10" s="12"/>
      <c r="B10" s="11"/>
      <c r="C10" s="11"/>
      <c r="D10" s="331"/>
      <c r="E10" s="331"/>
      <c r="F10" s="11"/>
      <c r="J10" s="5"/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31"/>
      <c r="E11" s="331"/>
      <c r="F11" s="11"/>
      <c r="J11" s="5"/>
      <c r="L11" s="11"/>
      <c r="M11" s="11"/>
    </row>
    <row r="12" spans="1:25">
      <c r="A12" s="12"/>
      <c r="B12" s="11"/>
      <c r="C12" s="11"/>
      <c r="D12" s="331"/>
      <c r="E12" s="331"/>
      <c r="F12" s="11"/>
      <c r="J12" s="5"/>
    </row>
    <row r="13" spans="1:25">
      <c r="A13" s="12" t="s">
        <v>23</v>
      </c>
      <c r="B13" s="15">
        <v>0</v>
      </c>
      <c r="C13" s="11"/>
      <c r="D13" s="331"/>
      <c r="E13" s="331"/>
      <c r="F13" s="11"/>
      <c r="J13" s="5"/>
    </row>
    <row r="14" spans="1:25">
      <c r="A14" s="12"/>
      <c r="B14" s="11"/>
      <c r="C14" s="11"/>
      <c r="D14" s="331"/>
      <c r="E14" s="331"/>
      <c r="F14" s="11"/>
      <c r="J14" s="5" t="s">
        <v>24</v>
      </c>
    </row>
    <row r="15" spans="1:25">
      <c r="A15" s="12" t="s">
        <v>25</v>
      </c>
      <c r="B15" s="11">
        <f>SUM(B9:B13)</f>
        <v>18500</v>
      </c>
      <c r="C15" s="11">
        <f>SUM(C9:C13)</f>
        <v>3700</v>
      </c>
      <c r="D15" s="331"/>
      <c r="E15" s="331"/>
      <c r="F15" s="11"/>
      <c r="J15" s="17">
        <f>H15</f>
        <v>0</v>
      </c>
    </row>
    <row r="16" spans="1:25">
      <c r="A16" s="332"/>
      <c r="B16" s="332"/>
      <c r="C16" s="332"/>
      <c r="D16" s="331"/>
      <c r="E16" s="331"/>
      <c r="F16" s="11"/>
      <c r="J16" s="5"/>
      <c r="Y16" s="18" t="s">
        <v>26</v>
      </c>
    </row>
    <row r="17" spans="1:26">
      <c r="A17" s="332"/>
      <c r="B17" s="332"/>
      <c r="C17" s="332"/>
      <c r="D17" s="331"/>
      <c r="E17" s="331"/>
      <c r="F17" s="11"/>
      <c r="J17" s="19" t="s">
        <v>27</v>
      </c>
      <c r="Y17" s="18" t="s">
        <v>28</v>
      </c>
    </row>
    <row r="18" spans="1:26">
      <c r="A18" s="332"/>
      <c r="B18" s="332"/>
      <c r="C18" s="332"/>
      <c r="D18" s="331"/>
      <c r="E18" s="331"/>
      <c r="F18" s="11"/>
      <c r="J18" s="20">
        <v>37404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22200</v>
      </c>
      <c r="F19" s="11"/>
      <c r="J19" s="5"/>
      <c r="Z19" s="5" t="s">
        <v>31</v>
      </c>
    </row>
    <row r="20" spans="1:26">
      <c r="A20" s="11"/>
      <c r="B20" s="11"/>
      <c r="C20" s="11"/>
      <c r="D20" s="11"/>
      <c r="E20" s="11"/>
      <c r="F20" s="11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18500</v>
      </c>
      <c r="F21" s="11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76" t="s">
        <v>246</v>
      </c>
      <c r="B24" s="376"/>
      <c r="C24" s="376"/>
      <c r="D24" s="376"/>
      <c r="E24" s="376"/>
      <c r="F24" s="55"/>
      <c r="G24" s="55"/>
      <c r="H24" s="55"/>
    </row>
    <row r="25" spans="1:26">
      <c r="A25" s="157"/>
      <c r="B25" s="158"/>
      <c r="C25" s="158"/>
      <c r="D25" s="158"/>
      <c r="E25" s="159"/>
      <c r="F25" s="55"/>
      <c r="G25" s="55"/>
      <c r="H25" s="55"/>
    </row>
    <row r="26" spans="1:26" ht="23.25">
      <c r="A26" s="377" t="s">
        <v>247</v>
      </c>
      <c r="B26" s="377"/>
      <c r="C26" s="377"/>
      <c r="D26" s="377"/>
      <c r="E26" s="377"/>
      <c r="F26" s="55"/>
      <c r="G26" s="160"/>
      <c r="H26" s="160"/>
    </row>
    <row r="27" spans="1:26">
      <c r="A27" s="157"/>
      <c r="B27" s="158"/>
      <c r="C27" s="158"/>
      <c r="D27" s="158"/>
      <c r="E27" s="159"/>
      <c r="F27" s="55"/>
      <c r="G27" s="161" t="s">
        <v>96</v>
      </c>
      <c r="H27" s="161">
        <f>IF(A32=Y104,1,IF(A32=Y105,1,IF(A32=Y106,3,IF(A32=Y107,6,IF(A32=Y108,9,IF(A32=Y109,12,IF(A32=Y110,3,IF(A32=Y111,6,IF(A32=Y112,9,0)))))))))</f>
        <v>0</v>
      </c>
    </row>
    <row r="28" spans="1:26" ht="37.5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IF(A32=Y104,H29-H37,IF(A32=Y105,H29-H37,IF(A32=Y106,H29-1,IF(A32=Y107,H29-1,IF(A32=Y108,H29-1,IF(A32=Y109,H29-1,IF(A32=Y110,H29-H37,IF(A32=Y111,H29-H37,IF(A32=Y112,H29-H37,0)))))))))</f>
        <v>0</v>
      </c>
    </row>
    <row r="29" spans="1:26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 t="str">
        <f>B35</f>
        <v>12</v>
      </c>
    </row>
    <row r="30" spans="1:26">
      <c r="A30" s="157"/>
      <c r="B30" s="380"/>
      <c r="C30" s="380"/>
      <c r="D30" s="158"/>
      <c r="E30" s="159"/>
      <c r="F30" s="55"/>
      <c r="G30" s="160" t="s">
        <v>45</v>
      </c>
      <c r="H30" s="160" t="str">
        <f>D35</f>
        <v>5000</v>
      </c>
    </row>
    <row r="31" spans="1:26" ht="37.5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</row>
    <row r="32" spans="1:26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>
        <f>A41</f>
        <v>0</v>
      </c>
      <c r="J32" s="39" t="s">
        <v>50</v>
      </c>
      <c r="K32" s="40" t="s">
        <v>402</v>
      </c>
    </row>
    <row r="33" spans="1:16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J33" s="39"/>
      <c r="K33" s="13"/>
    </row>
    <row r="34" spans="1:16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J34" s="39" t="s">
        <v>57</v>
      </c>
      <c r="K34" s="44" t="s">
        <v>398</v>
      </c>
    </row>
    <row r="35" spans="1:16">
      <c r="A35" s="167">
        <f>B32+D32</f>
        <v>500</v>
      </c>
      <c r="B35" s="378" t="s">
        <v>393</v>
      </c>
      <c r="C35" s="378"/>
      <c r="D35" s="378" t="s">
        <v>397</v>
      </c>
      <c r="E35" s="378"/>
      <c r="F35" s="55"/>
      <c r="G35" s="46"/>
      <c r="H35" s="174"/>
      <c r="J35" s="39"/>
      <c r="K35" s="13">
        <v>6.5000000000000002E-2</v>
      </c>
    </row>
    <row r="36" spans="1:16">
      <c r="A36" s="157"/>
      <c r="B36" s="158"/>
      <c r="C36" s="158"/>
      <c r="D36" s="158"/>
      <c r="E36" s="159"/>
      <c r="F36" s="55"/>
      <c r="G36" s="55" t="s">
        <v>91</v>
      </c>
      <c r="H36" s="56" t="s">
        <v>399</v>
      </c>
      <c r="J36" s="39" t="s">
        <v>64</v>
      </c>
      <c r="K36" s="47">
        <f>K32-K34</f>
        <v>21200</v>
      </c>
    </row>
    <row r="37" spans="1:16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</row>
    <row r="38" spans="1:16">
      <c r="A38" s="175">
        <f>(B35/12)*D35</f>
        <v>5000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J38" s="382"/>
      <c r="K38" s="382"/>
      <c r="L38" s="5"/>
      <c r="N38" s="4">
        <f>80.88*36</f>
        <v>2911.68</v>
      </c>
    </row>
    <row r="39" spans="1:16">
      <c r="A39" s="176"/>
      <c r="B39" s="171"/>
      <c r="C39" s="171"/>
      <c r="D39" s="158"/>
      <c r="E39" s="159"/>
      <c r="F39" s="55"/>
      <c r="G39" s="55"/>
      <c r="H39" s="5"/>
      <c r="L39" s="5"/>
      <c r="N39" s="4">
        <f>K39-L39</f>
        <v>0</v>
      </c>
    </row>
    <row r="40" spans="1:16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L40" s="5"/>
      <c r="N40" s="4">
        <f>N38-N39</f>
        <v>2911.68</v>
      </c>
    </row>
    <row r="41" spans="1:16">
      <c r="A41" s="89">
        <f>H36/B35</f>
        <v>0</v>
      </c>
      <c r="B41" s="383">
        <f>IF(B38="YES",D38+A41,D38)</f>
        <v>500</v>
      </c>
      <c r="C41" s="383"/>
      <c r="D41" s="346">
        <v>6000</v>
      </c>
      <c r="E41" s="346"/>
      <c r="F41" s="55"/>
      <c r="G41" s="55"/>
      <c r="H41" s="180"/>
      <c r="J41" s="5"/>
      <c r="K41" s="5"/>
      <c r="L41" s="5"/>
    </row>
    <row r="42" spans="1:16">
      <c r="A42" s="176"/>
      <c r="B42" s="171"/>
      <c r="C42" s="171"/>
      <c r="D42" s="171"/>
      <c r="E42" s="181"/>
      <c r="F42" s="55"/>
      <c r="G42" s="384" t="s">
        <v>65</v>
      </c>
      <c r="H42" s="384"/>
      <c r="J42" s="5"/>
      <c r="K42" s="5"/>
      <c r="L42" s="5"/>
    </row>
    <row r="43" spans="1:16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J43" s="5"/>
      <c r="K43" s="5"/>
      <c r="L43" s="5"/>
    </row>
    <row r="44" spans="1:16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0</v>
      </c>
      <c r="J44" s="5"/>
      <c r="K44" s="5"/>
      <c r="L44" s="5"/>
    </row>
    <row r="45" spans="1:16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J45" s="5"/>
      <c r="K45" s="5"/>
      <c r="L45" s="5"/>
    </row>
    <row r="46" spans="1:16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J46" s="5"/>
      <c r="K46" s="5"/>
      <c r="L46" s="5"/>
    </row>
    <row r="47" spans="1:16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J47" s="5"/>
      <c r="K47" s="5"/>
      <c r="L47" s="5"/>
    </row>
    <row r="48" spans="1:16">
      <c r="B48" s="171"/>
      <c r="C48" s="171"/>
      <c r="D48" s="171"/>
      <c r="E48" s="181"/>
      <c r="F48" s="55"/>
      <c r="G48" s="55"/>
      <c r="H48" s="5"/>
      <c r="J48" s="48"/>
      <c r="K48" s="5"/>
      <c r="L48" s="5"/>
    </row>
    <row r="49" spans="1:29">
      <c r="A49" s="176"/>
      <c r="B49" s="171"/>
      <c r="C49" s="171"/>
      <c r="D49" s="171"/>
      <c r="E49" s="181"/>
      <c r="F49" s="55"/>
      <c r="G49" s="55"/>
      <c r="H49" s="5"/>
      <c r="J49" s="5"/>
      <c r="K49" s="5"/>
      <c r="L49" s="5"/>
    </row>
    <row r="50" spans="1:29">
      <c r="A50" s="157"/>
      <c r="B50" s="183"/>
      <c r="C50" s="183"/>
      <c r="D50" s="158"/>
      <c r="E50" s="159"/>
      <c r="I50" s="5"/>
      <c r="J50" s="5"/>
      <c r="K50" s="5"/>
    </row>
    <row r="51" spans="1:29" ht="19.5" customHeight="1">
      <c r="A51" s="387" t="s">
        <v>94</v>
      </c>
      <c r="B51" s="388" t="s">
        <v>95</v>
      </c>
      <c r="C51" s="388"/>
      <c r="D51" s="158"/>
      <c r="E51" s="159"/>
      <c r="I51" s="5"/>
      <c r="J51" s="5"/>
      <c r="K51" s="5"/>
    </row>
    <row r="52" spans="1:29">
      <c r="A52" s="387"/>
      <c r="B52" s="389" t="str">
        <f>H30</f>
        <v>5000</v>
      </c>
      <c r="C52" s="389"/>
      <c r="D52" s="158"/>
      <c r="E52" s="159"/>
      <c r="I52" s="5"/>
      <c r="J52" s="5"/>
      <c r="K52" s="5"/>
    </row>
    <row r="53" spans="1:29">
      <c r="A53" s="185" t="str">
        <f>H29</f>
        <v>12</v>
      </c>
      <c r="B53" s="343">
        <f>H45</f>
        <v>501</v>
      </c>
      <c r="C53" s="343"/>
      <c r="D53" s="158"/>
      <c r="E53" s="159"/>
      <c r="I53" s="5"/>
      <c r="J53" s="5"/>
      <c r="K53" s="5"/>
    </row>
    <row r="54" spans="1:29">
      <c r="I54" s="5"/>
      <c r="J54" s="5"/>
      <c r="K54" s="5"/>
    </row>
    <row r="55" spans="1:29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29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29">
      <c r="A57" s="22"/>
      <c r="B57" s="23"/>
      <c r="C57" s="23"/>
      <c r="D57" s="23"/>
      <c r="E57" s="63"/>
      <c r="F57" s="63"/>
      <c r="G57" s="63"/>
      <c r="H57" s="24"/>
    </row>
    <row r="58" spans="1:29">
      <c r="A58" s="27" t="s">
        <v>96</v>
      </c>
      <c r="B58" s="28">
        <v>1</v>
      </c>
      <c r="C58" s="186"/>
      <c r="D58" s="28"/>
      <c r="E58" s="21"/>
      <c r="F58" s="21"/>
      <c r="G58" s="21"/>
      <c r="H58" s="29"/>
    </row>
    <row r="59" spans="1:29">
      <c r="A59" s="27" t="s">
        <v>97</v>
      </c>
      <c r="B59" s="28">
        <f>B35-B58</f>
        <v>11</v>
      </c>
      <c r="C59" s="186"/>
      <c r="D59" s="28"/>
      <c r="E59" s="21"/>
      <c r="F59" s="21"/>
      <c r="G59" s="21"/>
      <c r="H59" s="29"/>
    </row>
    <row r="60" spans="1:29">
      <c r="A60" s="64" t="s">
        <v>98</v>
      </c>
      <c r="B60" s="65">
        <v>10</v>
      </c>
      <c r="C60" s="186"/>
      <c r="D60" s="28"/>
      <c r="E60" s="21"/>
      <c r="F60" s="21"/>
      <c r="G60" s="21"/>
      <c r="H60" s="29"/>
    </row>
    <row r="61" spans="1:29">
      <c r="A61" s="27" t="s">
        <v>27</v>
      </c>
      <c r="B61" s="28">
        <f>J18</f>
        <v>37404</v>
      </c>
      <c r="C61" s="186"/>
      <c r="D61" s="28"/>
      <c r="E61" s="21"/>
      <c r="F61" s="21"/>
      <c r="G61" s="21"/>
      <c r="H61" s="29"/>
    </row>
    <row r="62" spans="1:29">
      <c r="A62" s="66" t="s">
        <v>99</v>
      </c>
      <c r="B62" s="67">
        <v>1.0500000000000001E-2</v>
      </c>
      <c r="C62" s="186"/>
      <c r="D62" s="28"/>
      <c r="E62" s="21"/>
      <c r="F62" s="21"/>
      <c r="G62" s="21"/>
      <c r="H62" s="29"/>
      <c r="K62" s="10"/>
      <c r="T62" s="10"/>
      <c r="AC62" s="10"/>
    </row>
    <row r="63" spans="1:29">
      <c r="A63" s="68" t="s">
        <v>100</v>
      </c>
      <c r="B63" s="69">
        <v>6.5000000000000002E-2</v>
      </c>
      <c r="C63" s="186"/>
      <c r="D63" s="28"/>
      <c r="E63" s="21"/>
      <c r="F63" s="21"/>
      <c r="G63" s="21"/>
      <c r="H63" s="29"/>
      <c r="K63" s="10"/>
      <c r="T63" s="10"/>
      <c r="AC63" s="10"/>
    </row>
    <row r="64" spans="1:29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K64" s="10"/>
      <c r="T64" s="10"/>
      <c r="AC64" s="10"/>
    </row>
    <row r="65" spans="1:29">
      <c r="A65" s="49" t="s">
        <v>102</v>
      </c>
      <c r="B65" s="57">
        <f>(B89*B59)-B53</f>
        <v>16418.506037590156</v>
      </c>
      <c r="C65" s="28"/>
      <c r="D65" s="28"/>
      <c r="E65" s="21"/>
      <c r="F65" s="21"/>
      <c r="G65" s="21"/>
      <c r="H65" s="29"/>
    </row>
    <row r="66" spans="1:29">
      <c r="A66" s="66" t="s">
        <v>103</v>
      </c>
      <c r="B66" s="67">
        <v>0.02</v>
      </c>
      <c r="C66" s="28"/>
      <c r="D66" s="28"/>
      <c r="E66" s="21"/>
      <c r="F66" s="21"/>
      <c r="G66" s="21"/>
      <c r="H66" s="29"/>
      <c r="K66" s="10"/>
      <c r="T66" s="10"/>
      <c r="AC66" s="10"/>
    </row>
    <row r="67" spans="1:29">
      <c r="A67" s="27"/>
      <c r="B67" s="72">
        <f>B66</f>
        <v>0.02</v>
      </c>
      <c r="C67" s="28"/>
      <c r="D67" s="28"/>
      <c r="E67" s="21"/>
      <c r="F67" s="21"/>
      <c r="G67" s="21"/>
      <c r="H67" s="29"/>
      <c r="K67" s="10"/>
      <c r="T67" s="10"/>
      <c r="AC67" s="10"/>
    </row>
    <row r="68" spans="1:29">
      <c r="A68" s="49" t="s">
        <v>105</v>
      </c>
      <c r="B68" s="57">
        <f>(G158*B67)</f>
        <v>518.40008</v>
      </c>
      <c r="C68" s="28"/>
      <c r="D68" s="28"/>
      <c r="E68" s="21"/>
      <c r="F68" s="21"/>
      <c r="G68" s="21"/>
      <c r="H68" s="29"/>
    </row>
    <row r="69" spans="1:29">
      <c r="A69" s="66" t="s">
        <v>106</v>
      </c>
      <c r="B69" s="67">
        <v>0</v>
      </c>
      <c r="C69" s="187"/>
      <c r="D69" s="28"/>
      <c r="E69" s="21"/>
      <c r="F69" s="21"/>
      <c r="G69" s="21"/>
      <c r="H69" s="29"/>
      <c r="K69" s="10"/>
      <c r="T69" s="10"/>
      <c r="AC69" s="10"/>
    </row>
    <row r="70" spans="1:29">
      <c r="A70" s="68" t="s">
        <v>107</v>
      </c>
      <c r="B70" s="69">
        <v>0</v>
      </c>
      <c r="C70" s="187"/>
      <c r="D70" s="28"/>
      <c r="E70" s="21"/>
      <c r="F70" s="21"/>
      <c r="G70" s="21"/>
      <c r="H70" s="29"/>
      <c r="K70" s="10"/>
      <c r="T70" s="10"/>
      <c r="AC70" s="10"/>
    </row>
    <row r="71" spans="1:29">
      <c r="A71" s="49" t="s">
        <v>108</v>
      </c>
      <c r="B71" s="73">
        <f>B69*(1+B70)</f>
        <v>0</v>
      </c>
      <c r="C71" s="187"/>
      <c r="D71" s="28"/>
      <c r="E71" s="21"/>
      <c r="F71" s="21"/>
      <c r="G71" s="21"/>
      <c r="H71" s="29"/>
      <c r="K71" s="10"/>
      <c r="T71" s="10"/>
      <c r="AC71" s="10"/>
    </row>
    <row r="72" spans="1:29">
      <c r="A72" s="66" t="s">
        <v>109</v>
      </c>
      <c r="B72" s="74">
        <v>0</v>
      </c>
      <c r="C72" s="187"/>
      <c r="D72" s="28"/>
      <c r="E72" s="21"/>
      <c r="F72" s="21"/>
      <c r="G72" s="21"/>
      <c r="H72" s="29"/>
    </row>
    <row r="73" spans="1:29">
      <c r="A73" s="68" t="s">
        <v>110</v>
      </c>
      <c r="B73" s="65">
        <v>0</v>
      </c>
      <c r="C73" s="187"/>
      <c r="D73" s="28"/>
      <c r="E73" s="21"/>
      <c r="F73" s="21"/>
      <c r="G73" s="21"/>
      <c r="H73" s="29"/>
    </row>
    <row r="74" spans="1:29">
      <c r="A74" s="49" t="s">
        <v>111</v>
      </c>
      <c r="B74" s="57">
        <f>B73*B35</f>
        <v>0</v>
      </c>
      <c r="C74" s="187"/>
      <c r="D74" s="28">
        <f>B74+B72</f>
        <v>0</v>
      </c>
      <c r="E74" s="21"/>
      <c r="F74" s="21"/>
      <c r="G74" s="21"/>
      <c r="H74" s="29"/>
    </row>
    <row r="75" spans="1:29">
      <c r="A75" s="68" t="s">
        <v>112</v>
      </c>
      <c r="B75" s="65">
        <v>0</v>
      </c>
      <c r="C75" s="187"/>
      <c r="D75" s="28">
        <f>B75</f>
        <v>0</v>
      </c>
      <c r="E75" s="21"/>
      <c r="F75" s="21"/>
      <c r="G75" s="21"/>
      <c r="H75" s="29"/>
    </row>
    <row r="76" spans="1:29">
      <c r="A76" s="70" t="s">
        <v>113</v>
      </c>
      <c r="B76" s="75">
        <v>0</v>
      </c>
      <c r="C76" s="187"/>
      <c r="D76" s="28">
        <f>B76</f>
        <v>0</v>
      </c>
      <c r="E76" s="21"/>
      <c r="F76" s="28"/>
      <c r="G76" s="21"/>
      <c r="H76" s="29"/>
    </row>
    <row r="77" spans="1:29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</row>
    <row r="78" spans="1:29">
      <c r="A78" s="27" t="s">
        <v>115</v>
      </c>
      <c r="B78" s="29">
        <f>B77/B35</f>
        <v>0</v>
      </c>
      <c r="C78" s="28"/>
      <c r="D78" s="28"/>
      <c r="E78" s="21"/>
      <c r="F78" s="21"/>
      <c r="G78" s="21"/>
      <c r="H78" s="29"/>
    </row>
    <row r="79" spans="1:29">
      <c r="A79" s="78" t="s">
        <v>116</v>
      </c>
      <c r="B79" s="52">
        <f>H46</f>
        <v>501</v>
      </c>
      <c r="C79" s="28"/>
      <c r="D79" s="28"/>
      <c r="E79" s="21"/>
      <c r="F79" s="21"/>
      <c r="G79" s="21"/>
      <c r="H79" s="29"/>
    </row>
    <row r="80" spans="1:29">
      <c r="A80" s="27"/>
      <c r="B80" s="28"/>
      <c r="C80" s="28"/>
      <c r="D80" s="28"/>
      <c r="E80" s="21"/>
      <c r="F80" s="21"/>
      <c r="G80" s="21"/>
      <c r="H80" s="29"/>
    </row>
    <row r="81" spans="1:29">
      <c r="A81" s="22" t="s">
        <v>117</v>
      </c>
      <c r="B81" s="24">
        <f>K36</f>
        <v>21200</v>
      </c>
      <c r="C81" s="28"/>
      <c r="D81" s="28"/>
      <c r="E81" s="21"/>
      <c r="F81" s="22" t="s">
        <v>117</v>
      </c>
      <c r="G81" s="24">
        <f>B81</f>
        <v>21200</v>
      </c>
      <c r="H81" s="29"/>
    </row>
    <row r="82" spans="1:29">
      <c r="A82" s="27" t="s">
        <v>118</v>
      </c>
      <c r="B82" s="29">
        <f>IF(A111="YES",D41,0)</f>
        <v>6000</v>
      </c>
      <c r="C82" s="28"/>
      <c r="D82" s="28"/>
      <c r="E82" s="21"/>
      <c r="F82" s="27" t="s">
        <v>118</v>
      </c>
      <c r="G82" s="29">
        <f>IF(A111="YES",D41,0)</f>
        <v>6000</v>
      </c>
      <c r="H82" s="29"/>
    </row>
    <row r="83" spans="1:29">
      <c r="A83" s="27" t="s">
        <v>119</v>
      </c>
      <c r="B83" s="79">
        <f>B62+B63+B64</f>
        <v>0.1255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K83" s="10"/>
      <c r="T83" s="10"/>
      <c r="AC83" s="10"/>
    </row>
    <row r="84" spans="1:29">
      <c r="A84" s="27" t="s">
        <v>120</v>
      </c>
      <c r="B84" s="72">
        <f>B83/12</f>
        <v>1.0458333333333333E-2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K84" s="10"/>
      <c r="T84" s="10"/>
      <c r="AC84" s="10"/>
    </row>
    <row r="85" spans="1:29">
      <c r="A85" s="27" t="s">
        <v>121</v>
      </c>
      <c r="B85" s="29">
        <f>IF(B82=0,(B59+B58),(B59))</f>
        <v>11</v>
      </c>
      <c r="C85" s="28"/>
      <c r="D85" s="28"/>
      <c r="E85" s="21"/>
      <c r="F85" s="27" t="s">
        <v>121</v>
      </c>
      <c r="G85" s="29">
        <f>IF(G82=0,(B59+B58),(B59))</f>
        <v>11</v>
      </c>
      <c r="H85" s="29"/>
    </row>
    <row r="86" spans="1:29">
      <c r="A86" s="27" t="s">
        <v>122</v>
      </c>
      <c r="B86" s="29">
        <f>(B82/((1+B84)^(B85+1)))</f>
        <v>5295.7848332330141</v>
      </c>
      <c r="C86" s="28">
        <f>(B82/((1+B84)^(B85+1)))</f>
        <v>5295.7848332330141</v>
      </c>
      <c r="D86" s="28"/>
      <c r="E86" s="21"/>
      <c r="F86" s="27" t="s">
        <v>122</v>
      </c>
      <c r="G86" s="29">
        <f>(G82/((1+G84)^(G85+1)))</f>
        <v>5623.3910845341579</v>
      </c>
      <c r="H86" s="29"/>
    </row>
    <row r="87" spans="1:29">
      <c r="A87" s="27" t="s">
        <v>123</v>
      </c>
      <c r="B87" s="29">
        <f>((1-(1/((1+B84)^B85)))/B84)</f>
        <v>10.339921652899179</v>
      </c>
      <c r="C87" s="28">
        <f>((1-(1/((1+B84)^B85)))/B84)</f>
        <v>10.339921652899179</v>
      </c>
      <c r="D87" s="28"/>
      <c r="E87" s="21"/>
      <c r="F87" s="27" t="s">
        <v>123</v>
      </c>
      <c r="G87" s="29">
        <f>((1-(1/((1+G84)^G85)))/G84)</f>
        <v>10.65073478229589</v>
      </c>
      <c r="H87" s="29"/>
    </row>
    <row r="88" spans="1:29">
      <c r="A88" s="27" t="s">
        <v>124</v>
      </c>
      <c r="B88" s="29">
        <f>B81-B86</f>
        <v>15904.215166766986</v>
      </c>
      <c r="C88" s="28">
        <f>B81-B86</f>
        <v>15904.215166766986</v>
      </c>
      <c r="D88" s="28"/>
      <c r="E88" s="21"/>
      <c r="F88" s="27" t="s">
        <v>124</v>
      </c>
      <c r="G88" s="29">
        <f>G81-G86</f>
        <v>15576.608915465842</v>
      </c>
      <c r="H88" s="29"/>
    </row>
    <row r="89" spans="1:29">
      <c r="A89" s="27" t="s">
        <v>125</v>
      </c>
      <c r="B89" s="29">
        <f>(B88/B87)</f>
        <v>1538.136912508196</v>
      </c>
      <c r="C89" s="28">
        <f>(B88/B87)</f>
        <v>1538.136912508196</v>
      </c>
      <c r="D89" s="28"/>
      <c r="E89" s="21"/>
      <c r="F89" s="27" t="s">
        <v>125</v>
      </c>
      <c r="G89" s="29">
        <f>(G88/G87)</f>
        <v>1462.4914838136756</v>
      </c>
      <c r="H89" s="29"/>
    </row>
    <row r="90" spans="1:29">
      <c r="A90" s="27" t="s">
        <v>126</v>
      </c>
      <c r="B90" s="29">
        <f>((B89*(B85))+B77)</f>
        <v>16919.506037590156</v>
      </c>
      <c r="C90" s="28"/>
      <c r="D90" s="28"/>
      <c r="E90" s="21"/>
      <c r="F90" s="27" t="s">
        <v>126</v>
      </c>
      <c r="G90" s="29">
        <f>((G89*(G85))+G77)</f>
        <v>16087.406321950431</v>
      </c>
      <c r="H90" s="29"/>
    </row>
    <row r="91" spans="1:29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</row>
    <row r="92" spans="1:29">
      <c r="A92" s="49" t="s">
        <v>128</v>
      </c>
      <c r="B92" s="57">
        <f>(B90+B91)</f>
        <v>16919.506037590156</v>
      </c>
      <c r="C92" s="28"/>
      <c r="D92" s="28"/>
      <c r="E92" s="21"/>
      <c r="F92" s="49" t="s">
        <v>128</v>
      </c>
      <c r="G92" s="57">
        <f>(G90+G91)</f>
        <v>16087.406321950431</v>
      </c>
      <c r="H92" s="29"/>
    </row>
    <row r="93" spans="1:29">
      <c r="A93" s="27"/>
      <c r="B93" s="28"/>
      <c r="C93" s="28"/>
      <c r="D93" s="28"/>
      <c r="E93" s="21"/>
      <c r="F93" s="27"/>
      <c r="G93" s="28"/>
      <c r="H93" s="29"/>
    </row>
    <row r="94" spans="1:29">
      <c r="A94" s="76" t="s">
        <v>129</v>
      </c>
      <c r="B94" s="80">
        <f>IF(B38="YES",((H36/B85)*(1+A108)),"0")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</row>
    <row r="95" spans="1:29">
      <c r="A95" s="81" t="s">
        <v>130</v>
      </c>
      <c r="B95" s="82">
        <f>B92/(B85)</f>
        <v>1538.136912508196</v>
      </c>
      <c r="C95" s="28"/>
      <c r="D95" s="28"/>
      <c r="E95" s="21"/>
      <c r="F95" s="81" t="s">
        <v>130</v>
      </c>
      <c r="G95" s="82">
        <f>G92/(G85)</f>
        <v>1462.4914838136756</v>
      </c>
      <c r="H95" s="29"/>
    </row>
    <row r="96" spans="1:29">
      <c r="A96" s="83" t="s">
        <v>131</v>
      </c>
      <c r="B96" s="84">
        <f>B94+B95</f>
        <v>1538.136912508196</v>
      </c>
      <c r="C96" s="28"/>
      <c r="D96" s="28"/>
      <c r="E96" s="21"/>
      <c r="F96" s="83" t="s">
        <v>131</v>
      </c>
      <c r="G96" s="84">
        <f>G94+G95</f>
        <v>1462.4914838136756</v>
      </c>
      <c r="H96" s="29"/>
    </row>
    <row r="97" spans="1:42">
      <c r="A97" s="49"/>
      <c r="B97" s="50"/>
      <c r="C97" s="50"/>
      <c r="D97" s="50"/>
      <c r="E97" s="85"/>
      <c r="F97" s="85"/>
      <c r="G97" s="85"/>
      <c r="H97" s="57"/>
    </row>
    <row r="98" spans="1:42">
      <c r="A98" s="21"/>
      <c r="B98" s="21"/>
      <c r="C98" s="21"/>
      <c r="D98" s="21"/>
      <c r="E98" s="21"/>
      <c r="F98" s="21"/>
      <c r="G98" s="21"/>
      <c r="H98" s="21"/>
    </row>
    <row r="99" spans="1:42">
      <c r="A99" s="21"/>
      <c r="B99" s="21"/>
      <c r="C99" s="21"/>
      <c r="D99" s="21"/>
      <c r="E99" s="21"/>
      <c r="F99" s="21"/>
      <c r="G99" s="21"/>
      <c r="H99" s="21"/>
    </row>
    <row r="100" spans="1:42" ht="47.25" customHeight="1">
      <c r="A100" s="344" t="s">
        <v>134</v>
      </c>
      <c r="B100" s="344"/>
      <c r="C100" s="344"/>
      <c r="D100" s="344"/>
      <c r="E100" s="344"/>
      <c r="F100" s="344"/>
      <c r="G100" s="344"/>
      <c r="H100" s="344"/>
      <c r="J100" s="382"/>
      <c r="K100" s="382"/>
      <c r="L100" s="382"/>
      <c r="M100" s="382"/>
      <c r="N100" s="382"/>
      <c r="O100" s="382"/>
      <c r="P100" s="382"/>
      <c r="Q100" s="382"/>
      <c r="S100" s="382"/>
      <c r="T100" s="382"/>
      <c r="U100" s="382"/>
      <c r="V100" s="382"/>
      <c r="W100" s="382"/>
      <c r="X100" s="382"/>
      <c r="Y100" s="382"/>
      <c r="Z100" s="382"/>
      <c r="AB100" s="382"/>
      <c r="AC100" s="382"/>
      <c r="AD100" s="382"/>
      <c r="AE100" s="382"/>
      <c r="AF100" s="382"/>
      <c r="AG100" s="382"/>
      <c r="AH100" s="382"/>
      <c r="AI100" s="382"/>
    </row>
    <row r="101" spans="1:42">
      <c r="A101" s="22"/>
      <c r="B101" s="23"/>
      <c r="C101" s="23"/>
      <c r="D101" s="23"/>
      <c r="E101" s="63"/>
      <c r="F101" s="63"/>
      <c r="G101" s="63"/>
      <c r="H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82"/>
      <c r="K102" s="382"/>
      <c r="L102" s="382"/>
      <c r="M102" s="382"/>
      <c r="N102" s="382"/>
      <c r="O102" s="382"/>
      <c r="P102" s="382"/>
      <c r="Q102" s="382"/>
      <c r="S102" s="382"/>
      <c r="T102" s="382"/>
      <c r="U102" s="382"/>
      <c r="V102" s="382"/>
      <c r="W102" s="382"/>
      <c r="X102" s="382"/>
      <c r="Y102" s="382"/>
      <c r="Z102" s="382"/>
      <c r="AB102" s="382"/>
      <c r="AC102" s="382"/>
      <c r="AD102" s="382"/>
      <c r="AE102" s="382"/>
      <c r="AF102" s="382"/>
      <c r="AG102" s="382"/>
      <c r="AH102" s="382"/>
      <c r="AI102" s="382"/>
    </row>
    <row r="103" spans="1:42">
      <c r="A103" s="27"/>
      <c r="B103" s="28"/>
      <c r="C103" s="28"/>
      <c r="D103" s="28"/>
      <c r="E103" s="21"/>
      <c r="F103" s="21"/>
      <c r="G103" s="21"/>
      <c r="H103" s="88"/>
      <c r="Z103" s="55" t="s">
        <v>140</v>
      </c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Z104" s="55" t="s">
        <v>270</v>
      </c>
    </row>
    <row r="105" spans="1:42">
      <c r="A105" s="32" t="s">
        <v>139</v>
      </c>
      <c r="B105" s="345" t="s">
        <v>140</v>
      </c>
      <c r="C105" s="345"/>
      <c r="D105" s="345"/>
      <c r="E105" s="346" t="s">
        <v>385</v>
      </c>
      <c r="F105" s="346"/>
      <c r="G105" s="346"/>
      <c r="H105" s="88"/>
      <c r="K105" s="382"/>
      <c r="L105" s="382"/>
      <c r="M105" s="382"/>
      <c r="N105" s="382"/>
      <c r="O105" s="382"/>
      <c r="P105" s="382"/>
      <c r="T105" s="382"/>
      <c r="U105" s="382"/>
      <c r="V105" s="382"/>
      <c r="W105" s="382"/>
      <c r="X105" s="382"/>
      <c r="Y105" s="382"/>
      <c r="Z105" s="55" t="s">
        <v>271</v>
      </c>
      <c r="AC105" s="382"/>
      <c r="AD105" s="382"/>
      <c r="AE105" s="382"/>
      <c r="AF105" s="382"/>
      <c r="AG105" s="382"/>
      <c r="AH105" s="382"/>
    </row>
    <row r="106" spans="1:42">
      <c r="A106" s="27"/>
      <c r="B106" s="28"/>
      <c r="C106" s="28"/>
      <c r="D106" s="21"/>
      <c r="E106" s="28"/>
      <c r="F106" s="28"/>
      <c r="G106" s="21"/>
      <c r="H106" s="29"/>
      <c r="Z106" s="55" t="s">
        <v>272</v>
      </c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Z107" s="55" t="s">
        <v>273</v>
      </c>
    </row>
    <row r="108" spans="1:42">
      <c r="A108" s="188">
        <v>0.2</v>
      </c>
      <c r="B108" s="348" t="s">
        <v>400</v>
      </c>
      <c r="C108" s="348"/>
      <c r="D108" s="348">
        <v>0</v>
      </c>
      <c r="E108" s="349">
        <f>B83</f>
        <v>0.1255</v>
      </c>
      <c r="F108" s="349"/>
      <c r="G108" s="349"/>
      <c r="H108" s="42"/>
      <c r="J108" s="10"/>
      <c r="K108" s="382"/>
      <c r="L108" s="382"/>
      <c r="M108" s="382"/>
      <c r="N108" s="390"/>
      <c r="O108" s="390"/>
      <c r="P108" s="390"/>
      <c r="S108" s="10"/>
      <c r="T108" s="382"/>
      <c r="U108" s="382"/>
      <c r="V108" s="382"/>
      <c r="W108" s="390"/>
      <c r="X108" s="390"/>
      <c r="Y108" s="390"/>
      <c r="Z108" s="55" t="s">
        <v>274</v>
      </c>
      <c r="AB108" s="10"/>
      <c r="AC108" s="382"/>
      <c r="AD108" s="382"/>
      <c r="AE108" s="382"/>
      <c r="AF108" s="390"/>
      <c r="AG108" s="390"/>
      <c r="AH108" s="390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Z109" s="55" t="s">
        <v>275</v>
      </c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Z110" s="55" t="s">
        <v>276</v>
      </c>
    </row>
    <row r="111" spans="1:42">
      <c r="A111" s="36" t="s">
        <v>385</v>
      </c>
      <c r="B111" s="348">
        <v>0</v>
      </c>
      <c r="C111" s="348"/>
      <c r="D111" s="348"/>
      <c r="E111" s="348">
        <v>0</v>
      </c>
      <c r="F111" s="348"/>
      <c r="G111" s="348"/>
      <c r="H111" s="88"/>
      <c r="K111" s="382"/>
      <c r="L111" s="382"/>
      <c r="M111" s="382"/>
      <c r="N111" s="382"/>
      <c r="O111" s="382"/>
      <c r="P111" s="382"/>
      <c r="T111" s="382"/>
      <c r="U111" s="382"/>
      <c r="V111" s="382"/>
      <c r="W111" s="382"/>
      <c r="X111" s="382"/>
      <c r="Y111" s="382"/>
      <c r="Z111" s="55" t="s">
        <v>277</v>
      </c>
      <c r="AC111" s="382"/>
      <c r="AD111" s="382"/>
      <c r="AE111" s="382"/>
      <c r="AF111" s="382"/>
      <c r="AG111" s="382"/>
      <c r="AH111" s="382"/>
    </row>
    <row r="112" spans="1:42">
      <c r="A112" s="27"/>
      <c r="B112" s="28"/>
      <c r="C112" s="28"/>
      <c r="D112" s="28"/>
      <c r="E112" s="28"/>
      <c r="F112" s="28"/>
      <c r="G112" s="21"/>
      <c r="H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</row>
    <row r="114" spans="1:35">
      <c r="A114" s="94">
        <f>B111+E111</f>
        <v>0</v>
      </c>
      <c r="B114" s="348">
        <v>833.33333333333337</v>
      </c>
      <c r="C114" s="348"/>
      <c r="D114" s="348"/>
      <c r="E114" s="348" t="s">
        <v>31</v>
      </c>
      <c r="F114" s="348"/>
      <c r="G114" s="348"/>
      <c r="H114" s="88"/>
      <c r="K114" s="382"/>
      <c r="L114" s="382"/>
      <c r="M114" s="382"/>
      <c r="N114" s="382"/>
      <c r="O114" s="382"/>
      <c r="P114" s="382"/>
      <c r="T114" s="382"/>
      <c r="U114" s="382"/>
      <c r="V114" s="382"/>
      <c r="W114" s="382"/>
      <c r="X114" s="382"/>
      <c r="Y114" s="382"/>
      <c r="AC114" s="382"/>
      <c r="AD114" s="382"/>
      <c r="AE114" s="382"/>
      <c r="AF114" s="382"/>
      <c r="AG114" s="382"/>
      <c r="AH114" s="382"/>
    </row>
    <row r="115" spans="1:35">
      <c r="A115" s="95"/>
      <c r="B115" s="21"/>
      <c r="C115" s="21"/>
      <c r="D115" s="21"/>
      <c r="E115" s="21"/>
      <c r="F115" s="21"/>
      <c r="G115" s="21"/>
      <c r="H115" s="88"/>
    </row>
    <row r="116" spans="1:35">
      <c r="A116" s="95"/>
      <c r="B116" s="21"/>
      <c r="C116" s="21"/>
      <c r="D116" s="21"/>
      <c r="E116" s="21"/>
      <c r="F116" s="21"/>
      <c r="G116" s="21"/>
      <c r="H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82"/>
      <c r="K117" s="382"/>
      <c r="L117" s="382"/>
      <c r="M117" s="382"/>
      <c r="N117" s="382"/>
      <c r="O117" s="382"/>
      <c r="P117" s="382"/>
      <c r="Q117" s="382"/>
      <c r="S117" s="382"/>
      <c r="T117" s="382"/>
      <c r="U117" s="382"/>
      <c r="V117" s="382"/>
      <c r="W117" s="382"/>
      <c r="X117" s="382"/>
      <c r="Y117" s="382"/>
      <c r="Z117" s="382"/>
      <c r="AB117" s="382"/>
      <c r="AC117" s="382"/>
      <c r="AD117" s="382"/>
      <c r="AE117" s="382"/>
      <c r="AF117" s="382"/>
      <c r="AG117" s="382"/>
      <c r="AH117" s="382"/>
      <c r="AI117" s="382"/>
    </row>
    <row r="118" spans="1:35">
      <c r="A118" s="95"/>
      <c r="B118" s="21"/>
      <c r="C118" s="21"/>
      <c r="D118" s="21"/>
      <c r="E118" s="21"/>
      <c r="F118" s="21"/>
      <c r="G118" s="21"/>
      <c r="H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K119" s="382"/>
      <c r="L119" s="382"/>
      <c r="M119" s="382"/>
      <c r="N119" s="382"/>
      <c r="O119" s="382"/>
      <c r="P119" s="382"/>
      <c r="T119" s="382"/>
      <c r="U119" s="382"/>
      <c r="V119" s="382"/>
      <c r="W119" s="382"/>
      <c r="X119" s="382"/>
      <c r="Y119" s="382"/>
      <c r="AC119" s="382"/>
      <c r="AD119" s="382"/>
      <c r="AE119" s="382"/>
      <c r="AF119" s="382"/>
      <c r="AG119" s="382"/>
      <c r="AH119" s="382"/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</row>
    <row r="121" spans="1:35">
      <c r="A121" s="22" t="s">
        <v>160</v>
      </c>
      <c r="B121" s="22">
        <f>E19</f>
        <v>22200</v>
      </c>
      <c r="C121" s="36">
        <v>20416.669999999998</v>
      </c>
      <c r="D121" s="22">
        <f>D3</f>
        <v>0</v>
      </c>
      <c r="E121" s="36">
        <f>D121</f>
        <v>0</v>
      </c>
      <c r="F121" s="22">
        <v>0</v>
      </c>
      <c r="G121" s="36">
        <f>F121</f>
        <v>0</v>
      </c>
      <c r="H121" s="101">
        <f>H3</f>
        <v>0</v>
      </c>
    </row>
    <row r="122" spans="1:35">
      <c r="A122" s="27" t="s">
        <v>161</v>
      </c>
      <c r="B122" s="102">
        <v>0</v>
      </c>
      <c r="C122" s="103">
        <f>B122</f>
        <v>0</v>
      </c>
      <c r="D122" s="102">
        <v>0</v>
      </c>
      <c r="E122" s="103">
        <f>D122</f>
        <v>0</v>
      </c>
      <c r="F122" s="102">
        <v>0</v>
      </c>
      <c r="G122" s="104">
        <f>F122</f>
        <v>0</v>
      </c>
      <c r="H122" s="105"/>
      <c r="K122" s="10"/>
      <c r="L122" s="10"/>
      <c r="M122" s="10"/>
      <c r="N122" s="10"/>
      <c r="O122" s="10"/>
      <c r="P122" s="10"/>
      <c r="Q122" s="10"/>
      <c r="T122" s="10"/>
      <c r="U122" s="10"/>
      <c r="V122" s="10"/>
      <c r="W122" s="10"/>
      <c r="X122" s="10"/>
      <c r="Y122" s="10"/>
      <c r="Z122" s="10"/>
      <c r="AC122" s="10"/>
      <c r="AD122" s="10"/>
      <c r="AE122" s="10"/>
      <c r="AF122" s="10"/>
      <c r="AG122" s="10"/>
      <c r="AH122" s="10"/>
      <c r="AI122" s="10"/>
    </row>
    <row r="123" spans="1:35">
      <c r="A123" s="27" t="s">
        <v>162</v>
      </c>
      <c r="B123" s="27">
        <v>0</v>
      </c>
      <c r="C123" s="36">
        <f>B123</f>
        <v>0</v>
      </c>
      <c r="D123" s="27">
        <v>0</v>
      </c>
      <c r="E123" s="36">
        <f>D123</f>
        <v>0</v>
      </c>
      <c r="F123" s="27">
        <v>0</v>
      </c>
      <c r="G123" s="36">
        <f>F123</f>
        <v>0</v>
      </c>
      <c r="H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</row>
    <row r="125" spans="1:35">
      <c r="A125" s="49" t="s">
        <v>164</v>
      </c>
      <c r="B125" s="49">
        <f t="shared" ref="B125:G125" si="0">B121-B124</f>
        <v>22200</v>
      </c>
      <c r="C125" s="57">
        <f t="shared" si="0"/>
        <v>20416.669999999998</v>
      </c>
      <c r="D125" s="49">
        <f t="shared" si="0"/>
        <v>0</v>
      </c>
      <c r="E125" s="57">
        <f t="shared" si="0"/>
        <v>0</v>
      </c>
      <c r="F125" s="49">
        <f t="shared" si="0"/>
        <v>0</v>
      </c>
      <c r="G125" s="57">
        <f t="shared" si="0"/>
        <v>0</v>
      </c>
      <c r="H125" s="57"/>
    </row>
    <row r="126" spans="1:35">
      <c r="A126" s="27"/>
      <c r="B126" s="28"/>
      <c r="C126" s="28"/>
      <c r="D126" s="28"/>
      <c r="E126" s="28"/>
      <c r="F126" s="28"/>
      <c r="G126" s="28"/>
      <c r="H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</row>
    <row r="129" spans="1:34">
      <c r="A129" s="27"/>
      <c r="B129" s="28"/>
      <c r="C129" s="28"/>
      <c r="D129" s="28"/>
      <c r="E129" s="28"/>
      <c r="F129" s="28"/>
      <c r="G129" s="115"/>
      <c r="H129" s="116"/>
    </row>
    <row r="130" spans="1:34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K130" s="382"/>
      <c r="L130" s="382"/>
      <c r="M130" s="382"/>
      <c r="N130" s="382"/>
      <c r="O130" s="382"/>
      <c r="P130" s="382"/>
      <c r="T130" s="382"/>
      <c r="U130" s="382"/>
      <c r="V130" s="382"/>
      <c r="W130" s="382"/>
      <c r="X130" s="382"/>
      <c r="Y130" s="382"/>
      <c r="AC130" s="382"/>
      <c r="AD130" s="382"/>
      <c r="AE130" s="382"/>
      <c r="AF130" s="382"/>
      <c r="AG130" s="382"/>
      <c r="AH130" s="382"/>
    </row>
    <row r="131" spans="1:34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K131" s="382"/>
      <c r="L131" s="382"/>
      <c r="M131" s="390"/>
      <c r="N131" s="390"/>
      <c r="O131" s="382"/>
      <c r="P131" s="382"/>
      <c r="T131" s="382"/>
      <c r="U131" s="382"/>
      <c r="V131" s="390"/>
      <c r="W131" s="390"/>
      <c r="X131" s="382"/>
      <c r="Y131" s="382"/>
      <c r="AC131" s="382"/>
      <c r="AD131" s="382"/>
      <c r="AE131" s="390"/>
      <c r="AF131" s="390"/>
      <c r="AG131" s="382"/>
      <c r="AH131" s="382"/>
    </row>
    <row r="132" spans="1:34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K132" s="382"/>
      <c r="L132" s="382"/>
      <c r="M132" s="390"/>
      <c r="N132" s="390"/>
      <c r="O132" s="382"/>
      <c r="P132" s="382"/>
      <c r="T132" s="382"/>
      <c r="U132" s="382"/>
      <c r="V132" s="390"/>
      <c r="W132" s="390"/>
      <c r="X132" s="382"/>
      <c r="Y132" s="382"/>
      <c r="AC132" s="382"/>
      <c r="AD132" s="382"/>
      <c r="AE132" s="390"/>
      <c r="AF132" s="390"/>
      <c r="AG132" s="382"/>
      <c r="AH132" s="382"/>
    </row>
    <row r="133" spans="1:34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K133" s="382"/>
      <c r="L133" s="382"/>
      <c r="M133" s="390"/>
      <c r="N133" s="390"/>
      <c r="O133" s="382"/>
      <c r="P133" s="382"/>
      <c r="T133" s="382"/>
      <c r="U133" s="382"/>
      <c r="V133" s="390"/>
      <c r="W133" s="390"/>
      <c r="X133" s="382"/>
      <c r="Y133" s="382"/>
      <c r="AC133" s="382"/>
      <c r="AD133" s="382"/>
      <c r="AE133" s="390"/>
      <c r="AF133" s="390"/>
      <c r="AG133" s="382"/>
      <c r="AH133" s="382"/>
    </row>
    <row r="134" spans="1:34">
      <c r="A134" s="27"/>
      <c r="B134" s="28"/>
      <c r="C134" s="28"/>
      <c r="D134" s="28"/>
      <c r="E134" s="28"/>
      <c r="F134" s="28"/>
      <c r="G134" s="115"/>
      <c r="H134" s="116"/>
    </row>
    <row r="135" spans="1:34" ht="21">
      <c r="A135" s="356" t="s">
        <v>172</v>
      </c>
      <c r="B135" s="356"/>
      <c r="C135" s="356"/>
      <c r="D135" s="356"/>
      <c r="E135" s="356"/>
      <c r="F135" s="356"/>
      <c r="G135" s="109">
        <f>E21</f>
        <v>18500</v>
      </c>
      <c r="H135" s="120">
        <f>C125+E125+G125+H128</f>
        <v>20416.669999999998</v>
      </c>
      <c r="J135" s="382"/>
      <c r="K135" s="382"/>
      <c r="L135" s="382"/>
      <c r="M135" s="382"/>
      <c r="N135" s="382"/>
      <c r="O135" s="382"/>
      <c r="S135" s="382"/>
      <c r="T135" s="382"/>
      <c r="U135" s="382"/>
      <c r="V135" s="382"/>
      <c r="W135" s="382"/>
      <c r="X135" s="382"/>
      <c r="AB135" s="382"/>
      <c r="AC135" s="382"/>
      <c r="AD135" s="382"/>
      <c r="AE135" s="382"/>
      <c r="AF135" s="382"/>
      <c r="AG135" s="382"/>
    </row>
    <row r="136" spans="1:34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82"/>
      <c r="K136" s="382"/>
      <c r="L136" s="382"/>
      <c r="M136" s="382"/>
      <c r="N136" s="382"/>
      <c r="O136" s="382"/>
      <c r="S136" s="382"/>
      <c r="T136" s="382"/>
      <c r="U136" s="382"/>
      <c r="V136" s="382"/>
      <c r="W136" s="382"/>
      <c r="X136" s="382"/>
      <c r="AB136" s="382"/>
      <c r="AC136" s="382"/>
      <c r="AD136" s="382"/>
      <c r="AE136" s="382"/>
      <c r="AF136" s="382"/>
      <c r="AG136" s="382"/>
    </row>
    <row r="137" spans="1:34">
      <c r="A137" s="357" t="s">
        <v>174</v>
      </c>
      <c r="B137" s="357"/>
      <c r="C137" s="357"/>
      <c r="D137" s="357"/>
      <c r="E137" s="357"/>
      <c r="F137" s="357"/>
      <c r="G137" s="29">
        <f>(G135+G136)*20%</f>
        <v>3700</v>
      </c>
      <c r="H137" s="29">
        <f>(H135+H136)*20%</f>
        <v>4083.3339999999998</v>
      </c>
      <c r="J137" s="382"/>
      <c r="K137" s="382"/>
      <c r="L137" s="382"/>
      <c r="M137" s="382"/>
      <c r="N137" s="382"/>
      <c r="O137" s="382"/>
      <c r="S137" s="382"/>
      <c r="T137" s="382"/>
      <c r="U137" s="382"/>
      <c r="V137" s="382"/>
      <c r="W137" s="382"/>
      <c r="X137" s="382"/>
      <c r="AB137" s="382"/>
      <c r="AC137" s="382"/>
      <c r="AD137" s="382"/>
      <c r="AE137" s="382"/>
      <c r="AF137" s="382"/>
      <c r="AG137" s="382"/>
    </row>
    <row r="138" spans="1:34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82"/>
      <c r="K138" s="382"/>
      <c r="L138" s="382"/>
      <c r="M138" s="382"/>
      <c r="N138" s="382"/>
      <c r="O138" s="382"/>
      <c r="S138" s="382"/>
      <c r="T138" s="382"/>
      <c r="U138" s="382"/>
      <c r="V138" s="382"/>
      <c r="W138" s="382"/>
      <c r="X138" s="382"/>
      <c r="AB138" s="382"/>
      <c r="AC138" s="382"/>
      <c r="AD138" s="382"/>
      <c r="AE138" s="382"/>
      <c r="AF138" s="382"/>
      <c r="AG138" s="382"/>
    </row>
    <row r="139" spans="1:34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82"/>
      <c r="K139" s="382"/>
      <c r="L139" s="382"/>
      <c r="M139" s="382"/>
      <c r="N139" s="382"/>
      <c r="O139" s="382"/>
      <c r="S139" s="382"/>
      <c r="T139" s="382"/>
      <c r="U139" s="382"/>
      <c r="V139" s="382"/>
      <c r="W139" s="382"/>
      <c r="X139" s="382"/>
      <c r="AB139" s="382"/>
      <c r="AC139" s="382"/>
      <c r="AD139" s="382"/>
      <c r="AE139" s="382"/>
      <c r="AF139" s="382"/>
      <c r="AG139" s="382"/>
    </row>
    <row r="140" spans="1:34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82"/>
      <c r="K140" s="382"/>
      <c r="L140" s="382"/>
      <c r="M140" s="382"/>
      <c r="N140" s="382"/>
      <c r="O140" s="382"/>
      <c r="S140" s="382"/>
      <c r="T140" s="382"/>
      <c r="U140" s="382"/>
      <c r="V140" s="382"/>
      <c r="W140" s="382"/>
      <c r="X140" s="382"/>
      <c r="AB140" s="382"/>
      <c r="AC140" s="382"/>
      <c r="AD140" s="382"/>
      <c r="AE140" s="382"/>
      <c r="AF140" s="382"/>
      <c r="AG140" s="382"/>
    </row>
    <row r="141" spans="1:34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22200</v>
      </c>
      <c r="H141" s="122">
        <f>(H135+H136+H139+H140+H137)-H138</f>
        <v>24500.003999999997</v>
      </c>
      <c r="J141" s="382"/>
      <c r="K141" s="382"/>
      <c r="L141" s="382"/>
      <c r="M141" s="382"/>
      <c r="N141" s="382"/>
      <c r="O141" s="382"/>
      <c r="S141" s="382"/>
      <c r="T141" s="382"/>
      <c r="U141" s="382"/>
      <c r="V141" s="382"/>
      <c r="W141" s="382"/>
      <c r="X141" s="382"/>
      <c r="AB141" s="382"/>
      <c r="AC141" s="382"/>
      <c r="AD141" s="382"/>
      <c r="AE141" s="382"/>
      <c r="AF141" s="382"/>
      <c r="AG141" s="382"/>
    </row>
    <row r="142" spans="1:34">
      <c r="A142" s="357" t="s">
        <v>179</v>
      </c>
      <c r="B142" s="357"/>
      <c r="C142" s="357"/>
      <c r="D142" s="357"/>
      <c r="E142" s="357"/>
      <c r="F142" s="357"/>
      <c r="G142" s="36">
        <f>F142</f>
        <v>0</v>
      </c>
      <c r="H142" s="36">
        <f>G142</f>
        <v>0</v>
      </c>
      <c r="J142" s="382"/>
      <c r="K142" s="382"/>
      <c r="L142" s="382"/>
      <c r="M142" s="382"/>
      <c r="N142" s="382"/>
      <c r="O142" s="382"/>
      <c r="S142" s="382"/>
      <c r="T142" s="382"/>
      <c r="U142" s="382"/>
      <c r="V142" s="382"/>
      <c r="W142" s="382"/>
      <c r="X142" s="382"/>
      <c r="AB142" s="382"/>
      <c r="AC142" s="382"/>
      <c r="AD142" s="382"/>
      <c r="AE142" s="382"/>
      <c r="AF142" s="382"/>
      <c r="AG142" s="382"/>
    </row>
    <row r="143" spans="1:34">
      <c r="A143" s="358" t="s">
        <v>180</v>
      </c>
      <c r="B143" s="358"/>
      <c r="C143" s="358"/>
      <c r="D143" s="358"/>
      <c r="E143" s="358"/>
      <c r="F143" s="358"/>
      <c r="G143" s="29"/>
      <c r="H143" s="29"/>
      <c r="J143" s="382"/>
      <c r="K143" s="382"/>
      <c r="L143" s="382"/>
      <c r="M143" s="382"/>
      <c r="N143" s="382"/>
      <c r="O143" s="382"/>
      <c r="S143" s="382"/>
      <c r="T143" s="382"/>
      <c r="U143" s="382"/>
      <c r="V143" s="382"/>
      <c r="W143" s="382"/>
      <c r="X143" s="382"/>
      <c r="AB143" s="382"/>
      <c r="AC143" s="382"/>
      <c r="AD143" s="382"/>
      <c r="AE143" s="382"/>
      <c r="AF143" s="382"/>
      <c r="AG143" s="382"/>
    </row>
    <row r="144" spans="1:34">
      <c r="A144" s="124" t="s">
        <v>26</v>
      </c>
      <c r="B144" s="360">
        <v>0</v>
      </c>
      <c r="C144" s="360"/>
      <c r="D144" s="360"/>
      <c r="E144" s="360"/>
      <c r="F144" s="360"/>
      <c r="G144" s="36">
        <v>0</v>
      </c>
      <c r="H144" s="36">
        <v>0</v>
      </c>
      <c r="K144" s="382"/>
      <c r="L144" s="382"/>
      <c r="M144" s="382"/>
      <c r="N144" s="382"/>
      <c r="O144" s="382"/>
      <c r="T144" s="382"/>
      <c r="U144" s="382"/>
      <c r="V144" s="382"/>
      <c r="W144" s="382"/>
      <c r="X144" s="382"/>
      <c r="AC144" s="382"/>
      <c r="AD144" s="382"/>
      <c r="AE144" s="382"/>
      <c r="AF144" s="382"/>
      <c r="AG144" s="382"/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36">
        <v>0</v>
      </c>
      <c r="H145" s="36">
        <v>0</v>
      </c>
      <c r="I145" s="4">
        <f>(G142+G145+G146+G144)</f>
        <v>0</v>
      </c>
      <c r="K145" s="382"/>
      <c r="L145" s="382"/>
      <c r="M145" s="382"/>
      <c r="N145" s="382"/>
      <c r="O145" s="382"/>
      <c r="T145" s="382"/>
      <c r="U145" s="382"/>
      <c r="V145" s="382"/>
      <c r="W145" s="382"/>
      <c r="X145" s="382"/>
      <c r="AC145" s="382"/>
      <c r="AD145" s="382"/>
      <c r="AE145" s="382"/>
      <c r="AF145" s="382"/>
      <c r="AG145" s="382"/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36">
        <v>0</v>
      </c>
      <c r="H146" s="36">
        <v>0</v>
      </c>
      <c r="I146" s="4">
        <f>(H142+H144+H145+H146)</f>
        <v>0</v>
      </c>
      <c r="K146" s="382"/>
      <c r="L146" s="382"/>
      <c r="M146" s="382"/>
      <c r="N146" s="382"/>
      <c r="O146" s="382"/>
      <c r="T146" s="382"/>
      <c r="U146" s="382"/>
      <c r="V146" s="382"/>
      <c r="W146" s="382"/>
      <c r="X146" s="382"/>
      <c r="AC146" s="382"/>
      <c r="AD146" s="382"/>
      <c r="AE146" s="382"/>
      <c r="AF146" s="382"/>
      <c r="AG146" s="382"/>
    </row>
    <row r="147" spans="1:35" ht="21">
      <c r="A147" s="357" t="s">
        <v>182</v>
      </c>
      <c r="B147" s="357"/>
      <c r="C147" s="357"/>
      <c r="D147" s="357"/>
      <c r="E147" s="357"/>
      <c r="F147" s="357"/>
      <c r="G147" s="126">
        <f>G141-((G144*1.2)+(G145*1.2)+(G146*1.2)+(G142*1.2))</f>
        <v>22200</v>
      </c>
      <c r="H147" s="126">
        <f>H141-((H144*1.2)+(H145*1.2)+(H146*1.2)+(H142*1.2))</f>
        <v>24500.003999999997</v>
      </c>
      <c r="J147" s="382"/>
      <c r="K147" s="382"/>
      <c r="L147" s="382"/>
      <c r="M147" s="382"/>
      <c r="N147" s="382"/>
      <c r="O147" s="382"/>
      <c r="S147" s="382"/>
      <c r="T147" s="382"/>
      <c r="U147" s="382"/>
      <c r="V147" s="382"/>
      <c r="W147" s="382"/>
      <c r="X147" s="382"/>
      <c r="AB147" s="382"/>
      <c r="AC147" s="382"/>
      <c r="AD147" s="382"/>
      <c r="AE147" s="382"/>
      <c r="AF147" s="382"/>
      <c r="AG147" s="382"/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1916.6699999999973</v>
      </c>
      <c r="I148" s="4">
        <f>(H148-G81)/1.2</f>
        <v>-16069.441666666669</v>
      </c>
      <c r="J148" s="382"/>
      <c r="K148" s="382"/>
      <c r="L148" s="382"/>
      <c r="M148" s="382"/>
      <c r="N148" s="382"/>
      <c r="O148" s="382"/>
      <c r="S148" s="382"/>
      <c r="T148" s="382"/>
      <c r="U148" s="382"/>
      <c r="V148" s="382"/>
      <c r="W148" s="382"/>
      <c r="X148" s="382"/>
      <c r="AB148" s="382"/>
      <c r="AC148" s="382"/>
      <c r="AD148" s="382"/>
      <c r="AE148" s="382"/>
      <c r="AF148" s="382"/>
      <c r="AG148" s="382"/>
    </row>
    <row r="149" spans="1:35">
      <c r="A149" s="27"/>
      <c r="B149" s="28"/>
      <c r="C149" s="28"/>
      <c r="D149" s="28"/>
      <c r="E149" s="21"/>
      <c r="F149" s="21"/>
      <c r="G149" s="21"/>
      <c r="H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82"/>
      <c r="K150" s="382"/>
      <c r="L150" s="382"/>
      <c r="M150" s="382"/>
      <c r="N150" s="382"/>
      <c r="O150" s="382"/>
      <c r="P150" s="382"/>
      <c r="Q150" s="382"/>
      <c r="S150" s="382"/>
      <c r="T150" s="382"/>
      <c r="U150" s="382"/>
      <c r="V150" s="382"/>
      <c r="W150" s="382"/>
      <c r="X150" s="382"/>
      <c r="Y150" s="382"/>
      <c r="Z150" s="382"/>
      <c r="AB150" s="382"/>
      <c r="AC150" s="382"/>
      <c r="AD150" s="382"/>
      <c r="AE150" s="382"/>
      <c r="AF150" s="382"/>
      <c r="AG150" s="382"/>
      <c r="AH150" s="382"/>
      <c r="AI150" s="382"/>
    </row>
    <row r="151" spans="1:35">
      <c r="A151" s="27"/>
      <c r="B151" s="28"/>
      <c r="C151" s="28"/>
      <c r="D151" s="28"/>
      <c r="E151" s="21"/>
      <c r="F151" s="21"/>
      <c r="G151" s="21"/>
      <c r="H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N152" s="382"/>
      <c r="O152" s="382"/>
      <c r="P152" s="382"/>
      <c r="Q152" s="382"/>
      <c r="W152" s="382"/>
      <c r="X152" s="382"/>
      <c r="Y152" s="382"/>
      <c r="Z152" s="382"/>
      <c r="AF152" s="382"/>
      <c r="AG152" s="382"/>
      <c r="AH152" s="382"/>
      <c r="AI152" s="382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N153" s="382"/>
      <c r="O153" s="382"/>
      <c r="P153" s="382"/>
      <c r="Q153" s="382"/>
      <c r="W153" s="382"/>
      <c r="X153" s="382"/>
      <c r="Y153" s="382"/>
      <c r="Z153" s="382"/>
      <c r="AF153" s="382"/>
      <c r="AG153" s="382"/>
      <c r="AH153" s="382"/>
      <c r="AI153" s="382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N154" s="382"/>
      <c r="O154" s="382"/>
      <c r="P154" s="382"/>
      <c r="Q154" s="382"/>
      <c r="W154" s="382"/>
      <c r="X154" s="382"/>
      <c r="Y154" s="382"/>
      <c r="Z154" s="382"/>
      <c r="AF154" s="382"/>
      <c r="AG154" s="382"/>
      <c r="AH154" s="382"/>
      <c r="AI154" s="382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N155" s="382"/>
      <c r="O155" s="382"/>
      <c r="W155" s="382"/>
      <c r="X155" s="382"/>
      <c r="AF155" s="382"/>
      <c r="AG155" s="382"/>
    </row>
    <row r="156" spans="1:35">
      <c r="A156" s="22" t="s">
        <v>189</v>
      </c>
      <c r="B156" s="23"/>
      <c r="C156" s="23"/>
      <c r="D156" s="63"/>
      <c r="E156" s="23"/>
      <c r="F156" s="63"/>
      <c r="G156" s="128" t="s">
        <v>10</v>
      </c>
      <c r="H156" s="36">
        <v>1420</v>
      </c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0</v>
      </c>
      <c r="H157" s="365"/>
      <c r="P157" s="382"/>
      <c r="Q157" s="382"/>
      <c r="Y157" s="382"/>
      <c r="Z157" s="382"/>
      <c r="AH157" s="382"/>
      <c r="AI157" s="382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25920.003999999997</v>
      </c>
      <c r="H158" s="366"/>
      <c r="P158" s="382"/>
      <c r="Q158" s="382"/>
      <c r="Y158" s="382"/>
      <c r="Z158" s="382"/>
      <c r="AH158" s="382"/>
      <c r="AI158" s="382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833.33333333333337</v>
      </c>
      <c r="H159" s="367"/>
      <c r="P159" s="382"/>
      <c r="Q159" s="382"/>
      <c r="Y159" s="382"/>
      <c r="Z159" s="382"/>
      <c r="AH159" s="382"/>
      <c r="AI159" s="382"/>
    </row>
    <row r="160" spans="1:35">
      <c r="A160" s="27"/>
      <c r="B160" s="28"/>
      <c r="C160" s="28"/>
      <c r="D160" s="28"/>
      <c r="E160" s="21"/>
      <c r="F160" s="21"/>
      <c r="G160" s="21"/>
      <c r="H160" s="29"/>
    </row>
    <row r="161" spans="1:35">
      <c r="A161" s="27"/>
      <c r="B161" s="28"/>
      <c r="C161" s="28"/>
      <c r="D161" s="28"/>
      <c r="E161" s="21">
        <v>0</v>
      </c>
      <c r="F161" s="21"/>
      <c r="G161" s="21">
        <v>0</v>
      </c>
      <c r="H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>
        <v>0</v>
      </c>
      <c r="H162" s="335"/>
      <c r="J162" s="382"/>
      <c r="K162" s="382"/>
      <c r="L162" s="382"/>
      <c r="M162" s="382"/>
      <c r="N162" s="382"/>
      <c r="O162" s="382"/>
      <c r="P162" s="382"/>
      <c r="Q162" s="382"/>
      <c r="S162" s="382"/>
      <c r="T162" s="382"/>
      <c r="U162" s="382"/>
      <c r="V162" s="382"/>
      <c r="W162" s="382"/>
      <c r="X162" s="382"/>
      <c r="Y162" s="382"/>
      <c r="Z162" s="382"/>
      <c r="AB162" s="382"/>
      <c r="AC162" s="382"/>
      <c r="AD162" s="382"/>
      <c r="AE162" s="382"/>
      <c r="AF162" s="382"/>
      <c r="AG162" s="382"/>
      <c r="AH162" s="382"/>
      <c r="AI162" s="382"/>
    </row>
    <row r="163" spans="1:35">
      <c r="A163" s="27"/>
      <c r="B163" s="28"/>
      <c r="C163" s="28"/>
      <c r="D163" s="28"/>
      <c r="E163" s="21"/>
      <c r="F163" s="21"/>
      <c r="G163" s="21"/>
      <c r="H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K164" s="382"/>
      <c r="L164" s="382"/>
      <c r="T164" s="382"/>
      <c r="U164" s="382"/>
      <c r="AC164" s="382"/>
      <c r="AD164" s="382"/>
    </row>
    <row r="165" spans="1:35">
      <c r="A165" s="27"/>
      <c r="B165" s="28"/>
      <c r="C165" s="28"/>
      <c r="D165" s="28"/>
      <c r="E165" s="21"/>
      <c r="F165" s="21"/>
      <c r="G165" s="21"/>
      <c r="H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</row>
    <row r="167" spans="1:35">
      <c r="A167" s="132">
        <f>B95</f>
        <v>1538.136912508196</v>
      </c>
      <c r="B167" s="133">
        <f>B94</f>
        <v>0</v>
      </c>
      <c r="C167" s="131"/>
      <c r="D167" s="131"/>
      <c r="E167" s="133">
        <f>B96</f>
        <v>1538.136912508196</v>
      </c>
      <c r="F167" s="21"/>
      <c r="G167" s="21">
        <f>ROUND(G95,2)</f>
        <v>1462.49</v>
      </c>
      <c r="H167" s="29"/>
    </row>
    <row r="168" spans="1:35">
      <c r="A168" s="27"/>
      <c r="B168" s="28"/>
      <c r="C168" s="28"/>
      <c r="D168" s="28"/>
      <c r="E168" s="21"/>
      <c r="F168" s="21"/>
      <c r="G168" s="21"/>
      <c r="H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</row>
    <row r="170" spans="1:35">
      <c r="A170" s="134" t="str">
        <f>H29</f>
        <v>12</v>
      </c>
      <c r="B170" s="135" t="str">
        <f>H30</f>
        <v>5000</v>
      </c>
      <c r="C170" s="136"/>
      <c r="D170" s="21"/>
      <c r="E170" s="137">
        <v>6000</v>
      </c>
      <c r="F170" s="21"/>
      <c r="G170" s="21"/>
      <c r="H170" s="29"/>
    </row>
    <row r="171" spans="1:35">
      <c r="A171" s="27"/>
      <c r="B171" s="28"/>
      <c r="C171" s="28"/>
      <c r="D171" s="21"/>
      <c r="E171" s="28"/>
      <c r="F171" s="21"/>
      <c r="G171" s="21"/>
      <c r="H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</row>
    <row r="173" spans="1:35">
      <c r="A173" s="138">
        <f>H141-H137-H139-H140</f>
        <v>20416.669999999998</v>
      </c>
      <c r="B173" s="34">
        <f>H137</f>
        <v>4083.3339999999998</v>
      </c>
      <c r="C173" s="38"/>
      <c r="D173" s="21"/>
      <c r="E173" s="137">
        <f>H139+H140</f>
        <v>0</v>
      </c>
      <c r="F173" s="21"/>
      <c r="G173" s="21"/>
      <c r="H173" s="29"/>
    </row>
    <row r="174" spans="1:35">
      <c r="A174" s="27"/>
      <c r="B174" s="28"/>
      <c r="C174" s="28"/>
      <c r="D174" s="21"/>
      <c r="E174" s="28"/>
      <c r="F174" s="21"/>
      <c r="G174" s="21"/>
      <c r="H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</row>
    <row r="176" spans="1:35">
      <c r="A176" s="138">
        <f>H141</f>
        <v>24500.003999999997</v>
      </c>
      <c r="B176" s="34">
        <f>B111</f>
        <v>0</v>
      </c>
      <c r="C176" s="34"/>
      <c r="D176" s="21"/>
      <c r="E176" s="34">
        <f>E111</f>
        <v>0</v>
      </c>
      <c r="F176" s="21"/>
      <c r="G176" s="21"/>
      <c r="H176" s="90"/>
    </row>
    <row r="177" spans="1:8">
      <c r="A177" s="27"/>
      <c r="B177" s="28"/>
      <c r="C177" s="28"/>
      <c r="D177" s="21"/>
      <c r="E177" s="28"/>
      <c r="F177" s="21"/>
      <c r="G177" s="21"/>
      <c r="H177" s="29"/>
    </row>
    <row r="178" spans="1:8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</row>
    <row r="179" spans="1:8">
      <c r="A179" s="94">
        <f>B176+E176</f>
        <v>0</v>
      </c>
      <c r="B179" s="34">
        <f>G154</f>
        <v>0</v>
      </c>
      <c r="C179" s="34"/>
      <c r="D179" s="21"/>
      <c r="E179" s="34">
        <f>G158</f>
        <v>25920.003999999997</v>
      </c>
      <c r="F179" s="21"/>
      <c r="G179" s="21"/>
      <c r="H179" s="90"/>
    </row>
    <row r="180" spans="1:8">
      <c r="A180" s="27"/>
      <c r="B180" s="28"/>
      <c r="C180" s="28"/>
      <c r="D180" s="21"/>
      <c r="E180" s="28"/>
      <c r="F180" s="21"/>
      <c r="G180" s="21"/>
      <c r="H180" s="29"/>
    </row>
    <row r="181" spans="1:8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</row>
    <row r="182" spans="1:8">
      <c r="A182" s="94">
        <f>(A167*B59)+E185-E179-A185</f>
        <v>-3000.4979624098414</v>
      </c>
      <c r="B182" s="34">
        <f>B114</f>
        <v>833.33333333333337</v>
      </c>
      <c r="C182" s="34"/>
      <c r="D182" s="21"/>
      <c r="E182" s="34">
        <f>E179+A182+(B182*1.2)+A185</f>
        <v>23929.506037590156</v>
      </c>
      <c r="F182" s="21"/>
      <c r="G182" s="21"/>
      <c r="H182" s="90"/>
    </row>
    <row r="183" spans="1:8">
      <c r="A183" s="27"/>
      <c r="B183" s="28"/>
      <c r="C183" s="28"/>
      <c r="D183" s="21"/>
      <c r="E183" s="28"/>
      <c r="F183" s="21"/>
      <c r="G183" s="21"/>
      <c r="H183" s="29"/>
    </row>
    <row r="184" spans="1:8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</row>
    <row r="185" spans="1:8">
      <c r="A185" s="94">
        <f>B60</f>
        <v>10</v>
      </c>
      <c r="B185" s="34">
        <f>A179+B182*1.2</f>
        <v>1000</v>
      </c>
      <c r="C185" s="34"/>
      <c r="D185" s="21"/>
      <c r="E185" s="34">
        <f>IF( E170=0, A185+E167, E170+A185)</f>
        <v>6010</v>
      </c>
      <c r="F185" s="21"/>
      <c r="G185" s="21"/>
      <c r="H185" s="90"/>
    </row>
    <row r="186" spans="1:8">
      <c r="A186" s="27"/>
      <c r="B186" s="28"/>
      <c r="C186" s="28"/>
      <c r="D186" s="28"/>
      <c r="E186" s="21"/>
      <c r="F186" s="21"/>
      <c r="G186" s="21"/>
      <c r="H186" s="29"/>
    </row>
    <row r="187" spans="1:8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</row>
    <row r="188" spans="1:8">
      <c r="A188" s="94">
        <f>J18*0.000002*100</f>
        <v>7.4808000000000003</v>
      </c>
      <c r="B188" s="34">
        <f>(G158*B67)</f>
        <v>518.40008</v>
      </c>
      <c r="C188" s="28"/>
      <c r="D188" s="28"/>
      <c r="E188" s="34">
        <f>IF(E105="YES",(H36*A108)*0.1,0)</f>
        <v>0</v>
      </c>
      <c r="F188" s="21"/>
      <c r="G188" s="21"/>
      <c r="H188" s="29"/>
    </row>
    <row r="189" spans="1:8">
      <c r="A189" s="94"/>
      <c r="B189" s="34"/>
      <c r="C189" s="28"/>
      <c r="D189" s="28"/>
      <c r="E189" s="21"/>
      <c r="F189" s="21"/>
      <c r="G189" s="21"/>
      <c r="H189" s="29"/>
    </row>
    <row r="190" spans="1:8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</row>
    <row r="191" spans="1:8">
      <c r="A191" s="94">
        <v>10</v>
      </c>
      <c r="B191" s="34">
        <f>B188+E188+A191</f>
        <v>528.40008</v>
      </c>
      <c r="C191" s="28"/>
      <c r="D191" s="28"/>
      <c r="E191" s="34">
        <f>H148</f>
        <v>1916.6699999999973</v>
      </c>
      <c r="F191" s="21"/>
      <c r="G191" s="21"/>
      <c r="H191" s="29"/>
    </row>
    <row r="192" spans="1:8">
      <c r="A192" s="27"/>
      <c r="B192" s="28"/>
      <c r="C192" s="28"/>
      <c r="D192" s="28"/>
      <c r="E192" s="21"/>
      <c r="F192" s="21"/>
      <c r="G192" s="21"/>
      <c r="H192" s="29"/>
    </row>
    <row r="193" spans="1:31">
      <c r="A193" s="58" t="s">
        <v>214</v>
      </c>
      <c r="B193" s="28"/>
      <c r="C193" s="28"/>
      <c r="D193" s="59"/>
      <c r="E193" s="59"/>
      <c r="F193" s="59"/>
      <c r="G193" s="59"/>
      <c r="H193" s="60"/>
    </row>
    <row r="194" spans="1:31">
      <c r="A194" s="27"/>
      <c r="B194" s="61"/>
      <c r="C194" s="61"/>
      <c r="D194" s="28"/>
      <c r="E194" s="21"/>
      <c r="F194" s="21"/>
      <c r="G194" s="21"/>
      <c r="H194" s="29"/>
    </row>
    <row r="195" spans="1:31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82"/>
      <c r="K195" s="382"/>
      <c r="L195" s="382"/>
      <c r="M195" s="382"/>
      <c r="S195" s="382"/>
      <c r="T195" s="382"/>
      <c r="U195" s="382"/>
      <c r="V195" s="382"/>
      <c r="AB195" s="382"/>
      <c r="AC195" s="382"/>
      <c r="AD195" s="382"/>
      <c r="AE195" s="382"/>
    </row>
    <row r="196" spans="1:31" ht="19.5" customHeight="1">
      <c r="A196" s="369"/>
      <c r="B196" s="342" t="str">
        <f>H30</f>
        <v>5000</v>
      </c>
      <c r="C196" s="342"/>
      <c r="D196" s="342"/>
      <c r="E196" s="21"/>
      <c r="F196" s="21"/>
      <c r="G196" s="21"/>
      <c r="H196" s="29"/>
      <c r="J196" s="382"/>
      <c r="K196" s="382"/>
      <c r="L196" s="382"/>
      <c r="M196" s="382"/>
      <c r="S196" s="382"/>
      <c r="T196" s="382"/>
      <c r="U196" s="382"/>
      <c r="V196" s="382"/>
      <c r="AB196" s="382"/>
      <c r="AC196" s="382"/>
      <c r="AD196" s="382"/>
      <c r="AE196" s="382"/>
    </row>
    <row r="197" spans="1:31">
      <c r="A197" s="62" t="str">
        <f>H29</f>
        <v>12</v>
      </c>
      <c r="B197" s="343">
        <f>B96</f>
        <v>1538.136912508196</v>
      </c>
      <c r="C197" s="343"/>
      <c r="D197" s="343"/>
      <c r="E197" s="21"/>
      <c r="F197" s="21"/>
      <c r="G197" s="21"/>
      <c r="H197" s="29"/>
      <c r="K197" s="382"/>
      <c r="L197" s="382"/>
      <c r="M197" s="382"/>
      <c r="T197" s="382"/>
      <c r="U197" s="382"/>
      <c r="V197" s="382"/>
      <c r="AC197" s="382"/>
      <c r="AD197" s="382"/>
      <c r="AE197" s="382"/>
    </row>
    <row r="198" spans="1:31">
      <c r="A198" s="27"/>
      <c r="B198" s="28"/>
      <c r="C198" s="28"/>
      <c r="D198" s="28"/>
      <c r="E198" s="21"/>
      <c r="F198" s="21"/>
      <c r="G198" s="21"/>
      <c r="H198" s="29"/>
    </row>
    <row r="199" spans="1:31">
      <c r="A199" s="27"/>
      <c r="B199" s="28"/>
      <c r="C199" s="28"/>
      <c r="D199" s="28"/>
      <c r="E199" s="21"/>
      <c r="F199" s="21"/>
      <c r="G199" s="21"/>
      <c r="H199" s="29"/>
    </row>
    <row r="200" spans="1:31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</row>
    <row r="201" spans="1:31">
      <c r="A201" s="32">
        <f>IF(A40=0,((G167*(B59+1))-E179),((G167*B59)+E185-E179-A185))</f>
        <v>-3832.6139999999978</v>
      </c>
      <c r="B201" s="38">
        <f>E179+A201+(B182*1.2)+A185</f>
        <v>23097.39</v>
      </c>
      <c r="C201" s="28"/>
      <c r="D201" s="28"/>
      <c r="E201" s="21"/>
      <c r="F201" s="21"/>
      <c r="G201" s="21"/>
      <c r="H201" s="29"/>
    </row>
    <row r="202" spans="1:31">
      <c r="A202" s="49"/>
      <c r="B202" s="50"/>
      <c r="C202" s="50"/>
      <c r="D202" s="50"/>
      <c r="E202" s="50"/>
      <c r="F202" s="50"/>
      <c r="G202" s="50"/>
      <c r="H202" s="57"/>
    </row>
    <row r="206" spans="1:31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1">
      <c r="A207" s="27"/>
      <c r="B207" s="28"/>
      <c r="C207" s="28"/>
      <c r="D207" s="28"/>
      <c r="E207" s="21"/>
      <c r="F207" s="21"/>
      <c r="G207" s="21"/>
      <c r="H207" s="29"/>
    </row>
    <row r="208" spans="1:31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42" t="s">
        <v>217</v>
      </c>
      <c r="B209" s="131" t="str">
        <f>A197</f>
        <v>12</v>
      </c>
      <c r="C209" s="131"/>
      <c r="D209" s="131"/>
      <c r="E209" s="131" t="str">
        <f>B196</f>
        <v>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1538.136912508196</v>
      </c>
      <c r="B212" s="133">
        <f>B167</f>
        <v>0</v>
      </c>
      <c r="C212" s="131"/>
      <c r="D212" s="131"/>
      <c r="E212" s="133">
        <f>E167</f>
        <v>1538.136912508196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20416.669999999998</v>
      </c>
      <c r="B215" s="34">
        <f>B173</f>
        <v>4083.3339999999998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24500.003999999997</v>
      </c>
      <c r="B218" s="34">
        <f>B176</f>
        <v>0</v>
      </c>
      <c r="C218" s="34"/>
      <c r="D218" s="21"/>
      <c r="E218" s="34">
        <f>E176</f>
        <v>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0</v>
      </c>
      <c r="B221" s="34">
        <f>B179</f>
        <v>0</v>
      </c>
      <c r="C221" s="34"/>
      <c r="D221" s="21"/>
      <c r="E221" s="34">
        <f>E179</f>
        <v>25920.003999999997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-3000.4979624098414</v>
      </c>
      <c r="B224" s="34">
        <f>B182</f>
        <v>833.33333333333337</v>
      </c>
      <c r="C224" s="34"/>
      <c r="D224" s="21"/>
      <c r="E224" s="34">
        <f>E182</f>
        <v>23929.506037590156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1000</v>
      </c>
      <c r="C227" s="34"/>
      <c r="D227" s="21"/>
      <c r="E227" s="34">
        <f>B59</f>
        <v>11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1538.136912508196</v>
      </c>
      <c r="B230" s="34">
        <f>B167</f>
        <v>0</v>
      </c>
      <c r="C230" s="38"/>
      <c r="D230" s="38"/>
      <c r="E230" s="34">
        <f>E167</f>
        <v>1538.136912508196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219</v>
      </c>
      <c r="B232" s="28" t="s">
        <v>220</v>
      </c>
      <c r="C232" s="28"/>
      <c r="D232" s="28"/>
      <c r="E232" s="28" t="s">
        <v>80</v>
      </c>
      <c r="F232" s="21"/>
      <c r="G232" s="21"/>
      <c r="H232" s="29"/>
    </row>
    <row r="233" spans="1:8">
      <c r="A233" s="94">
        <f>E170</f>
        <v>6000</v>
      </c>
      <c r="B233" s="34">
        <f>E185</f>
        <v>6010</v>
      </c>
      <c r="C233" s="28"/>
      <c r="D233" s="28"/>
      <c r="E233" s="34">
        <f>J18*0.000006*100</f>
        <v>22.442400000000003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221</v>
      </c>
      <c r="B235" s="35" t="s">
        <v>85</v>
      </c>
      <c r="C235" s="28"/>
      <c r="D235" s="28"/>
      <c r="E235" s="35" t="s">
        <v>142</v>
      </c>
      <c r="F235" s="21"/>
      <c r="G235" s="21"/>
      <c r="H235" s="29"/>
    </row>
    <row r="236" spans="1:8">
      <c r="A236" s="94">
        <f>A188</f>
        <v>7.4808000000000003</v>
      </c>
      <c r="B236" s="34">
        <f>E233+A236</f>
        <v>29.923200000000001</v>
      </c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1916.6699999999973</v>
      </c>
      <c r="B240" s="34">
        <f>B188</f>
        <v>518.40008</v>
      </c>
      <c r="C240" s="28"/>
      <c r="D240" s="28"/>
      <c r="E240" s="34">
        <f>IF(E105="YES",(H36*A108)*0.1,0)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1025.0700799999972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B63</f>
        <v>6.5000000000000002E-2</v>
      </c>
      <c r="C253" s="144"/>
      <c r="D253" s="374" t="s">
        <v>226</v>
      </c>
      <c r="E253" s="374"/>
      <c r="F253" s="143">
        <f>B83</f>
        <v>0.1255</v>
      </c>
      <c r="G253" s="21"/>
      <c r="H253" s="29"/>
    </row>
    <row r="254" spans="1:8">
      <c r="A254" s="139" t="s">
        <v>227</v>
      </c>
      <c r="B254" s="146">
        <f>(E182-B182)-(B201-B182-A185)</f>
        <v>842.11603759015634</v>
      </c>
      <c r="C254" s="144"/>
      <c r="D254" s="374" t="s">
        <v>228</v>
      </c>
      <c r="E254" s="374"/>
      <c r="F254" s="146">
        <f>F261+F267+F269+B270+B271</f>
        <v>518.40008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333.71595759015634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0.1255</v>
      </c>
      <c r="C260" s="38"/>
      <c r="D260" s="363" t="s">
        <v>227</v>
      </c>
      <c r="E260" s="363"/>
      <c r="F260" s="115">
        <f>B254</f>
        <v>842.11603759015634</v>
      </c>
      <c r="G260" s="21"/>
      <c r="H260" s="29"/>
    </row>
    <row r="261" spans="1:8">
      <c r="A261" s="27" t="s">
        <v>233</v>
      </c>
      <c r="B261" s="155">
        <f>B67</f>
        <v>0.02</v>
      </c>
      <c r="C261" s="28"/>
      <c r="D261" s="363" t="s">
        <v>233</v>
      </c>
      <c r="E261" s="363"/>
      <c r="F261" s="119">
        <f>B68</f>
        <v>518.40008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333.71595759015634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71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A100:H100"/>
    <mergeCell ref="J100:Q100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G42:H42"/>
    <mergeCell ref="B44:C44"/>
    <mergeCell ref="D44:E44"/>
    <mergeCell ref="B47:C47"/>
    <mergeCell ref="D47:E47"/>
    <mergeCell ref="A51:A52"/>
    <mergeCell ref="B51:C51"/>
    <mergeCell ref="B52:C52"/>
    <mergeCell ref="B53:C53"/>
    <mergeCell ref="B30:C30"/>
    <mergeCell ref="B32:C32"/>
    <mergeCell ref="D32:E32"/>
    <mergeCell ref="B35:C35"/>
    <mergeCell ref="D35:E35"/>
    <mergeCell ref="B38:C38"/>
    <mergeCell ref="D38:E38"/>
    <mergeCell ref="J38:K38"/>
    <mergeCell ref="B41:C41"/>
    <mergeCell ref="D41:E41"/>
    <mergeCell ref="A1:F1"/>
    <mergeCell ref="D7:E18"/>
    <mergeCell ref="A16:C18"/>
    <mergeCell ref="A19:D19"/>
    <mergeCell ref="A21:D21"/>
    <mergeCell ref="A24:E24"/>
    <mergeCell ref="A26:E26"/>
    <mergeCell ref="B29:C29"/>
    <mergeCell ref="D29:E29"/>
  </mergeCells>
  <dataValidations count="4">
    <dataValidation type="list" allowBlank="1" showInputMessage="1" showErrorMessage="1" sqref="B105 C108:D108 A144:A146" xr:uid="{00000000-0002-0000-1C00-000000000000}">
      <formula1>#REF!</formula1>
      <formula2>0</formula2>
    </dataValidation>
    <dataValidation type="list" allowBlank="1" showErrorMessage="1" sqref="B38" xr:uid="{00000000-0002-0000-1C00-000002000000}">
      <formula1>$Z$19:$Z$20</formula1>
      <formula2>0</formula2>
    </dataValidation>
    <dataValidation type="list" allowBlank="1" showInputMessage="1" showErrorMessage="1" sqref="E105 A111" xr:uid="{00000000-0002-0000-1C00-000003000000}">
      <formula1>"YES,NO"</formula1>
      <formula2>0</formula2>
    </dataValidation>
    <dataValidation type="list" allowBlank="1" showInputMessage="1" showErrorMessage="1" sqref="B108" xr:uid="{00000000-0002-0000-1C00-000004000000}">
      <formula1>"A1 Credit,Limited Credit"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1C00-000001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P272"/>
  <sheetViews>
    <sheetView topLeftCell="A249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6" customWidth="true" style="4" width="18.875"/>
    <col min="7" max="7" customWidth="true" style="4" width="23.125"/>
    <col min="8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30" t="s">
        <v>14</v>
      </c>
      <c r="B1" s="330"/>
      <c r="C1" s="330"/>
      <c r="D1" s="330"/>
      <c r="E1" s="330"/>
      <c r="F1" s="330"/>
      <c r="J1" s="5"/>
    </row>
    <row r="2" spans="1:25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J2" s="5"/>
    </row>
    <row r="3" spans="1:25">
      <c r="A3" s="9"/>
      <c r="B3" s="9"/>
      <c r="C3" s="9"/>
      <c r="D3" s="9"/>
      <c r="E3" s="9"/>
      <c r="F3" s="6" t="s">
        <v>10</v>
      </c>
      <c r="J3" s="5"/>
    </row>
    <row r="4" spans="1:25">
      <c r="A4" s="6" t="s">
        <v>18</v>
      </c>
      <c r="B4" s="7">
        <f>B15+C15</f>
        <v>22200</v>
      </c>
      <c r="C4" s="9"/>
      <c r="D4" s="9"/>
      <c r="E4" s="9"/>
      <c r="F4" s="6" t="s">
        <v>10</v>
      </c>
      <c r="H4" s="10"/>
      <c r="J4" s="5"/>
    </row>
    <row r="5" spans="1:25">
      <c r="A5" s="11"/>
      <c r="B5" s="11"/>
      <c r="C5" s="11"/>
      <c r="D5" s="11"/>
      <c r="E5" s="11"/>
      <c r="F5" s="11" t="s">
        <v>10</v>
      </c>
      <c r="J5" s="5"/>
    </row>
    <row r="6" spans="1:25">
      <c r="A6" s="11"/>
      <c r="B6" s="11"/>
      <c r="C6" s="11"/>
      <c r="D6" s="11"/>
      <c r="E6" s="11"/>
      <c r="F6" s="11"/>
      <c r="J6" s="5"/>
    </row>
    <row r="7" spans="1:25">
      <c r="A7" s="12" t="s">
        <v>19</v>
      </c>
      <c r="B7" s="12" t="s">
        <v>20</v>
      </c>
      <c r="C7" s="12" t="s">
        <v>16</v>
      </c>
      <c r="D7" s="331"/>
      <c r="E7" s="331"/>
      <c r="F7" s="11"/>
      <c r="J7" s="5"/>
    </row>
    <row r="8" spans="1:25">
      <c r="A8" s="13"/>
      <c r="B8" s="11"/>
      <c r="C8" s="11"/>
      <c r="D8" s="331"/>
      <c r="E8" s="331"/>
      <c r="F8" s="11"/>
      <c r="J8" s="5"/>
      <c r="L8" s="14" t="s">
        <v>17</v>
      </c>
      <c r="M8" s="11">
        <f>H13+H14</f>
        <v>0</v>
      </c>
    </row>
    <row r="9" spans="1:25">
      <c r="A9" s="12" t="s">
        <v>21</v>
      </c>
      <c r="B9" s="15">
        <v>18500</v>
      </c>
      <c r="C9" s="11">
        <f>B9*0.2</f>
        <v>3700</v>
      </c>
      <c r="D9" s="331"/>
      <c r="E9" s="331"/>
      <c r="F9" s="11"/>
      <c r="J9" s="5"/>
      <c r="L9" s="11"/>
      <c r="M9" s="11"/>
    </row>
    <row r="10" spans="1:25">
      <c r="A10" s="12"/>
      <c r="B10" s="11"/>
      <c r="C10" s="11"/>
      <c r="D10" s="331"/>
      <c r="E10" s="331"/>
      <c r="F10" s="11"/>
      <c r="J10" s="5"/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31"/>
      <c r="E11" s="331"/>
      <c r="F11" s="11"/>
      <c r="J11" s="5"/>
      <c r="L11" s="11"/>
      <c r="M11" s="11"/>
    </row>
    <row r="12" spans="1:25">
      <c r="A12" s="12"/>
      <c r="B12" s="11"/>
      <c r="C12" s="11"/>
      <c r="D12" s="331"/>
      <c r="E12" s="331"/>
      <c r="F12" s="11"/>
      <c r="J12" s="5"/>
    </row>
    <row r="13" spans="1:25">
      <c r="A13" s="12" t="s">
        <v>23</v>
      </c>
      <c r="B13" s="15">
        <v>0</v>
      </c>
      <c r="C13" s="11"/>
      <c r="D13" s="331"/>
      <c r="E13" s="331"/>
      <c r="F13" s="11"/>
      <c r="J13" s="5"/>
    </row>
    <row r="14" spans="1:25">
      <c r="A14" s="12"/>
      <c r="B14" s="11"/>
      <c r="C14" s="11"/>
      <c r="D14" s="331"/>
      <c r="E14" s="331"/>
      <c r="F14" s="11"/>
      <c r="J14" s="5" t="s">
        <v>24</v>
      </c>
    </row>
    <row r="15" spans="1:25">
      <c r="A15" s="12" t="s">
        <v>25</v>
      </c>
      <c r="B15" s="11">
        <f>SUM(B9:B13)</f>
        <v>18500</v>
      </c>
      <c r="C15" s="11">
        <f>SUM(C9:C13)</f>
        <v>3700</v>
      </c>
      <c r="D15" s="331"/>
      <c r="E15" s="331"/>
      <c r="F15" s="11"/>
      <c r="J15" s="17">
        <f>H15</f>
        <v>0</v>
      </c>
    </row>
    <row r="16" spans="1:25">
      <c r="A16" s="332"/>
      <c r="B16" s="332"/>
      <c r="C16" s="332"/>
      <c r="D16" s="331"/>
      <c r="E16" s="331"/>
      <c r="F16" s="11"/>
      <c r="J16" s="5"/>
      <c r="Y16" s="18" t="s">
        <v>26</v>
      </c>
    </row>
    <row r="17" spans="1:26">
      <c r="A17" s="332"/>
      <c r="B17" s="332"/>
      <c r="C17" s="332"/>
      <c r="D17" s="331"/>
      <c r="E17" s="331"/>
      <c r="F17" s="11"/>
      <c r="J17" s="19" t="s">
        <v>27</v>
      </c>
      <c r="Y17" s="18" t="s">
        <v>28</v>
      </c>
    </row>
    <row r="18" spans="1:26">
      <c r="A18" s="332"/>
      <c r="B18" s="332"/>
      <c r="C18" s="332"/>
      <c r="D18" s="331"/>
      <c r="E18" s="331"/>
      <c r="F18" s="11"/>
      <c r="J18" s="20">
        <v>37404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22200</v>
      </c>
      <c r="F19" s="11"/>
      <c r="J19" s="5"/>
      <c r="Z19" s="5" t="s">
        <v>31</v>
      </c>
    </row>
    <row r="20" spans="1:26">
      <c r="A20" s="11"/>
      <c r="B20" s="11"/>
      <c r="C20" s="11"/>
      <c r="D20" s="11"/>
      <c r="E20" s="11"/>
      <c r="F20" s="11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18500</v>
      </c>
      <c r="F21" s="11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76" t="s">
        <v>246</v>
      </c>
      <c r="B24" s="376"/>
      <c r="C24" s="376"/>
      <c r="D24" s="376"/>
      <c r="E24" s="376"/>
      <c r="F24" s="55"/>
      <c r="G24" s="55"/>
      <c r="H24" s="55"/>
    </row>
    <row r="25" spans="1:26">
      <c r="A25" s="157"/>
      <c r="B25" s="158"/>
      <c r="C25" s="158"/>
      <c r="D25" s="158"/>
      <c r="E25" s="159"/>
      <c r="F25" s="55"/>
      <c r="G25" s="55"/>
      <c r="H25" s="55"/>
    </row>
    <row r="26" spans="1:26" ht="23.25">
      <c r="A26" s="377" t="s">
        <v>247</v>
      </c>
      <c r="B26" s="377"/>
      <c r="C26" s="377"/>
      <c r="D26" s="377"/>
      <c r="E26" s="377"/>
      <c r="F26" s="55"/>
      <c r="G26" s="160"/>
      <c r="H26" s="160"/>
    </row>
    <row r="27" spans="1:26">
      <c r="A27" s="157"/>
      <c r="B27" s="158"/>
      <c r="C27" s="158"/>
      <c r="D27" s="158"/>
      <c r="E27" s="159"/>
      <c r="F27" s="55"/>
      <c r="G27" s="161" t="s">
        <v>96</v>
      </c>
      <c r="H27" s="161">
        <f>IF(A32=Y104,1,IF(A32=Y105,1,IF(A32=Y106,3,IF(A32=Y107,6,IF(A32=Y108,9,IF(A32=Y109,12,IF(A32=Y110,3,IF(A32=Y111,6,IF(A32=Y112,9,0)))))))))</f>
        <v>0</v>
      </c>
    </row>
    <row r="28" spans="1:26" ht="37.5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IF(A32=Y104,H29-H37,IF(A32=Y105,H29-H37,IF(A32=Y106,H29-1,IF(A32=Y107,H29-1,IF(A32=Y108,H29-1,IF(A32=Y109,H29-1,IF(A32=Y110,H29-H37,IF(A32=Y111,H29-H37,IF(A32=Y112,H29-H37,0)))))))))</f>
        <v>0</v>
      </c>
    </row>
    <row r="29" spans="1:26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 t="str">
        <f>B35</f>
        <v>12</v>
      </c>
    </row>
    <row r="30" spans="1:26">
      <c r="A30" s="157"/>
      <c r="B30" s="380"/>
      <c r="C30" s="380"/>
      <c r="D30" s="158"/>
      <c r="E30" s="159"/>
      <c r="F30" s="55"/>
      <c r="G30" s="160" t="s">
        <v>45</v>
      </c>
      <c r="H30" s="160" t="str">
        <f>D35</f>
        <v>5000</v>
      </c>
    </row>
    <row r="31" spans="1:26" ht="37.5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</row>
    <row r="32" spans="1:26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>
        <f>A41</f>
        <v>0</v>
      </c>
      <c r="J32" s="39" t="s">
        <v>50</v>
      </c>
      <c r="K32" s="40" t="s">
        <v>402</v>
      </c>
    </row>
    <row r="33" spans="1:16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J33" s="39"/>
      <c r="K33" s="13"/>
    </row>
    <row r="34" spans="1:16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J34" s="39" t="s">
        <v>57</v>
      </c>
      <c r="K34" s="44" t="s">
        <v>398</v>
      </c>
    </row>
    <row r="35" spans="1:16">
      <c r="A35" s="167">
        <f>B32+D32</f>
        <v>500</v>
      </c>
      <c r="B35" s="378" t="s">
        <v>393</v>
      </c>
      <c r="C35" s="378"/>
      <c r="D35" s="378" t="s">
        <v>397</v>
      </c>
      <c r="E35" s="378"/>
      <c r="F35" s="55"/>
      <c r="G35" s="46"/>
      <c r="H35" s="174"/>
      <c r="J35" s="39"/>
      <c r="K35" s="13">
        <v>6.5000000000000002E-2</v>
      </c>
    </row>
    <row r="36" spans="1:16">
      <c r="A36" s="157"/>
      <c r="B36" s="158"/>
      <c r="C36" s="158"/>
      <c r="D36" s="158"/>
      <c r="E36" s="159"/>
      <c r="F36" s="55"/>
      <c r="G36" s="55" t="s">
        <v>91</v>
      </c>
      <c r="H36" s="56">
        <v>0</v>
      </c>
      <c r="J36" s="39" t="s">
        <v>64</v>
      </c>
      <c r="K36" s="47">
        <f>K32-K34</f>
        <v>21200</v>
      </c>
    </row>
    <row r="37" spans="1:16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</row>
    <row r="38" spans="1:16">
      <c r="A38" s="175">
        <f>(B35/12)*D35</f>
        <v>5000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J38" s="382"/>
      <c r="K38" s="382"/>
      <c r="L38" s="5"/>
      <c r="N38" s="4">
        <f>80.88*36</f>
        <v>2911.68</v>
      </c>
    </row>
    <row r="39" spans="1:16">
      <c r="A39" s="176"/>
      <c r="B39" s="171"/>
      <c r="C39" s="171"/>
      <c r="D39" s="158"/>
      <c r="E39" s="159"/>
      <c r="F39" s="55"/>
      <c r="G39" s="55"/>
      <c r="H39" s="5"/>
      <c r="L39" s="5"/>
      <c r="N39" s="4">
        <f>K39-L39</f>
        <v>0</v>
      </c>
    </row>
    <row r="40" spans="1:16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L40" s="5"/>
      <c r="N40" s="4">
        <f>N38-N39</f>
        <v>2911.68</v>
      </c>
    </row>
    <row r="41" spans="1:16">
      <c r="A41" s="89">
        <f>H36/B35</f>
        <v>0</v>
      </c>
      <c r="B41" s="383" t="str">
        <f>IF(B38="YES",D38+A41,D38)</f>
        <v>500</v>
      </c>
      <c r="C41" s="383"/>
      <c r="D41" s="346">
        <v>6000</v>
      </c>
      <c r="E41" s="346"/>
      <c r="F41" s="55"/>
      <c r="G41" s="55"/>
      <c r="H41" s="180"/>
      <c r="J41" s="5"/>
      <c r="K41" s="5"/>
      <c r="L41" s="5"/>
    </row>
    <row r="42" spans="1:16">
      <c r="A42" s="176"/>
      <c r="B42" s="171"/>
      <c r="C42" s="171"/>
      <c r="D42" s="171"/>
      <c r="E42" s="181"/>
      <c r="F42" s="55"/>
      <c r="G42" s="384" t="s">
        <v>65</v>
      </c>
      <c r="H42" s="384"/>
      <c r="J42" s="5"/>
      <c r="K42" s="5"/>
      <c r="L42" s="5"/>
    </row>
    <row r="43" spans="1:16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J43" s="5"/>
      <c r="K43" s="5"/>
      <c r="L43" s="5"/>
    </row>
    <row r="44" spans="1:16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0</v>
      </c>
      <c r="J44" s="5"/>
      <c r="K44" s="5"/>
      <c r="L44" s="5"/>
    </row>
    <row r="45" spans="1:16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J45" s="5"/>
      <c r="K45" s="5"/>
      <c r="L45" s="5"/>
    </row>
    <row r="46" spans="1:16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J46" s="5"/>
      <c r="K46" s="5"/>
      <c r="L46" s="5"/>
    </row>
    <row r="47" spans="1:16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J47" s="5"/>
      <c r="K47" s="5"/>
      <c r="L47" s="5"/>
    </row>
    <row r="48" spans="1:16">
      <c r="B48" s="171"/>
      <c r="C48" s="171"/>
      <c r="D48" s="171"/>
      <c r="E48" s="181"/>
      <c r="F48" s="55"/>
      <c r="G48" s="55"/>
      <c r="H48" s="5"/>
      <c r="J48" s="48"/>
      <c r="K48" s="5"/>
      <c r="L48" s="5"/>
    </row>
    <row r="49" spans="1:29">
      <c r="A49" s="176"/>
      <c r="B49" s="171"/>
      <c r="C49" s="171"/>
      <c r="D49" s="171"/>
      <c r="E49" s="181"/>
      <c r="F49" s="55"/>
      <c r="G49" s="55"/>
      <c r="H49" s="5"/>
      <c r="J49" s="5"/>
      <c r="K49" s="5"/>
      <c r="L49" s="5"/>
    </row>
    <row r="50" spans="1:29">
      <c r="A50" s="157"/>
      <c r="B50" s="183"/>
      <c r="C50" s="183"/>
      <c r="D50" s="158"/>
      <c r="E50" s="159"/>
      <c r="I50" s="5"/>
      <c r="J50" s="5"/>
      <c r="K50" s="5"/>
    </row>
    <row r="51" spans="1:29" ht="19.5" customHeight="1">
      <c r="A51" s="387" t="s">
        <v>94</v>
      </c>
      <c r="B51" s="388" t="s">
        <v>95</v>
      </c>
      <c r="C51" s="388"/>
      <c r="D51" s="158"/>
      <c r="E51" s="159"/>
      <c r="I51" s="5"/>
      <c r="J51" s="5"/>
      <c r="K51" s="5"/>
    </row>
    <row r="52" spans="1:29">
      <c r="A52" s="387"/>
      <c r="B52" s="389" t="str">
        <f>H30</f>
        <v>5000</v>
      </c>
      <c r="C52" s="389"/>
      <c r="D52" s="158"/>
      <c r="E52" s="159"/>
      <c r="I52" s="5"/>
      <c r="J52" s="5"/>
      <c r="K52" s="5"/>
    </row>
    <row r="53" spans="1:29">
      <c r="A53" s="185" t="str">
        <f>H29</f>
        <v>12</v>
      </c>
      <c r="B53" s="343">
        <f>H45</f>
        <v>501</v>
      </c>
      <c r="C53" s="343"/>
      <c r="D53" s="158"/>
      <c r="E53" s="159"/>
      <c r="I53" s="5"/>
      <c r="J53" s="5"/>
      <c r="K53" s="5"/>
    </row>
    <row r="54" spans="1:29">
      <c r="I54" s="5"/>
      <c r="J54" s="5"/>
      <c r="K54" s="5"/>
    </row>
    <row r="55" spans="1:29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29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29">
      <c r="A57" s="22"/>
      <c r="B57" s="23"/>
      <c r="C57" s="23"/>
      <c r="D57" s="23"/>
      <c r="E57" s="63"/>
      <c r="F57" s="63"/>
      <c r="G57" s="63"/>
      <c r="H57" s="24"/>
    </row>
    <row r="58" spans="1:29">
      <c r="A58" s="27" t="s">
        <v>96</v>
      </c>
      <c r="B58" s="28">
        <v>1</v>
      </c>
      <c r="C58" s="186"/>
      <c r="D58" s="28"/>
      <c r="E58" s="21"/>
      <c r="F58" s="21"/>
      <c r="G58" s="21"/>
      <c r="H58" s="29"/>
    </row>
    <row r="59" spans="1:29">
      <c r="A59" s="27" t="s">
        <v>97</v>
      </c>
      <c r="B59" s="28">
        <f>B35-B58</f>
        <v>11</v>
      </c>
      <c r="C59" s="186"/>
      <c r="D59" s="28"/>
      <c r="E59" s="21"/>
      <c r="F59" s="21"/>
      <c r="G59" s="21"/>
      <c r="H59" s="29"/>
    </row>
    <row r="60" spans="1:29">
      <c r="A60" s="64" t="s">
        <v>98</v>
      </c>
      <c r="B60" s="65">
        <v>10</v>
      </c>
      <c r="C60" s="186"/>
      <c r="D60" s="28"/>
      <c r="E60" s="21"/>
      <c r="F60" s="21"/>
      <c r="G60" s="21"/>
      <c r="H60" s="29"/>
    </row>
    <row r="61" spans="1:29">
      <c r="A61" s="27" t="s">
        <v>27</v>
      </c>
      <c r="B61" s="28">
        <f>J18</f>
        <v>37404</v>
      </c>
      <c r="C61" s="186"/>
      <c r="D61" s="28"/>
      <c r="E61" s="21"/>
      <c r="F61" s="21"/>
      <c r="G61" s="21"/>
      <c r="H61" s="29"/>
    </row>
    <row r="62" spans="1:29">
      <c r="A62" s="66" t="s">
        <v>99</v>
      </c>
      <c r="B62" s="67">
        <v>1.0500000000000001E-2</v>
      </c>
      <c r="C62" s="186"/>
      <c r="D62" s="28"/>
      <c r="E62" s="21"/>
      <c r="F62" s="21"/>
      <c r="G62" s="21"/>
      <c r="H62" s="29"/>
      <c r="K62" s="10"/>
      <c r="T62" s="10"/>
      <c r="AC62" s="10"/>
    </row>
    <row r="63" spans="1:29">
      <c r="A63" s="68" t="s">
        <v>100</v>
      </c>
      <c r="B63" s="69">
        <v>6.5000000000000002E-2</v>
      </c>
      <c r="C63" s="186"/>
      <c r="D63" s="28"/>
      <c r="E63" s="21"/>
      <c r="F63" s="21"/>
      <c r="G63" s="21"/>
      <c r="H63" s="29"/>
      <c r="K63" s="10"/>
      <c r="T63" s="10"/>
      <c r="AC63" s="10"/>
    </row>
    <row r="64" spans="1:29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K64" s="10"/>
      <c r="T64" s="10"/>
      <c r="AC64" s="10"/>
    </row>
    <row r="65" spans="1:29">
      <c r="A65" s="49" t="s">
        <v>102</v>
      </c>
      <c r="B65" s="57">
        <f>(B89*B59)-B53</f>
        <v>16418.506037590156</v>
      </c>
      <c r="C65" s="28"/>
      <c r="D65" s="28"/>
      <c r="E65" s="21"/>
      <c r="F65" s="21"/>
      <c r="G65" s="21"/>
      <c r="H65" s="29"/>
    </row>
    <row r="66" spans="1:29">
      <c r="A66" s="66" t="s">
        <v>103</v>
      </c>
      <c r="B66" s="67">
        <v>0.05</v>
      </c>
      <c r="C66" s="28"/>
      <c r="D66" s="28"/>
      <c r="E66" s="21"/>
      <c r="F66" s="21"/>
      <c r="G66" s="21"/>
      <c r="H66" s="29"/>
      <c r="K66" s="10"/>
      <c r="T66" s="10"/>
      <c r="AC66" s="10"/>
    </row>
    <row r="67" spans="1:29">
      <c r="A67" s="27"/>
      <c r="B67" s="72">
        <f>B66</f>
        <v>0.05</v>
      </c>
      <c r="C67" s="28"/>
      <c r="D67" s="28"/>
      <c r="E67" s="21"/>
      <c r="F67" s="21"/>
      <c r="G67" s="21"/>
      <c r="H67" s="29"/>
      <c r="K67" s="10"/>
      <c r="T67" s="10"/>
      <c r="AC67" s="10"/>
    </row>
    <row r="68" spans="1:29">
      <c r="A68" s="49" t="s">
        <v>105</v>
      </c>
      <c r="B68" s="57">
        <f>(G158*B67)</f>
        <v>1296.0001999999999</v>
      </c>
      <c r="C68" s="28"/>
      <c r="D68" s="28"/>
      <c r="E68" s="21"/>
      <c r="F68" s="21"/>
      <c r="G68" s="21"/>
      <c r="H68" s="29"/>
    </row>
    <row r="69" spans="1:29">
      <c r="A69" s="66" t="s">
        <v>106</v>
      </c>
      <c r="B69" s="67">
        <v>0</v>
      </c>
      <c r="C69" s="187"/>
      <c r="D69" s="28"/>
      <c r="E69" s="21"/>
      <c r="F69" s="21"/>
      <c r="G69" s="21"/>
      <c r="H69" s="29"/>
      <c r="K69" s="10"/>
      <c r="T69" s="10"/>
      <c r="AC69" s="10"/>
    </row>
    <row r="70" spans="1:29">
      <c r="A70" s="68" t="s">
        <v>107</v>
      </c>
      <c r="B70" s="69">
        <v>0</v>
      </c>
      <c r="C70" s="187"/>
      <c r="D70" s="28"/>
      <c r="E70" s="21"/>
      <c r="F70" s="21"/>
      <c r="G70" s="21"/>
      <c r="H70" s="29"/>
      <c r="K70" s="10"/>
      <c r="T70" s="10"/>
      <c r="AC70" s="10"/>
    </row>
    <row r="71" spans="1:29">
      <c r="A71" s="49" t="s">
        <v>108</v>
      </c>
      <c r="B71" s="73">
        <f>B69*(1+B70)</f>
        <v>0</v>
      </c>
      <c r="C71" s="187"/>
      <c r="D71" s="28"/>
      <c r="E71" s="21"/>
      <c r="F71" s="21"/>
      <c r="G71" s="21"/>
      <c r="H71" s="29"/>
      <c r="K71" s="10"/>
      <c r="T71" s="10"/>
      <c r="AC71" s="10"/>
    </row>
    <row r="72" spans="1:29">
      <c r="A72" s="66" t="s">
        <v>109</v>
      </c>
      <c r="B72" s="74">
        <v>0</v>
      </c>
      <c r="C72" s="187"/>
      <c r="D72" s="28"/>
      <c r="E72" s="21"/>
      <c r="F72" s="21"/>
      <c r="G72" s="21"/>
      <c r="H72" s="29"/>
    </row>
    <row r="73" spans="1:29">
      <c r="A73" s="68" t="s">
        <v>110</v>
      </c>
      <c r="B73" s="65">
        <v>0</v>
      </c>
      <c r="C73" s="187"/>
      <c r="D73" s="28"/>
      <c r="E73" s="21"/>
      <c r="F73" s="21"/>
      <c r="G73" s="21"/>
      <c r="H73" s="29"/>
    </row>
    <row r="74" spans="1:29">
      <c r="A74" s="49" t="s">
        <v>111</v>
      </c>
      <c r="B74" s="57">
        <f>B73*B35</f>
        <v>0</v>
      </c>
      <c r="C74" s="187"/>
      <c r="D74" s="28">
        <f>B74+B72</f>
        <v>0</v>
      </c>
      <c r="E74" s="21"/>
      <c r="F74" s="21"/>
      <c r="G74" s="21"/>
      <c r="H74" s="29"/>
    </row>
    <row r="75" spans="1:29">
      <c r="A75" s="68" t="s">
        <v>112</v>
      </c>
      <c r="B75" s="65">
        <v>0</v>
      </c>
      <c r="C75" s="187"/>
      <c r="D75" s="28">
        <f>B75</f>
        <v>0</v>
      </c>
      <c r="E75" s="21"/>
      <c r="F75" s="21"/>
      <c r="G75" s="21"/>
      <c r="H75" s="29"/>
    </row>
    <row r="76" spans="1:29">
      <c r="A76" s="70" t="s">
        <v>113</v>
      </c>
      <c r="B76" s="75">
        <v>0</v>
      </c>
      <c r="C76" s="187"/>
      <c r="D76" s="28">
        <f>B76</f>
        <v>0</v>
      </c>
      <c r="E76" s="21"/>
      <c r="F76" s="28"/>
      <c r="G76" s="21"/>
      <c r="H76" s="29"/>
    </row>
    <row r="77" spans="1:29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</row>
    <row r="78" spans="1:29">
      <c r="A78" s="27" t="s">
        <v>115</v>
      </c>
      <c r="B78" s="29">
        <f>B77/B35</f>
        <v>0</v>
      </c>
      <c r="C78" s="28"/>
      <c r="D78" s="28"/>
      <c r="E78" s="21"/>
      <c r="F78" s="21"/>
      <c r="G78" s="21"/>
      <c r="H78" s="29"/>
    </row>
    <row r="79" spans="1:29">
      <c r="A79" s="78" t="s">
        <v>116</v>
      </c>
      <c r="B79" s="52">
        <f>H46</f>
        <v>501</v>
      </c>
      <c r="C79" s="28"/>
      <c r="D79" s="28"/>
      <c r="E79" s="21"/>
      <c r="F79" s="21"/>
      <c r="G79" s="21"/>
      <c r="H79" s="29"/>
    </row>
    <row r="80" spans="1:29">
      <c r="A80" s="27"/>
      <c r="B80" s="28"/>
      <c r="C80" s="28"/>
      <c r="D80" s="28"/>
      <c r="E80" s="21"/>
      <c r="F80" s="21"/>
      <c r="G80" s="21"/>
      <c r="H80" s="29"/>
    </row>
    <row r="81" spans="1:29">
      <c r="A81" s="22" t="s">
        <v>117</v>
      </c>
      <c r="B81" s="24">
        <f>K36</f>
        <v>21200</v>
      </c>
      <c r="C81" s="28"/>
      <c r="D81" s="28"/>
      <c r="E81" s="21"/>
      <c r="F81" s="22" t="s">
        <v>117</v>
      </c>
      <c r="G81" s="24">
        <f>B81</f>
        <v>21200</v>
      </c>
      <c r="H81" s="29"/>
    </row>
    <row r="82" spans="1:29">
      <c r="A82" s="27" t="s">
        <v>118</v>
      </c>
      <c r="B82" s="29">
        <f>IF(A111="YES",D41,0)</f>
        <v>6000</v>
      </c>
      <c r="C82" s="28"/>
      <c r="D82" s="28"/>
      <c r="E82" s="21"/>
      <c r="F82" s="27" t="s">
        <v>118</v>
      </c>
      <c r="G82" s="29">
        <f>IF(A111="YES",D41,0)</f>
        <v>6000</v>
      </c>
      <c r="H82" s="29"/>
    </row>
    <row r="83" spans="1:29">
      <c r="A83" s="27" t="s">
        <v>119</v>
      </c>
      <c r="B83" s="79">
        <f>B62+B63+B64</f>
        <v>0.1255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K83" s="10"/>
      <c r="T83" s="10"/>
      <c r="AC83" s="10"/>
    </row>
    <row r="84" spans="1:29">
      <c r="A84" s="27" t="s">
        <v>120</v>
      </c>
      <c r="B84" s="72">
        <f>B83/12</f>
        <v>1.0458333333333333E-2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K84" s="10"/>
      <c r="T84" s="10"/>
      <c r="AC84" s="10"/>
    </row>
    <row r="85" spans="1:29">
      <c r="A85" s="27" t="s">
        <v>121</v>
      </c>
      <c r="B85" s="29">
        <f>IF(B82=0,(B59+B58),(B59))</f>
        <v>11</v>
      </c>
      <c r="C85" s="28"/>
      <c r="D85" s="28"/>
      <c r="E85" s="21"/>
      <c r="F85" s="27" t="s">
        <v>121</v>
      </c>
      <c r="G85" s="29">
        <f>IF(G82=0,(B59+B58),(B59))</f>
        <v>11</v>
      </c>
      <c r="H85" s="29"/>
    </row>
    <row r="86" spans="1:29">
      <c r="A86" s="27" t="s">
        <v>122</v>
      </c>
      <c r="B86" s="29">
        <f>(B82/((1+B84)^(B85+1)))</f>
        <v>5295.7848332330141</v>
      </c>
      <c r="C86" s="28">
        <f>(B82/((1+B84)^(B85+1)))</f>
        <v>5295.7848332330141</v>
      </c>
      <c r="D86" s="28"/>
      <c r="E86" s="21"/>
      <c r="F86" s="27" t="s">
        <v>122</v>
      </c>
      <c r="G86" s="29">
        <f>(G82/((1+G84)^(G85+1)))</f>
        <v>5623.3910845341579</v>
      </c>
      <c r="H86" s="29"/>
    </row>
    <row r="87" spans="1:29">
      <c r="A87" s="27" t="s">
        <v>123</v>
      </c>
      <c r="B87" s="29">
        <f>((1-(1/((1+B84)^B85)))/B84)</f>
        <v>10.339921652899179</v>
      </c>
      <c r="C87" s="28">
        <f>((1-(1/((1+B84)^B85)))/B84)</f>
        <v>10.339921652899179</v>
      </c>
      <c r="D87" s="28"/>
      <c r="E87" s="21"/>
      <c r="F87" s="27" t="s">
        <v>123</v>
      </c>
      <c r="G87" s="29">
        <f>((1-(1/((1+G84)^G85)))/G84)</f>
        <v>10.65073478229589</v>
      </c>
      <c r="H87" s="29"/>
    </row>
    <row r="88" spans="1:29">
      <c r="A88" s="27" t="s">
        <v>124</v>
      </c>
      <c r="B88" s="29">
        <f>B81-B86</f>
        <v>15904.215166766986</v>
      </c>
      <c r="C88" s="28">
        <f>B81-B86</f>
        <v>15904.215166766986</v>
      </c>
      <c r="D88" s="28"/>
      <c r="E88" s="21"/>
      <c r="F88" s="27" t="s">
        <v>124</v>
      </c>
      <c r="G88" s="29">
        <f>G81-G86</f>
        <v>15576.608915465842</v>
      </c>
      <c r="H88" s="29"/>
    </row>
    <row r="89" spans="1:29">
      <c r="A89" s="27" t="s">
        <v>125</v>
      </c>
      <c r="B89" s="29">
        <f>(B88/B87)</f>
        <v>1538.136912508196</v>
      </c>
      <c r="C89" s="28">
        <f>(B88/B87)</f>
        <v>1538.136912508196</v>
      </c>
      <c r="D89" s="28"/>
      <c r="E89" s="21"/>
      <c r="F89" s="27" t="s">
        <v>125</v>
      </c>
      <c r="G89" s="29">
        <f>(G88/G87)</f>
        <v>1462.4914838136756</v>
      </c>
      <c r="H89" s="29"/>
    </row>
    <row r="90" spans="1:29">
      <c r="A90" s="27" t="s">
        <v>126</v>
      </c>
      <c r="B90" s="29">
        <f>((B89*(B85))+B77)</f>
        <v>16919.506037590156</v>
      </c>
      <c r="C90" s="28"/>
      <c r="D90" s="28"/>
      <c r="E90" s="21"/>
      <c r="F90" s="27" t="s">
        <v>126</v>
      </c>
      <c r="G90" s="29">
        <f>((G89*(G85))+G77)</f>
        <v>16087.406321950431</v>
      </c>
      <c r="H90" s="29"/>
    </row>
    <row r="91" spans="1:29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</row>
    <row r="92" spans="1:29">
      <c r="A92" s="49" t="s">
        <v>128</v>
      </c>
      <c r="B92" s="57">
        <f>(B90+B91)</f>
        <v>16919.506037590156</v>
      </c>
      <c r="C92" s="28"/>
      <c r="D92" s="28"/>
      <c r="E92" s="21"/>
      <c r="F92" s="49" t="s">
        <v>128</v>
      </c>
      <c r="G92" s="57">
        <f>(G90+G91)</f>
        <v>16087.406321950431</v>
      </c>
      <c r="H92" s="29"/>
    </row>
    <row r="93" spans="1:29">
      <c r="A93" s="27"/>
      <c r="B93" s="28"/>
      <c r="C93" s="28"/>
      <c r="D93" s="28"/>
      <c r="E93" s="21"/>
      <c r="F93" s="27"/>
      <c r="G93" s="28"/>
      <c r="H93" s="29"/>
    </row>
    <row r="94" spans="1:29">
      <c r="A94" s="76" t="s">
        <v>129</v>
      </c>
      <c r="B94" s="80" t="str">
        <f>IF(B38="YES",((H36/B85)*(1+A108)*1.2),"0")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</row>
    <row r="95" spans="1:29">
      <c r="A95" s="81" t="s">
        <v>130</v>
      </c>
      <c r="B95" s="82">
        <f>B92/(B85)</f>
        <v>1538.136912508196</v>
      </c>
      <c r="C95" s="28"/>
      <c r="D95" s="28"/>
      <c r="E95" s="21"/>
      <c r="F95" s="81" t="s">
        <v>130</v>
      </c>
      <c r="G95" s="82">
        <f>G92/(G85)</f>
        <v>1462.4914838136756</v>
      </c>
      <c r="H95" s="29"/>
    </row>
    <row r="96" spans="1:29">
      <c r="A96" s="83" t="s">
        <v>131</v>
      </c>
      <c r="B96" s="84">
        <f>B94+B95</f>
        <v>1538.136912508196</v>
      </c>
      <c r="C96" s="28"/>
      <c r="D96" s="28"/>
      <c r="E96" s="21"/>
      <c r="F96" s="83" t="s">
        <v>131</v>
      </c>
      <c r="G96" s="84">
        <f>G94+G95</f>
        <v>1462.4914838136756</v>
      </c>
      <c r="H96" s="29"/>
    </row>
    <row r="97" spans="1:42">
      <c r="A97" s="49"/>
      <c r="B97" s="50"/>
      <c r="C97" s="50"/>
      <c r="D97" s="50"/>
      <c r="E97" s="85"/>
      <c r="F97" s="85"/>
      <c r="G97" s="85"/>
      <c r="H97" s="57"/>
    </row>
    <row r="98" spans="1:42">
      <c r="A98" s="21"/>
      <c r="B98" s="21"/>
      <c r="C98" s="21"/>
      <c r="D98" s="21"/>
      <c r="E98" s="21"/>
      <c r="F98" s="21"/>
      <c r="G98" s="21"/>
      <c r="H98" s="21"/>
    </row>
    <row r="99" spans="1:42">
      <c r="A99" s="21"/>
      <c r="B99" s="21"/>
      <c r="C99" s="21"/>
      <c r="D99" s="21"/>
      <c r="E99" s="21"/>
      <c r="F99" s="21"/>
      <c r="G99" s="21"/>
      <c r="H99" s="21"/>
    </row>
    <row r="100" spans="1:42" ht="47.25" customHeight="1">
      <c r="A100" s="344" t="s">
        <v>278</v>
      </c>
      <c r="B100" s="344"/>
      <c r="C100" s="344"/>
      <c r="D100" s="344"/>
      <c r="E100" s="344"/>
      <c r="F100" s="344"/>
      <c r="G100" s="344"/>
      <c r="H100" s="344"/>
      <c r="J100" s="382"/>
      <c r="K100" s="382"/>
      <c r="L100" s="382"/>
      <c r="M100" s="382"/>
      <c r="N100" s="382"/>
      <c r="O100" s="382"/>
      <c r="P100" s="382"/>
      <c r="Q100" s="382"/>
      <c r="S100" s="382"/>
      <c r="T100" s="382"/>
      <c r="U100" s="382"/>
      <c r="V100" s="382"/>
      <c r="W100" s="382"/>
      <c r="X100" s="382"/>
      <c r="Y100" s="382"/>
      <c r="Z100" s="382"/>
      <c r="AB100" s="382"/>
      <c r="AC100" s="382"/>
      <c r="AD100" s="382"/>
      <c r="AE100" s="382"/>
      <c r="AF100" s="382"/>
      <c r="AG100" s="382"/>
      <c r="AH100" s="382"/>
      <c r="AI100" s="382"/>
    </row>
    <row r="101" spans="1:42">
      <c r="A101" s="22"/>
      <c r="B101" s="23"/>
      <c r="C101" s="23"/>
      <c r="D101" s="23"/>
      <c r="E101" s="63"/>
      <c r="F101" s="63"/>
      <c r="G101" s="63"/>
      <c r="H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82"/>
      <c r="K102" s="382"/>
      <c r="L102" s="382"/>
      <c r="M102" s="382"/>
      <c r="N102" s="382"/>
      <c r="O102" s="382"/>
      <c r="P102" s="382"/>
      <c r="Q102" s="382"/>
      <c r="S102" s="382"/>
      <c r="T102" s="382"/>
      <c r="U102" s="382"/>
      <c r="V102" s="382"/>
      <c r="W102" s="382"/>
      <c r="X102" s="382"/>
      <c r="Y102" s="382"/>
      <c r="Z102" s="382"/>
      <c r="AB102" s="382"/>
      <c r="AC102" s="382"/>
      <c r="AD102" s="382"/>
      <c r="AE102" s="382"/>
      <c r="AF102" s="382"/>
      <c r="AG102" s="382"/>
      <c r="AH102" s="382"/>
      <c r="AI102" s="382"/>
    </row>
    <row r="103" spans="1:42">
      <c r="A103" s="27"/>
      <c r="B103" s="28"/>
      <c r="C103" s="28"/>
      <c r="D103" s="28"/>
      <c r="E103" s="21"/>
      <c r="F103" s="21"/>
      <c r="G103" s="21"/>
      <c r="H103" s="88"/>
      <c r="Z103" s="55" t="s">
        <v>140</v>
      </c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Z104" s="55" t="s">
        <v>270</v>
      </c>
    </row>
    <row r="105" spans="1:42">
      <c r="A105" s="32" t="s">
        <v>139</v>
      </c>
      <c r="B105" s="345" t="s">
        <v>140</v>
      </c>
      <c r="C105" s="345"/>
      <c r="D105" s="345"/>
      <c r="E105" s="346" t="s">
        <v>386</v>
      </c>
      <c r="F105" s="346"/>
      <c r="G105" s="346"/>
      <c r="H105" s="88"/>
      <c r="K105" s="382"/>
      <c r="L105" s="382"/>
      <c r="M105" s="382"/>
      <c r="N105" s="382"/>
      <c r="O105" s="382"/>
      <c r="P105" s="382"/>
      <c r="T105" s="382"/>
      <c r="U105" s="382"/>
      <c r="V105" s="382"/>
      <c r="W105" s="382"/>
      <c r="X105" s="382"/>
      <c r="Y105" s="382"/>
      <c r="Z105" s="55" t="s">
        <v>271</v>
      </c>
      <c r="AC105" s="382"/>
      <c r="AD105" s="382"/>
      <c r="AE105" s="382"/>
      <c r="AF105" s="382"/>
      <c r="AG105" s="382"/>
      <c r="AH105" s="382"/>
    </row>
    <row r="106" spans="1:42">
      <c r="A106" s="27"/>
      <c r="B106" s="28"/>
      <c r="C106" s="28"/>
      <c r="D106" s="21"/>
      <c r="E106" s="28"/>
      <c r="F106" s="28"/>
      <c r="G106" s="21"/>
      <c r="H106" s="29"/>
      <c r="Z106" s="55" t="s">
        <v>272</v>
      </c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Z107" s="55" t="s">
        <v>273</v>
      </c>
    </row>
    <row r="108" spans="1:42">
      <c r="A108" s="188">
        <v>0.2</v>
      </c>
      <c r="B108" s="348" t="s">
        <v>389</v>
      </c>
      <c r="C108" s="348"/>
      <c r="D108" s="348">
        <v>0</v>
      </c>
      <c r="E108" s="349">
        <f>B83</f>
        <v>0.1255</v>
      </c>
      <c r="F108" s="349"/>
      <c r="G108" s="349"/>
      <c r="H108" s="42"/>
      <c r="J108" s="10"/>
      <c r="K108" s="382"/>
      <c r="L108" s="382"/>
      <c r="M108" s="382"/>
      <c r="N108" s="390"/>
      <c r="O108" s="390"/>
      <c r="P108" s="390"/>
      <c r="S108" s="10"/>
      <c r="T108" s="382"/>
      <c r="U108" s="382"/>
      <c r="V108" s="382"/>
      <c r="W108" s="390"/>
      <c r="X108" s="390"/>
      <c r="Y108" s="390"/>
      <c r="Z108" s="55" t="s">
        <v>274</v>
      </c>
      <c r="AB108" s="10"/>
      <c r="AC108" s="382"/>
      <c r="AD108" s="382"/>
      <c r="AE108" s="382"/>
      <c r="AF108" s="390"/>
      <c r="AG108" s="390"/>
      <c r="AH108" s="390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Z109" s="55" t="s">
        <v>275</v>
      </c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Z110" s="55" t="s">
        <v>276</v>
      </c>
    </row>
    <row r="111" spans="1:42">
      <c r="A111" s="36" t="s">
        <v>385</v>
      </c>
      <c r="B111" s="348">
        <v>0</v>
      </c>
      <c r="C111" s="348"/>
      <c r="D111" s="348"/>
      <c r="E111" s="348">
        <v>0</v>
      </c>
      <c r="F111" s="348"/>
      <c r="G111" s="348"/>
      <c r="H111" s="88"/>
      <c r="K111" s="382"/>
      <c r="L111" s="382"/>
      <c r="M111" s="382"/>
      <c r="N111" s="382"/>
      <c r="O111" s="382"/>
      <c r="P111" s="382"/>
      <c r="T111" s="382"/>
      <c r="U111" s="382"/>
      <c r="V111" s="382"/>
      <c r="W111" s="382"/>
      <c r="X111" s="382"/>
      <c r="Y111" s="382"/>
      <c r="Z111" s="55" t="s">
        <v>277</v>
      </c>
      <c r="AC111" s="382"/>
      <c r="AD111" s="382"/>
      <c r="AE111" s="382"/>
      <c r="AF111" s="382"/>
      <c r="AG111" s="382"/>
      <c r="AH111" s="382"/>
    </row>
    <row r="112" spans="1:42">
      <c r="A112" s="27"/>
      <c r="B112" s="28"/>
      <c r="C112" s="28"/>
      <c r="D112" s="28"/>
      <c r="E112" s="28"/>
      <c r="F112" s="28"/>
      <c r="G112" s="21"/>
      <c r="H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</row>
    <row r="114" spans="1:35">
      <c r="A114" s="94">
        <f>B111+E111</f>
        <v>0</v>
      </c>
      <c r="B114" s="348">
        <v>1000</v>
      </c>
      <c r="C114" s="348"/>
      <c r="D114" s="348"/>
      <c r="E114" s="348">
        <v>0</v>
      </c>
      <c r="F114" s="348"/>
      <c r="G114" s="348"/>
      <c r="H114" s="88"/>
      <c r="K114" s="382"/>
      <c r="L114" s="382"/>
      <c r="M114" s="382"/>
      <c r="N114" s="382"/>
      <c r="O114" s="382"/>
      <c r="P114" s="382"/>
      <c r="T114" s="382"/>
      <c r="U114" s="382"/>
      <c r="V114" s="382"/>
      <c r="W114" s="382"/>
      <c r="X114" s="382"/>
      <c r="Y114" s="382"/>
      <c r="AC114" s="382"/>
      <c r="AD114" s="382"/>
      <c r="AE114" s="382"/>
      <c r="AF114" s="382"/>
      <c r="AG114" s="382"/>
      <c r="AH114" s="382"/>
    </row>
    <row r="115" spans="1:35">
      <c r="A115" s="95"/>
      <c r="B115" s="21"/>
      <c r="C115" s="21"/>
      <c r="D115" s="21"/>
      <c r="E115" s="21"/>
      <c r="F115" s="21"/>
      <c r="G115" s="21"/>
      <c r="H115" s="88"/>
    </row>
    <row r="116" spans="1:35">
      <c r="A116" s="95"/>
      <c r="B116" s="21"/>
      <c r="C116" s="21"/>
      <c r="D116" s="21"/>
      <c r="E116" s="21"/>
      <c r="F116" s="21"/>
      <c r="G116" s="21"/>
      <c r="H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82"/>
      <c r="K117" s="382"/>
      <c r="L117" s="382"/>
      <c r="M117" s="382"/>
      <c r="N117" s="382"/>
      <c r="O117" s="382"/>
      <c r="P117" s="382"/>
      <c r="Q117" s="382"/>
      <c r="S117" s="382"/>
      <c r="T117" s="382"/>
      <c r="U117" s="382"/>
      <c r="V117" s="382"/>
      <c r="W117" s="382"/>
      <c r="X117" s="382"/>
      <c r="Y117" s="382"/>
      <c r="Z117" s="382"/>
      <c r="AB117" s="382"/>
      <c r="AC117" s="382"/>
      <c r="AD117" s="382"/>
      <c r="AE117" s="382"/>
      <c r="AF117" s="382"/>
      <c r="AG117" s="382"/>
      <c r="AH117" s="382"/>
      <c r="AI117" s="382"/>
    </row>
    <row r="118" spans="1:35">
      <c r="A118" s="95"/>
      <c r="B118" s="21"/>
      <c r="C118" s="21"/>
      <c r="D118" s="21"/>
      <c r="E118" s="21"/>
      <c r="F118" s="21"/>
      <c r="G118" s="21"/>
      <c r="H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K119" s="382"/>
      <c r="L119" s="382"/>
      <c r="M119" s="382"/>
      <c r="N119" s="382"/>
      <c r="O119" s="382"/>
      <c r="P119" s="382"/>
      <c r="T119" s="382"/>
      <c r="U119" s="382"/>
      <c r="V119" s="382"/>
      <c r="W119" s="382"/>
      <c r="X119" s="382"/>
      <c r="Y119" s="382"/>
      <c r="AC119" s="382"/>
      <c r="AD119" s="382"/>
      <c r="AE119" s="382"/>
      <c r="AF119" s="382"/>
      <c r="AG119" s="382"/>
      <c r="AH119" s="382"/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</row>
    <row r="121" spans="1:35">
      <c r="A121" s="22" t="s">
        <v>160</v>
      </c>
      <c r="B121" s="22">
        <f>E19</f>
        <v>22200</v>
      </c>
      <c r="C121" s="36">
        <v>20416.669999999998</v>
      </c>
      <c r="D121" s="22">
        <f>D3</f>
        <v>0</v>
      </c>
      <c r="E121" s="36">
        <f>D121</f>
        <v>0</v>
      </c>
      <c r="F121" s="22">
        <v>0</v>
      </c>
      <c r="G121" s="36">
        <f>F121</f>
        <v>0</v>
      </c>
      <c r="H121" s="101">
        <f>H3</f>
        <v>0</v>
      </c>
    </row>
    <row r="122" spans="1:35">
      <c r="A122" s="27" t="s">
        <v>161</v>
      </c>
      <c r="B122" s="102">
        <v>0</v>
      </c>
      <c r="C122" s="103">
        <f>B122</f>
        <v>0</v>
      </c>
      <c r="D122" s="102">
        <v>0</v>
      </c>
      <c r="E122" s="103">
        <f>D122</f>
        <v>0</v>
      </c>
      <c r="F122" s="102">
        <v>0</v>
      </c>
      <c r="G122" s="104">
        <f>F122</f>
        <v>0</v>
      </c>
      <c r="H122" s="105"/>
      <c r="K122" s="10"/>
      <c r="L122" s="10"/>
      <c r="M122" s="10"/>
      <c r="N122" s="10"/>
      <c r="O122" s="10"/>
      <c r="P122" s="10"/>
      <c r="Q122" s="10"/>
      <c r="T122" s="10"/>
      <c r="U122" s="10"/>
      <c r="V122" s="10"/>
      <c r="W122" s="10"/>
      <c r="X122" s="10"/>
      <c r="Y122" s="10"/>
      <c r="Z122" s="10"/>
      <c r="AC122" s="10"/>
      <c r="AD122" s="10"/>
      <c r="AE122" s="10"/>
      <c r="AF122" s="10"/>
      <c r="AG122" s="10"/>
      <c r="AH122" s="10"/>
      <c r="AI122" s="10"/>
    </row>
    <row r="123" spans="1:35">
      <c r="A123" s="27" t="s">
        <v>162</v>
      </c>
      <c r="B123" s="27">
        <v>0</v>
      </c>
      <c r="C123" s="36">
        <f>B123</f>
        <v>0</v>
      </c>
      <c r="D123" s="27">
        <v>0</v>
      </c>
      <c r="E123" s="36">
        <f>D123</f>
        <v>0</v>
      </c>
      <c r="F123" s="27">
        <v>0</v>
      </c>
      <c r="G123" s="36">
        <f>F123</f>
        <v>0</v>
      </c>
      <c r="H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</row>
    <row r="125" spans="1:35">
      <c r="A125" s="49" t="s">
        <v>164</v>
      </c>
      <c r="B125" s="49">
        <f t="shared" ref="B125:G125" si="0">B121-B124</f>
        <v>22200</v>
      </c>
      <c r="C125" s="57">
        <f t="shared" si="0"/>
        <v>20416.669999999998</v>
      </c>
      <c r="D125" s="49">
        <f t="shared" si="0"/>
        <v>0</v>
      </c>
      <c r="E125" s="57">
        <f t="shared" si="0"/>
        <v>0</v>
      </c>
      <c r="F125" s="49">
        <f t="shared" si="0"/>
        <v>0</v>
      </c>
      <c r="G125" s="57">
        <f t="shared" si="0"/>
        <v>0</v>
      </c>
      <c r="H125" s="57"/>
    </row>
    <row r="126" spans="1:35">
      <c r="A126" s="27"/>
      <c r="B126" s="28"/>
      <c r="C126" s="28"/>
      <c r="D126" s="28"/>
      <c r="E126" s="28"/>
      <c r="F126" s="28"/>
      <c r="G126" s="28"/>
      <c r="H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</row>
    <row r="129" spans="1:34">
      <c r="A129" s="27"/>
      <c r="B129" s="28"/>
      <c r="C129" s="28"/>
      <c r="D129" s="28"/>
      <c r="E129" s="28"/>
      <c r="F129" s="28"/>
      <c r="G129" s="115"/>
      <c r="H129" s="116"/>
    </row>
    <row r="130" spans="1:34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K130" s="382"/>
      <c r="L130" s="382"/>
      <c r="M130" s="382"/>
      <c r="N130" s="382"/>
      <c r="O130" s="382"/>
      <c r="P130" s="382"/>
      <c r="T130" s="382"/>
      <c r="U130" s="382"/>
      <c r="V130" s="382"/>
      <c r="W130" s="382"/>
      <c r="X130" s="382"/>
      <c r="Y130" s="382"/>
      <c r="AC130" s="382"/>
      <c r="AD130" s="382"/>
      <c r="AE130" s="382"/>
      <c r="AF130" s="382"/>
      <c r="AG130" s="382"/>
      <c r="AH130" s="382"/>
    </row>
    <row r="131" spans="1:34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K131" s="382"/>
      <c r="L131" s="382"/>
      <c r="M131" s="390"/>
      <c r="N131" s="390"/>
      <c r="O131" s="382"/>
      <c r="P131" s="382"/>
      <c r="T131" s="382"/>
      <c r="U131" s="382"/>
      <c r="V131" s="390"/>
      <c r="W131" s="390"/>
      <c r="X131" s="382"/>
      <c r="Y131" s="382"/>
      <c r="AC131" s="382"/>
      <c r="AD131" s="382"/>
      <c r="AE131" s="390"/>
      <c r="AF131" s="390"/>
      <c r="AG131" s="382"/>
      <c r="AH131" s="382"/>
    </row>
    <row r="132" spans="1:34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K132" s="382"/>
      <c r="L132" s="382"/>
      <c r="M132" s="390"/>
      <c r="N132" s="390"/>
      <c r="O132" s="382"/>
      <c r="P132" s="382"/>
      <c r="T132" s="382"/>
      <c r="U132" s="382"/>
      <c r="V132" s="390"/>
      <c r="W132" s="390"/>
      <c r="X132" s="382"/>
      <c r="Y132" s="382"/>
      <c r="AC132" s="382"/>
      <c r="AD132" s="382"/>
      <c r="AE132" s="390"/>
      <c r="AF132" s="390"/>
      <c r="AG132" s="382"/>
      <c r="AH132" s="382"/>
    </row>
    <row r="133" spans="1:34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K133" s="382"/>
      <c r="L133" s="382"/>
      <c r="M133" s="390"/>
      <c r="N133" s="390"/>
      <c r="O133" s="382"/>
      <c r="P133" s="382"/>
      <c r="T133" s="382"/>
      <c r="U133" s="382"/>
      <c r="V133" s="390"/>
      <c r="W133" s="390"/>
      <c r="X133" s="382"/>
      <c r="Y133" s="382"/>
      <c r="AC133" s="382"/>
      <c r="AD133" s="382"/>
      <c r="AE133" s="390"/>
      <c r="AF133" s="390"/>
      <c r="AG133" s="382"/>
      <c r="AH133" s="382"/>
    </row>
    <row r="134" spans="1:34">
      <c r="A134" s="27"/>
      <c r="B134" s="28"/>
      <c r="C134" s="28"/>
      <c r="D134" s="28"/>
      <c r="E134" s="28"/>
      <c r="F134" s="28"/>
      <c r="G134" s="115"/>
      <c r="H134" s="116"/>
    </row>
    <row r="135" spans="1:34" ht="21">
      <c r="A135" s="356" t="s">
        <v>172</v>
      </c>
      <c r="B135" s="356"/>
      <c r="C135" s="356"/>
      <c r="D135" s="356"/>
      <c r="E135" s="356"/>
      <c r="F135" s="356"/>
      <c r="G135" s="109">
        <f>E21</f>
        <v>18500</v>
      </c>
      <c r="H135" s="120">
        <f>C125+E125+G125+H128</f>
        <v>20416.669999999998</v>
      </c>
      <c r="J135" s="382"/>
      <c r="K135" s="382"/>
      <c r="L135" s="382"/>
      <c r="M135" s="382"/>
      <c r="N135" s="382"/>
      <c r="O135" s="382"/>
      <c r="S135" s="382"/>
      <c r="T135" s="382"/>
      <c r="U135" s="382"/>
      <c r="V135" s="382"/>
      <c r="W135" s="382"/>
      <c r="X135" s="382"/>
      <c r="AB135" s="382"/>
      <c r="AC135" s="382"/>
      <c r="AD135" s="382"/>
      <c r="AE135" s="382"/>
      <c r="AF135" s="382"/>
      <c r="AG135" s="382"/>
    </row>
    <row r="136" spans="1:34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82"/>
      <c r="K136" s="382"/>
      <c r="L136" s="382"/>
      <c r="M136" s="382"/>
      <c r="N136" s="382"/>
      <c r="O136" s="382"/>
      <c r="S136" s="382"/>
      <c r="T136" s="382"/>
      <c r="U136" s="382"/>
      <c r="V136" s="382"/>
      <c r="W136" s="382"/>
      <c r="X136" s="382"/>
      <c r="AB136" s="382"/>
      <c r="AC136" s="382"/>
      <c r="AD136" s="382"/>
      <c r="AE136" s="382"/>
      <c r="AF136" s="382"/>
      <c r="AG136" s="382"/>
    </row>
    <row r="137" spans="1:34">
      <c r="A137" s="357" t="s">
        <v>174</v>
      </c>
      <c r="B137" s="357"/>
      <c r="C137" s="357"/>
      <c r="D137" s="357"/>
      <c r="E137" s="357"/>
      <c r="F137" s="357"/>
      <c r="G137" s="29">
        <f>(G135+G136)*20%</f>
        <v>3700</v>
      </c>
      <c r="H137" s="29">
        <f>(H135+H136)*20%</f>
        <v>4083.3339999999998</v>
      </c>
      <c r="J137" s="382"/>
      <c r="K137" s="382"/>
      <c r="L137" s="382"/>
      <c r="M137" s="382"/>
      <c r="N137" s="382"/>
      <c r="O137" s="382"/>
      <c r="S137" s="382"/>
      <c r="T137" s="382"/>
      <c r="U137" s="382"/>
      <c r="V137" s="382"/>
      <c r="W137" s="382"/>
      <c r="X137" s="382"/>
      <c r="AB137" s="382"/>
      <c r="AC137" s="382"/>
      <c r="AD137" s="382"/>
      <c r="AE137" s="382"/>
      <c r="AF137" s="382"/>
      <c r="AG137" s="382"/>
    </row>
    <row r="138" spans="1:34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82"/>
      <c r="K138" s="382"/>
      <c r="L138" s="382"/>
      <c r="M138" s="382"/>
      <c r="N138" s="382"/>
      <c r="O138" s="382"/>
      <c r="S138" s="382"/>
      <c r="T138" s="382"/>
      <c r="U138" s="382"/>
      <c r="V138" s="382"/>
      <c r="W138" s="382"/>
      <c r="X138" s="382"/>
      <c r="AB138" s="382"/>
      <c r="AC138" s="382"/>
      <c r="AD138" s="382"/>
      <c r="AE138" s="382"/>
      <c r="AF138" s="382"/>
      <c r="AG138" s="382"/>
    </row>
    <row r="139" spans="1:34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82"/>
      <c r="K139" s="382"/>
      <c r="L139" s="382"/>
      <c r="M139" s="382"/>
      <c r="N139" s="382"/>
      <c r="O139" s="382"/>
      <c r="S139" s="382"/>
      <c r="T139" s="382"/>
      <c r="U139" s="382"/>
      <c r="V139" s="382"/>
      <c r="W139" s="382"/>
      <c r="X139" s="382"/>
      <c r="AB139" s="382"/>
      <c r="AC139" s="382"/>
      <c r="AD139" s="382"/>
      <c r="AE139" s="382"/>
      <c r="AF139" s="382"/>
      <c r="AG139" s="382"/>
    </row>
    <row r="140" spans="1:34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82"/>
      <c r="K140" s="382"/>
      <c r="L140" s="382"/>
      <c r="M140" s="382"/>
      <c r="N140" s="382"/>
      <c r="O140" s="382"/>
      <c r="S140" s="382"/>
      <c r="T140" s="382"/>
      <c r="U140" s="382"/>
      <c r="V140" s="382"/>
      <c r="W140" s="382"/>
      <c r="X140" s="382"/>
      <c r="AB140" s="382"/>
      <c r="AC140" s="382"/>
      <c r="AD140" s="382"/>
      <c r="AE140" s="382"/>
      <c r="AF140" s="382"/>
      <c r="AG140" s="382"/>
    </row>
    <row r="141" spans="1:34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22200</v>
      </c>
      <c r="H141" s="122">
        <f>(H135+H136+H139+H140+H137)-H138</f>
        <v>24500.003999999997</v>
      </c>
      <c r="J141" s="382"/>
      <c r="K141" s="382"/>
      <c r="L141" s="382"/>
      <c r="M141" s="382"/>
      <c r="N141" s="382"/>
      <c r="O141" s="382"/>
      <c r="S141" s="382"/>
      <c r="T141" s="382"/>
      <c r="U141" s="382"/>
      <c r="V141" s="382"/>
      <c r="W141" s="382"/>
      <c r="X141" s="382"/>
      <c r="AB141" s="382"/>
      <c r="AC141" s="382"/>
      <c r="AD141" s="382"/>
      <c r="AE141" s="382"/>
      <c r="AF141" s="382"/>
      <c r="AG141" s="382"/>
    </row>
    <row r="142" spans="1:34">
      <c r="A142" s="357" t="s">
        <v>179</v>
      </c>
      <c r="B142" s="357"/>
      <c r="C142" s="357"/>
      <c r="D142" s="357"/>
      <c r="E142" s="357"/>
      <c r="F142" s="357"/>
      <c r="G142" s="36">
        <f>F142</f>
        <v>0</v>
      </c>
      <c r="H142" s="36">
        <f>G142</f>
        <v>0</v>
      </c>
      <c r="J142" s="382"/>
      <c r="K142" s="382"/>
      <c r="L142" s="382"/>
      <c r="M142" s="382"/>
      <c r="N142" s="382"/>
      <c r="O142" s="382"/>
      <c r="S142" s="382"/>
      <c r="T142" s="382"/>
      <c r="U142" s="382"/>
      <c r="V142" s="382"/>
      <c r="W142" s="382"/>
      <c r="X142" s="382"/>
      <c r="AB142" s="382"/>
      <c r="AC142" s="382"/>
      <c r="AD142" s="382"/>
      <c r="AE142" s="382"/>
      <c r="AF142" s="382"/>
      <c r="AG142" s="382"/>
    </row>
    <row r="143" spans="1:34">
      <c r="A143" s="358" t="s">
        <v>180</v>
      </c>
      <c r="B143" s="358"/>
      <c r="C143" s="358"/>
      <c r="D143" s="358"/>
      <c r="E143" s="358"/>
      <c r="F143" s="358"/>
      <c r="G143" s="29"/>
      <c r="H143" s="29"/>
      <c r="J143" s="382"/>
      <c r="K143" s="382"/>
      <c r="L143" s="382"/>
      <c r="M143" s="382"/>
      <c r="N143" s="382"/>
      <c r="O143" s="382"/>
      <c r="S143" s="382"/>
      <c r="T143" s="382"/>
      <c r="U143" s="382"/>
      <c r="V143" s="382"/>
      <c r="W143" s="382"/>
      <c r="X143" s="382"/>
      <c r="AB143" s="382"/>
      <c r="AC143" s="382"/>
      <c r="AD143" s="382"/>
      <c r="AE143" s="382"/>
      <c r="AF143" s="382"/>
      <c r="AG143" s="382"/>
    </row>
    <row r="144" spans="1:34">
      <c r="A144" s="124" t="s">
        <v>26</v>
      </c>
      <c r="B144" s="360">
        <v>0</v>
      </c>
      <c r="C144" s="360"/>
      <c r="D144" s="360"/>
      <c r="E144" s="360"/>
      <c r="F144" s="360"/>
      <c r="G144" s="36">
        <v>0</v>
      </c>
      <c r="H144" s="36">
        <v>0</v>
      </c>
      <c r="K144" s="382"/>
      <c r="L144" s="382"/>
      <c r="M144" s="382"/>
      <c r="N144" s="382"/>
      <c r="O144" s="382"/>
      <c r="T144" s="382"/>
      <c r="U144" s="382"/>
      <c r="V144" s="382"/>
      <c r="W144" s="382"/>
      <c r="X144" s="382"/>
      <c r="AC144" s="382"/>
      <c r="AD144" s="382"/>
      <c r="AE144" s="382"/>
      <c r="AF144" s="382"/>
      <c r="AG144" s="382"/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36">
        <v>0</v>
      </c>
      <c r="H145" s="36">
        <v>0</v>
      </c>
      <c r="I145" s="4">
        <f>(G142+G145+G146+G144)</f>
        <v>0</v>
      </c>
      <c r="K145" s="382"/>
      <c r="L145" s="382"/>
      <c r="M145" s="382"/>
      <c r="N145" s="382"/>
      <c r="O145" s="382"/>
      <c r="T145" s="382"/>
      <c r="U145" s="382"/>
      <c r="V145" s="382"/>
      <c r="W145" s="382"/>
      <c r="X145" s="382"/>
      <c r="AC145" s="382"/>
      <c r="AD145" s="382"/>
      <c r="AE145" s="382"/>
      <c r="AF145" s="382"/>
      <c r="AG145" s="382"/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36">
        <v>0</v>
      </c>
      <c r="H146" s="36">
        <v>0</v>
      </c>
      <c r="I146" s="4">
        <f>(H142+H144+H145+H146)</f>
        <v>0</v>
      </c>
      <c r="K146" s="382"/>
      <c r="L146" s="382"/>
      <c r="M146" s="382"/>
      <c r="N146" s="382"/>
      <c r="O146" s="382"/>
      <c r="T146" s="382"/>
      <c r="U146" s="382"/>
      <c r="V146" s="382"/>
      <c r="W146" s="382"/>
      <c r="X146" s="382"/>
      <c r="AC146" s="382"/>
      <c r="AD146" s="382"/>
      <c r="AE146" s="382"/>
      <c r="AF146" s="382"/>
      <c r="AG146" s="382"/>
    </row>
    <row r="147" spans="1:35" ht="21">
      <c r="A147" s="357" t="s">
        <v>182</v>
      </c>
      <c r="B147" s="357"/>
      <c r="C147" s="357"/>
      <c r="D147" s="357"/>
      <c r="E147" s="357"/>
      <c r="F147" s="357"/>
      <c r="G147" s="126">
        <f>G141-((G144*1.2)+(G145*1.2)+(G146*1.2)+(G142*1.2))</f>
        <v>22200</v>
      </c>
      <c r="H147" s="126">
        <f>H141-((H144*1.2)+(H145*1.2)+(H146*1.2)+(H142*1.2))</f>
        <v>24500.003999999997</v>
      </c>
      <c r="J147" s="382"/>
      <c r="K147" s="382"/>
      <c r="L147" s="382"/>
      <c r="M147" s="382"/>
      <c r="N147" s="382"/>
      <c r="O147" s="382"/>
      <c r="S147" s="382"/>
      <c r="T147" s="382"/>
      <c r="U147" s="382"/>
      <c r="V147" s="382"/>
      <c r="W147" s="382"/>
      <c r="X147" s="382"/>
      <c r="AB147" s="382"/>
      <c r="AC147" s="382"/>
      <c r="AD147" s="382"/>
      <c r="AE147" s="382"/>
      <c r="AF147" s="382"/>
      <c r="AG147" s="382"/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1916.6699999999973</v>
      </c>
      <c r="I148" s="4">
        <f>(H148-G81)/1.2</f>
        <v>-16069.441666666669</v>
      </c>
      <c r="J148" s="382"/>
      <c r="K148" s="382"/>
      <c r="L148" s="382"/>
      <c r="M148" s="382"/>
      <c r="N148" s="382"/>
      <c r="O148" s="382"/>
      <c r="S148" s="382"/>
      <c r="T148" s="382"/>
      <c r="U148" s="382"/>
      <c r="V148" s="382"/>
      <c r="W148" s="382"/>
      <c r="X148" s="382"/>
      <c r="AB148" s="382"/>
      <c r="AC148" s="382"/>
      <c r="AD148" s="382"/>
      <c r="AE148" s="382"/>
      <c r="AF148" s="382"/>
      <c r="AG148" s="382"/>
    </row>
    <row r="149" spans="1:35">
      <c r="A149" s="27"/>
      <c r="B149" s="28"/>
      <c r="C149" s="28"/>
      <c r="D149" s="28"/>
      <c r="E149" s="21"/>
      <c r="F149" s="21"/>
      <c r="G149" s="21"/>
      <c r="H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82"/>
      <c r="K150" s="382"/>
      <c r="L150" s="382"/>
      <c r="M150" s="382"/>
      <c r="N150" s="382"/>
      <c r="O150" s="382"/>
      <c r="P150" s="382"/>
      <c r="Q150" s="382"/>
      <c r="S150" s="382"/>
      <c r="T150" s="382"/>
      <c r="U150" s="382"/>
      <c r="V150" s="382"/>
      <c r="W150" s="382"/>
      <c r="X150" s="382"/>
      <c r="Y150" s="382"/>
      <c r="Z150" s="382"/>
      <c r="AB150" s="382"/>
      <c r="AC150" s="382"/>
      <c r="AD150" s="382"/>
      <c r="AE150" s="382"/>
      <c r="AF150" s="382"/>
      <c r="AG150" s="382"/>
      <c r="AH150" s="382"/>
      <c r="AI150" s="382"/>
    </row>
    <row r="151" spans="1:35">
      <c r="A151" s="27"/>
      <c r="B151" s="28"/>
      <c r="C151" s="28"/>
      <c r="D151" s="28"/>
      <c r="E151" s="21"/>
      <c r="F151" s="21"/>
      <c r="G151" s="21"/>
      <c r="H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N152" s="382"/>
      <c r="O152" s="382"/>
      <c r="P152" s="382"/>
      <c r="Q152" s="382"/>
      <c r="W152" s="382"/>
      <c r="X152" s="382"/>
      <c r="Y152" s="382"/>
      <c r="Z152" s="382"/>
      <c r="AF152" s="382"/>
      <c r="AG152" s="382"/>
      <c r="AH152" s="382"/>
      <c r="AI152" s="382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N153" s="382"/>
      <c r="O153" s="382"/>
      <c r="P153" s="382"/>
      <c r="Q153" s="382"/>
      <c r="W153" s="382"/>
      <c r="X153" s="382"/>
      <c r="Y153" s="382"/>
      <c r="Z153" s="382"/>
      <c r="AF153" s="382"/>
      <c r="AG153" s="382"/>
      <c r="AH153" s="382"/>
      <c r="AI153" s="382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N154" s="382"/>
      <c r="O154" s="382"/>
      <c r="P154" s="382"/>
      <c r="Q154" s="382"/>
      <c r="W154" s="382"/>
      <c r="X154" s="382"/>
      <c r="Y154" s="382"/>
      <c r="Z154" s="382"/>
      <c r="AF154" s="382"/>
      <c r="AG154" s="382"/>
      <c r="AH154" s="382"/>
      <c r="AI154" s="382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N155" s="382"/>
      <c r="O155" s="382"/>
      <c r="W155" s="382"/>
      <c r="X155" s="382"/>
      <c r="AF155" s="382"/>
      <c r="AG155" s="382"/>
    </row>
    <row r="156" spans="1:35">
      <c r="A156" s="22" t="s">
        <v>189</v>
      </c>
      <c r="B156" s="23"/>
      <c r="C156" s="23"/>
      <c r="D156" s="63"/>
      <c r="E156" s="23"/>
      <c r="F156" s="63"/>
      <c r="G156" s="128" t="s">
        <v>10</v>
      </c>
      <c r="H156" s="36">
        <v>1420</v>
      </c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0</v>
      </c>
      <c r="H157" s="365"/>
      <c r="P157" s="382"/>
      <c r="Q157" s="382"/>
      <c r="Y157" s="382"/>
      <c r="Z157" s="382"/>
      <c r="AH157" s="382"/>
      <c r="AI157" s="382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25920.003999999997</v>
      </c>
      <c r="H158" s="366"/>
      <c r="P158" s="382"/>
      <c r="Q158" s="382"/>
      <c r="Y158" s="382"/>
      <c r="Z158" s="382"/>
      <c r="AH158" s="382"/>
      <c r="AI158" s="382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1000</v>
      </c>
      <c r="H159" s="367"/>
      <c r="P159" s="382"/>
      <c r="Q159" s="382"/>
      <c r="Y159" s="382"/>
      <c r="Z159" s="382"/>
      <c r="AH159" s="382"/>
      <c r="AI159" s="382"/>
    </row>
    <row r="160" spans="1:35">
      <c r="A160" s="27"/>
      <c r="B160" s="28"/>
      <c r="C160" s="28"/>
      <c r="D160" s="28"/>
      <c r="E160" s="21"/>
      <c r="F160" s="21"/>
      <c r="G160" s="21"/>
      <c r="H160" s="29"/>
    </row>
    <row r="161" spans="1:35">
      <c r="A161" s="27"/>
      <c r="B161" s="28"/>
      <c r="C161" s="28"/>
      <c r="D161" s="28"/>
      <c r="E161" s="21"/>
      <c r="F161" s="21"/>
      <c r="G161" s="21"/>
      <c r="H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82"/>
      <c r="K162" s="382"/>
      <c r="L162" s="382"/>
      <c r="M162" s="382"/>
      <c r="N162" s="382"/>
      <c r="O162" s="382"/>
      <c r="P162" s="382"/>
      <c r="Q162" s="382"/>
      <c r="S162" s="382"/>
      <c r="T162" s="382"/>
      <c r="U162" s="382"/>
      <c r="V162" s="382"/>
      <c r="W162" s="382"/>
      <c r="X162" s="382"/>
      <c r="Y162" s="382"/>
      <c r="Z162" s="382"/>
      <c r="AB162" s="382"/>
      <c r="AC162" s="382"/>
      <c r="AD162" s="382"/>
      <c r="AE162" s="382"/>
      <c r="AF162" s="382"/>
      <c r="AG162" s="382"/>
      <c r="AH162" s="382"/>
      <c r="AI162" s="382"/>
    </row>
    <row r="163" spans="1:35">
      <c r="A163" s="27"/>
      <c r="B163" s="28"/>
      <c r="C163" s="28"/>
      <c r="D163" s="28"/>
      <c r="E163" s="21"/>
      <c r="F163" s="21"/>
      <c r="G163" s="21"/>
      <c r="H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K164" s="382"/>
      <c r="L164" s="382"/>
      <c r="T164" s="382"/>
      <c r="U164" s="382"/>
      <c r="AC164" s="382"/>
      <c r="AD164" s="382"/>
    </row>
    <row r="165" spans="1:35">
      <c r="A165" s="27"/>
      <c r="B165" s="28"/>
      <c r="C165" s="28"/>
      <c r="D165" s="28"/>
      <c r="E165" s="21"/>
      <c r="F165" s="21"/>
      <c r="G165" s="21"/>
      <c r="H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</row>
    <row r="167" spans="1:35">
      <c r="A167" s="189">
        <f>B95</f>
        <v>1538.136912508196</v>
      </c>
      <c r="B167" s="133" t="str">
        <f>B94</f>
        <v>0</v>
      </c>
      <c r="C167" s="131"/>
      <c r="D167" s="131"/>
      <c r="E167" s="133">
        <f>B96</f>
        <v>1538.136912508196</v>
      </c>
      <c r="F167" s="21"/>
      <c r="G167" s="21">
        <f>ROUND(G95,2)</f>
        <v>1462.49</v>
      </c>
      <c r="H167" s="29"/>
    </row>
    <row r="168" spans="1:35">
      <c r="A168" s="27"/>
      <c r="B168" s="28"/>
      <c r="C168" s="28"/>
      <c r="D168" s="28"/>
      <c r="E168" s="21"/>
      <c r="F168" s="21"/>
      <c r="G168" s="21"/>
      <c r="H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</row>
    <row r="170" spans="1:35">
      <c r="A170" s="134" t="str">
        <f>H29</f>
        <v>12</v>
      </c>
      <c r="B170" s="170" t="str">
        <f>H30</f>
        <v>5000</v>
      </c>
      <c r="C170" s="136"/>
      <c r="D170" s="21"/>
      <c r="E170" s="137">
        <v>6000</v>
      </c>
      <c r="F170" s="21"/>
      <c r="G170" s="21"/>
      <c r="H170" s="29"/>
    </row>
    <row r="171" spans="1:35">
      <c r="A171" s="27"/>
      <c r="B171" s="28"/>
      <c r="C171" s="28"/>
      <c r="D171" s="21"/>
      <c r="E171" s="28"/>
      <c r="F171" s="21"/>
      <c r="G171" s="21"/>
      <c r="H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</row>
    <row r="173" spans="1:35">
      <c r="A173" s="138">
        <f>H141-H137-H139-H140</f>
        <v>20416.669999999998</v>
      </c>
      <c r="B173" s="34">
        <f>H137</f>
        <v>4083.3339999999998</v>
      </c>
      <c r="C173" s="38"/>
      <c r="D173" s="21"/>
      <c r="E173" s="137">
        <f>H139+H140</f>
        <v>0</v>
      </c>
      <c r="F173" s="21"/>
      <c r="G173" s="21"/>
      <c r="H173" s="29"/>
    </row>
    <row r="174" spans="1:35">
      <c r="A174" s="27"/>
      <c r="B174" s="28"/>
      <c r="C174" s="28"/>
      <c r="D174" s="21"/>
      <c r="E174" s="28"/>
      <c r="F174" s="21"/>
      <c r="G174" s="21"/>
      <c r="H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</row>
    <row r="176" spans="1:35">
      <c r="A176" s="138">
        <f>H147</f>
        <v>24500.003999999997</v>
      </c>
      <c r="B176" s="34">
        <f>B111</f>
        <v>0</v>
      </c>
      <c r="C176" s="34"/>
      <c r="D176" s="21"/>
      <c r="E176" s="34">
        <f>E111</f>
        <v>0</v>
      </c>
      <c r="F176" s="21"/>
      <c r="G176" s="21"/>
      <c r="H176" s="90"/>
    </row>
    <row r="177" spans="1:8">
      <c r="A177" s="27"/>
      <c r="B177" s="28"/>
      <c r="C177" s="28"/>
      <c r="D177" s="21"/>
      <c r="E177" s="28"/>
      <c r="F177" s="21"/>
      <c r="G177" s="21"/>
      <c r="H177" s="29"/>
    </row>
    <row r="178" spans="1:8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</row>
    <row r="179" spans="1:8">
      <c r="A179" s="94">
        <f>B176+E176</f>
        <v>0</v>
      </c>
      <c r="B179" s="34">
        <f>G154</f>
        <v>0</v>
      </c>
      <c r="C179" s="34"/>
      <c r="D179" s="21"/>
      <c r="E179" s="34">
        <f>G158</f>
        <v>25920.003999999997</v>
      </c>
      <c r="F179" s="21"/>
      <c r="G179" s="21"/>
      <c r="H179" s="90"/>
    </row>
    <row r="180" spans="1:8">
      <c r="A180" s="27"/>
      <c r="B180" s="28"/>
      <c r="C180" s="28"/>
      <c r="D180" s="21"/>
      <c r="E180" s="28"/>
      <c r="F180" s="21"/>
      <c r="G180" s="21"/>
      <c r="H180" s="29"/>
    </row>
    <row r="181" spans="1:8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</row>
    <row r="182" spans="1:8">
      <c r="A182" s="94">
        <f>(A167*B59)+E185-E179-A185</f>
        <v>-3000.4979624098414</v>
      </c>
      <c r="B182" s="34">
        <f>B114</f>
        <v>1000</v>
      </c>
      <c r="C182" s="34"/>
      <c r="D182" s="21"/>
      <c r="E182" s="34">
        <f>E179+A182+B182+A185</f>
        <v>23929.506037590156</v>
      </c>
      <c r="F182" s="21"/>
      <c r="G182" s="21"/>
      <c r="H182" s="90"/>
    </row>
    <row r="183" spans="1:8">
      <c r="A183" s="27"/>
      <c r="B183" s="28"/>
      <c r="C183" s="28"/>
      <c r="D183" s="21"/>
      <c r="E183" s="28"/>
      <c r="F183" s="21"/>
      <c r="G183" s="21"/>
      <c r="H183" s="29"/>
    </row>
    <row r="184" spans="1:8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</row>
    <row r="185" spans="1:8">
      <c r="A185" s="94">
        <f>B60</f>
        <v>10</v>
      </c>
      <c r="B185" s="34">
        <f>A179+B182</f>
        <v>1000</v>
      </c>
      <c r="C185" s="34"/>
      <c r="D185" s="21"/>
      <c r="E185" s="34">
        <f>IF( E170=0, A185+E167, E170+A185)</f>
        <v>6010</v>
      </c>
      <c r="F185" s="21"/>
      <c r="G185" s="21"/>
      <c r="H185" s="90"/>
    </row>
    <row r="186" spans="1:8">
      <c r="A186" s="27"/>
      <c r="B186" s="28"/>
      <c r="C186" s="28"/>
      <c r="D186" s="28"/>
      <c r="E186" s="21"/>
      <c r="F186" s="21"/>
      <c r="G186" s="21"/>
      <c r="H186" s="29"/>
    </row>
    <row r="187" spans="1:8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</row>
    <row r="188" spans="1:8">
      <c r="A188" s="94">
        <f>J18*0.000002*100*1.2</f>
        <v>8.9769600000000001</v>
      </c>
      <c r="B188" s="34">
        <f>(G158*B67)</f>
        <v>1296.0001999999999</v>
      </c>
      <c r="C188" s="28"/>
      <c r="D188" s="28"/>
      <c r="E188" s="34">
        <f>IF(E105="YES",(H36*A108)*0.1,0)</f>
        <v>0</v>
      </c>
      <c r="F188" s="21"/>
      <c r="G188" s="21"/>
      <c r="H188" s="29"/>
    </row>
    <row r="189" spans="1:8">
      <c r="A189" s="94"/>
      <c r="B189" s="34"/>
      <c r="C189" s="28"/>
      <c r="D189" s="28"/>
      <c r="E189" s="21"/>
      <c r="F189" s="21"/>
      <c r="G189" s="21"/>
      <c r="H189" s="29"/>
    </row>
    <row r="190" spans="1:8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</row>
    <row r="191" spans="1:8">
      <c r="A191" s="94">
        <v>10</v>
      </c>
      <c r="B191" s="34">
        <f>B188+E188+A191</f>
        <v>1306.0001999999999</v>
      </c>
      <c r="C191" s="28"/>
      <c r="D191" s="28"/>
      <c r="E191" s="34">
        <f>H148</f>
        <v>1916.6699999999973</v>
      </c>
      <c r="F191" s="21"/>
      <c r="G191" s="21"/>
      <c r="H191" s="29"/>
    </row>
    <row r="192" spans="1:8">
      <c r="A192" s="27"/>
      <c r="B192" s="28"/>
      <c r="C192" s="28"/>
      <c r="D192" s="28"/>
      <c r="E192" s="21"/>
      <c r="F192" s="21"/>
      <c r="G192" s="21"/>
      <c r="H192" s="29"/>
    </row>
    <row r="193" spans="1:31">
      <c r="A193" s="58" t="s">
        <v>214</v>
      </c>
      <c r="B193" s="28"/>
      <c r="C193" s="28"/>
      <c r="D193" s="59"/>
      <c r="E193" s="59"/>
      <c r="F193" s="59"/>
      <c r="G193" s="59"/>
      <c r="H193" s="60"/>
    </row>
    <row r="194" spans="1:31">
      <c r="A194" s="27"/>
      <c r="B194" s="61"/>
      <c r="C194" s="61"/>
      <c r="D194" s="28"/>
      <c r="E194" s="21"/>
      <c r="F194" s="21"/>
      <c r="G194" s="21"/>
      <c r="H194" s="29"/>
    </row>
    <row r="195" spans="1:31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82"/>
      <c r="K195" s="382"/>
      <c r="L195" s="382"/>
      <c r="M195" s="382"/>
      <c r="S195" s="382"/>
      <c r="T195" s="382"/>
      <c r="U195" s="382"/>
      <c r="V195" s="382"/>
      <c r="AB195" s="382"/>
      <c r="AC195" s="382"/>
      <c r="AD195" s="382"/>
      <c r="AE195" s="382"/>
    </row>
    <row r="196" spans="1:31" ht="19.5" customHeight="1">
      <c r="A196" s="369"/>
      <c r="B196" s="342" t="str">
        <f>H30</f>
        <v>5000</v>
      </c>
      <c r="C196" s="342"/>
      <c r="D196" s="342"/>
      <c r="E196" s="21"/>
      <c r="F196" s="21"/>
      <c r="G196" s="21"/>
      <c r="H196" s="29"/>
      <c r="J196" s="382"/>
      <c r="K196" s="382"/>
      <c r="L196" s="382"/>
      <c r="M196" s="382"/>
      <c r="S196" s="382"/>
      <c r="T196" s="382"/>
      <c r="U196" s="382"/>
      <c r="V196" s="382"/>
      <c r="AB196" s="382"/>
      <c r="AC196" s="382"/>
      <c r="AD196" s="382"/>
      <c r="AE196" s="382"/>
    </row>
    <row r="197" spans="1:31">
      <c r="A197" s="62" t="str">
        <f>H29</f>
        <v>12</v>
      </c>
      <c r="B197" s="343">
        <f>B96</f>
        <v>1538.136912508196</v>
      </c>
      <c r="C197" s="343"/>
      <c r="D197" s="343"/>
      <c r="E197" s="21"/>
      <c r="F197" s="21"/>
      <c r="G197" s="21"/>
      <c r="H197" s="29"/>
      <c r="K197" s="382"/>
      <c r="L197" s="382"/>
      <c r="M197" s="382"/>
      <c r="T197" s="382"/>
      <c r="U197" s="382"/>
      <c r="V197" s="382"/>
      <c r="AC197" s="382"/>
      <c r="AD197" s="382"/>
      <c r="AE197" s="382"/>
    </row>
    <row r="198" spans="1:31">
      <c r="A198" s="27"/>
      <c r="B198" s="28"/>
      <c r="C198" s="28"/>
      <c r="D198" s="28"/>
      <c r="E198" s="21"/>
      <c r="F198" s="21"/>
      <c r="G198" s="21"/>
      <c r="H198" s="29"/>
    </row>
    <row r="199" spans="1:31">
      <c r="A199" s="27"/>
      <c r="B199" s="28"/>
      <c r="C199" s="28"/>
      <c r="D199" s="28"/>
      <c r="E199" s="21"/>
      <c r="F199" s="21"/>
      <c r="G199" s="21"/>
      <c r="H199" s="29"/>
    </row>
    <row r="200" spans="1:31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</row>
    <row r="201" spans="1:31">
      <c r="A201" s="32">
        <f>IF(A40=0,((G167*(B59+1))-E179),((G167*B59)+E185-E179-A185))</f>
        <v>-3832.6139999999978</v>
      </c>
      <c r="B201" s="38">
        <f>E179+A201+B182+A185</f>
        <v>23097.39</v>
      </c>
      <c r="C201" s="28"/>
      <c r="D201" s="28"/>
      <c r="E201" s="21"/>
      <c r="F201" s="21"/>
      <c r="G201" s="21"/>
      <c r="H201" s="29"/>
    </row>
    <row r="202" spans="1:31">
      <c r="A202" s="49"/>
      <c r="B202" s="50"/>
      <c r="C202" s="50"/>
      <c r="D202" s="50"/>
      <c r="E202" s="50"/>
      <c r="F202" s="50"/>
      <c r="G202" s="50"/>
      <c r="H202" s="57"/>
    </row>
    <row r="206" spans="1:31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1">
      <c r="A207" s="27"/>
      <c r="B207" s="28"/>
      <c r="C207" s="28"/>
      <c r="D207" s="28"/>
      <c r="E207" s="21"/>
      <c r="F207" s="21"/>
      <c r="G207" s="21"/>
      <c r="H207" s="29"/>
    </row>
    <row r="208" spans="1:31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30" t="s">
        <v>279</v>
      </c>
      <c r="B209" s="131" t="str">
        <f>A197</f>
        <v>12</v>
      </c>
      <c r="C209" s="131"/>
      <c r="D209" s="131"/>
      <c r="E209" s="131" t="str">
        <f>B196</f>
        <v>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1538.136912508196</v>
      </c>
      <c r="B212" s="133" t="str">
        <f>B167</f>
        <v>0</v>
      </c>
      <c r="C212" s="131"/>
      <c r="D212" s="131"/>
      <c r="E212" s="133">
        <f>E167</f>
        <v>1538.136912508196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20416.669999999998</v>
      </c>
      <c r="B215" s="34">
        <f>B173</f>
        <v>4083.3339999999998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24500.003999999997</v>
      </c>
      <c r="B218" s="34">
        <f>B176</f>
        <v>0</v>
      </c>
      <c r="C218" s="34"/>
      <c r="D218" s="21"/>
      <c r="E218" s="34">
        <f>E176</f>
        <v>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0</v>
      </c>
      <c r="B221" s="34">
        <f>B179</f>
        <v>0</v>
      </c>
      <c r="C221" s="34"/>
      <c r="D221" s="21"/>
      <c r="E221" s="34">
        <f>E179</f>
        <v>25920.003999999997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-3000.4979624098414</v>
      </c>
      <c r="B224" s="34">
        <f>B182</f>
        <v>1000</v>
      </c>
      <c r="C224" s="34"/>
      <c r="D224" s="21"/>
      <c r="E224" s="34">
        <f>E182</f>
        <v>23929.506037590156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1000</v>
      </c>
      <c r="C227" s="34"/>
      <c r="D227" s="21"/>
      <c r="E227" s="34">
        <f>B59</f>
        <v>11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1538.136912508196</v>
      </c>
      <c r="B230" s="34" t="str">
        <f>B167</f>
        <v>0</v>
      </c>
      <c r="C230" s="38"/>
      <c r="D230" s="38"/>
      <c r="E230" s="34">
        <f>E167</f>
        <v>1538.136912508196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198</v>
      </c>
      <c r="B232" s="28" t="s">
        <v>220</v>
      </c>
      <c r="C232" s="28"/>
      <c r="D232" s="28"/>
      <c r="E232" s="28" t="s">
        <v>221</v>
      </c>
      <c r="F232" s="21"/>
      <c r="G232" s="21"/>
      <c r="H232" s="29"/>
    </row>
    <row r="233" spans="1:8">
      <c r="A233" s="94">
        <f>E170</f>
        <v>6000</v>
      </c>
      <c r="B233" s="34">
        <f>E185</f>
        <v>6010</v>
      </c>
      <c r="C233" s="28"/>
      <c r="D233" s="28"/>
      <c r="E233" s="34">
        <f>A188</f>
        <v>8.9769600000000001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142</v>
      </c>
      <c r="B235" s="34"/>
      <c r="C235" s="28"/>
      <c r="D235" s="28"/>
      <c r="E235" s="34"/>
      <c r="F235" s="21"/>
      <c r="G235" s="21"/>
      <c r="H235" s="29"/>
    </row>
    <row r="236" spans="1:8">
      <c r="A236" s="94"/>
      <c r="B236" s="34"/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1916.6699999999973</v>
      </c>
      <c r="B240" s="34">
        <f>B188</f>
        <v>1296.0001999999999</v>
      </c>
      <c r="C240" s="28"/>
      <c r="D240" s="28"/>
      <c r="E240" s="34">
        <f>E188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1802.6701999999973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B63</f>
        <v>6.5000000000000002E-2</v>
      </c>
      <c r="C253" s="144"/>
      <c r="D253" s="374" t="s">
        <v>226</v>
      </c>
      <c r="E253" s="374"/>
      <c r="F253" s="143">
        <f>B83</f>
        <v>0.1255</v>
      </c>
      <c r="G253" s="21"/>
      <c r="H253" s="29"/>
    </row>
    <row r="254" spans="1:8">
      <c r="A254" s="139" t="s">
        <v>227</v>
      </c>
      <c r="B254" s="145">
        <f>(E182-B182)-(B201-B182-A185)</f>
        <v>842.11603759015634</v>
      </c>
      <c r="C254" s="144"/>
      <c r="D254" s="374" t="s">
        <v>228</v>
      </c>
      <c r="E254" s="374"/>
      <c r="F254" s="146">
        <f>F261+F267+F269+B270+B271</f>
        <v>1296.0001999999999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-443.88416240984361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0.1255</v>
      </c>
      <c r="C260" s="38"/>
      <c r="D260" s="363" t="s">
        <v>227</v>
      </c>
      <c r="E260" s="363"/>
      <c r="F260" s="115">
        <f>B254</f>
        <v>842.11603759015634</v>
      </c>
      <c r="G260" s="21"/>
      <c r="H260" s="29"/>
    </row>
    <row r="261" spans="1:8">
      <c r="A261" s="27" t="s">
        <v>233</v>
      </c>
      <c r="B261" s="155">
        <f>B67</f>
        <v>0.05</v>
      </c>
      <c r="C261" s="28"/>
      <c r="D261" s="363" t="s">
        <v>233</v>
      </c>
      <c r="E261" s="363"/>
      <c r="F261" s="119">
        <f>B68</f>
        <v>1296.0001999999999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-443.88416240984361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71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A100:H100"/>
    <mergeCell ref="J100:Q100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G42:H42"/>
    <mergeCell ref="B44:C44"/>
    <mergeCell ref="D44:E44"/>
    <mergeCell ref="B47:C47"/>
    <mergeCell ref="D47:E47"/>
    <mergeCell ref="A51:A52"/>
    <mergeCell ref="B51:C51"/>
    <mergeCell ref="B52:C52"/>
    <mergeCell ref="B53:C53"/>
    <mergeCell ref="B30:C30"/>
    <mergeCell ref="B32:C32"/>
    <mergeCell ref="D32:E32"/>
    <mergeCell ref="B35:C35"/>
    <mergeCell ref="D35:E35"/>
    <mergeCell ref="B38:C38"/>
    <mergeCell ref="D38:E38"/>
    <mergeCell ref="J38:K38"/>
    <mergeCell ref="B41:C41"/>
    <mergeCell ref="D41:E41"/>
    <mergeCell ref="A1:F1"/>
    <mergeCell ref="D7:E18"/>
    <mergeCell ref="A16:C18"/>
    <mergeCell ref="A19:D19"/>
    <mergeCell ref="A21:D21"/>
    <mergeCell ref="A24:E24"/>
    <mergeCell ref="A26:E26"/>
    <mergeCell ref="B29:C29"/>
    <mergeCell ref="D29:E29"/>
  </mergeCells>
  <dataValidations count="4">
    <dataValidation type="list" allowBlank="1" showErrorMessage="1" sqref="B38" xr:uid="{00000000-0002-0000-1D00-000001000000}">
      <formula1>$Z$19:$Z$20</formula1>
      <formula2>0</formula2>
    </dataValidation>
    <dataValidation type="list" allowBlank="1" showInputMessage="1" showErrorMessage="1" sqref="B105 C108:D108 A144:A146" xr:uid="{00000000-0002-0000-1D00-000002000000}">
      <formula1>#REF!</formula1>
      <formula2>0</formula2>
    </dataValidation>
    <dataValidation type="list" allowBlank="1" showInputMessage="1" showErrorMessage="1" sqref="E105 A111" xr:uid="{00000000-0002-0000-1D00-000003000000}">
      <formula1>"YES,NO"</formula1>
      <formula2>0</formula2>
    </dataValidation>
    <dataValidation type="list" allowBlank="1" showInputMessage="1" showErrorMessage="1" sqref="B108" xr:uid="{00000000-0002-0000-1D00-000004000000}">
      <formula1>"A1 Credit,Limited Credit"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1D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P272"/>
  <sheetViews>
    <sheetView topLeftCell="A249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6" customWidth="true" style="4" width="18.875"/>
    <col min="7" max="7" customWidth="true" style="4" width="23.125"/>
    <col min="8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30" t="s">
        <v>14</v>
      </c>
      <c r="B1" s="330"/>
      <c r="C1" s="330"/>
      <c r="D1" s="330"/>
      <c r="E1" s="330"/>
      <c r="F1" s="330"/>
      <c r="J1" s="5"/>
    </row>
    <row r="2" spans="1:25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J2" s="5"/>
    </row>
    <row r="3" spans="1:25">
      <c r="A3" s="9"/>
      <c r="B3" s="9"/>
      <c r="C3" s="9"/>
      <c r="D3" s="9"/>
      <c r="E3" s="9"/>
      <c r="F3" s="6" t="s">
        <v>10</v>
      </c>
      <c r="J3" s="5"/>
    </row>
    <row r="4" spans="1:25">
      <c r="A4" s="6" t="s">
        <v>18</v>
      </c>
      <c r="B4" s="7">
        <f>B15+C15</f>
        <v>22200</v>
      </c>
      <c r="C4" s="9"/>
      <c r="D4" s="9"/>
      <c r="E4" s="9"/>
      <c r="F4" s="6" t="s">
        <v>10</v>
      </c>
      <c r="H4" s="10"/>
      <c r="J4" s="5"/>
    </row>
    <row r="5" spans="1:25">
      <c r="A5" s="11"/>
      <c r="B5" s="11"/>
      <c r="C5" s="11"/>
      <c r="D5" s="11"/>
      <c r="E5" s="11"/>
      <c r="F5" s="11" t="s">
        <v>10</v>
      </c>
      <c r="J5" s="5"/>
    </row>
    <row r="6" spans="1:25">
      <c r="A6" s="11"/>
      <c r="B6" s="11"/>
      <c r="C6" s="11"/>
      <c r="D6" s="11"/>
      <c r="E6" s="11"/>
      <c r="F6" s="11"/>
      <c r="J6" s="5"/>
    </row>
    <row r="7" spans="1:25">
      <c r="A7" s="12" t="s">
        <v>19</v>
      </c>
      <c r="B7" s="12" t="s">
        <v>20</v>
      </c>
      <c r="C7" s="12" t="s">
        <v>16</v>
      </c>
      <c r="D7" s="331"/>
      <c r="E7" s="331"/>
      <c r="F7" s="11"/>
      <c r="J7" s="5"/>
    </row>
    <row r="8" spans="1:25">
      <c r="A8" s="13"/>
      <c r="B8" s="11"/>
      <c r="C8" s="11"/>
      <c r="D8" s="331"/>
      <c r="E8" s="331"/>
      <c r="F8" s="11"/>
      <c r="J8" s="5"/>
      <c r="L8" s="14" t="s">
        <v>17</v>
      </c>
      <c r="M8" s="11">
        <f>H13+H14</f>
        <v>0</v>
      </c>
    </row>
    <row r="9" spans="1:25">
      <c r="A9" s="12" t="s">
        <v>21</v>
      </c>
      <c r="B9" s="15">
        <v>18500</v>
      </c>
      <c r="C9" s="11">
        <f>B9*0.2</f>
        <v>3700</v>
      </c>
      <c r="D9" s="331"/>
      <c r="E9" s="331"/>
      <c r="F9" s="11"/>
      <c r="J9" s="5"/>
      <c r="L9" s="11"/>
      <c r="M9" s="11"/>
    </row>
    <row r="10" spans="1:25">
      <c r="A10" s="12"/>
      <c r="B10" s="11"/>
      <c r="C10" s="11"/>
      <c r="D10" s="331"/>
      <c r="E10" s="331"/>
      <c r="F10" s="11"/>
      <c r="J10" s="5"/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31"/>
      <c r="E11" s="331"/>
      <c r="F11" s="11"/>
      <c r="J11" s="5"/>
      <c r="L11" s="11"/>
      <c r="M11" s="11"/>
    </row>
    <row r="12" spans="1:25">
      <c r="A12" s="12"/>
      <c r="B12" s="11"/>
      <c r="C12" s="11"/>
      <c r="D12" s="331"/>
      <c r="E12" s="331"/>
      <c r="F12" s="11"/>
      <c r="J12" s="5"/>
    </row>
    <row r="13" spans="1:25">
      <c r="A13" s="12" t="s">
        <v>23</v>
      </c>
      <c r="B13" s="15">
        <v>0</v>
      </c>
      <c r="C13" s="11"/>
      <c r="D13" s="331"/>
      <c r="E13" s="331"/>
      <c r="F13" s="11"/>
      <c r="J13" s="5"/>
    </row>
    <row r="14" spans="1:25">
      <c r="A14" s="12"/>
      <c r="B14" s="11"/>
      <c r="C14" s="11"/>
      <c r="D14" s="331"/>
      <c r="E14" s="331"/>
      <c r="F14" s="11"/>
      <c r="J14" s="5" t="s">
        <v>24</v>
      </c>
    </row>
    <row r="15" spans="1:25">
      <c r="A15" s="12" t="s">
        <v>25</v>
      </c>
      <c r="B15" s="11">
        <f>SUM(B9:B13)</f>
        <v>18500</v>
      </c>
      <c r="C15" s="11">
        <f>SUM(C9:C13)</f>
        <v>3700</v>
      </c>
      <c r="D15" s="331"/>
      <c r="E15" s="331"/>
      <c r="F15" s="11"/>
      <c r="J15" s="17">
        <f>H15</f>
        <v>0</v>
      </c>
    </row>
    <row r="16" spans="1:25">
      <c r="A16" s="332"/>
      <c r="B16" s="332"/>
      <c r="C16" s="332"/>
      <c r="D16" s="331"/>
      <c r="E16" s="331"/>
      <c r="F16" s="11"/>
      <c r="J16" s="5"/>
      <c r="Y16" s="18" t="s">
        <v>26</v>
      </c>
    </row>
    <row r="17" spans="1:26">
      <c r="A17" s="332"/>
      <c r="B17" s="332"/>
      <c r="C17" s="332"/>
      <c r="D17" s="331"/>
      <c r="E17" s="331"/>
      <c r="F17" s="11"/>
      <c r="J17" s="19" t="s">
        <v>27</v>
      </c>
      <c r="Y17" s="18" t="s">
        <v>28</v>
      </c>
    </row>
    <row r="18" spans="1:26">
      <c r="A18" s="332"/>
      <c r="B18" s="332"/>
      <c r="C18" s="332"/>
      <c r="D18" s="331"/>
      <c r="E18" s="331"/>
      <c r="F18" s="11"/>
      <c r="J18" s="20">
        <v>37404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22200</v>
      </c>
      <c r="F19" s="11"/>
      <c r="J19" s="5"/>
      <c r="Z19" s="5" t="s">
        <v>31</v>
      </c>
    </row>
    <row r="20" spans="1:26">
      <c r="A20" s="11"/>
      <c r="B20" s="11"/>
      <c r="C20" s="11"/>
      <c r="D20" s="11"/>
      <c r="E20" s="11"/>
      <c r="F20" s="11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18500</v>
      </c>
      <c r="F21" s="11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76" t="s">
        <v>246</v>
      </c>
      <c r="B24" s="376"/>
      <c r="C24" s="376"/>
      <c r="D24" s="376"/>
      <c r="E24" s="376"/>
      <c r="F24" s="55"/>
      <c r="G24" s="55"/>
      <c r="H24" s="55"/>
    </row>
    <row r="25" spans="1:26">
      <c r="A25" s="157"/>
      <c r="B25" s="158"/>
      <c r="C25" s="158"/>
      <c r="D25" s="158"/>
      <c r="E25" s="159"/>
      <c r="F25" s="55"/>
      <c r="G25" s="55"/>
      <c r="H25" s="55"/>
    </row>
    <row r="26" spans="1:26" ht="23.25">
      <c r="A26" s="377" t="s">
        <v>247</v>
      </c>
      <c r="B26" s="377"/>
      <c r="C26" s="377"/>
      <c r="D26" s="377"/>
      <c r="E26" s="377"/>
      <c r="F26" s="55"/>
      <c r="G26" s="160"/>
      <c r="H26" s="160"/>
    </row>
    <row r="27" spans="1:26">
      <c r="A27" s="157"/>
      <c r="B27" s="158"/>
      <c r="C27" s="158"/>
      <c r="D27" s="158"/>
      <c r="E27" s="159"/>
      <c r="F27" s="55"/>
      <c r="G27" s="161" t="s">
        <v>96</v>
      </c>
      <c r="H27" s="161">
        <f>IF(A32=Y104,1,IF(A32=Y105,1,IF(A32=Y106,3,IF(A32=Y107,6,IF(A32=Y108,9,IF(A32=Y109,12,IF(A32=Y110,3,IF(A32=Y111,6,IF(A32=Y112,9,0)))))))))</f>
        <v>0</v>
      </c>
    </row>
    <row r="28" spans="1:26" ht="37.5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IF(A32=Y104,H29-H37,IF(A32=Y105,H29-H37,IF(A32=Y106,H29-1,IF(A32=Y107,H29-1,IF(A32=Y108,H29-1,IF(A32=Y109,H29-1,IF(A32=Y110,H29-H37,IF(A32=Y111,H29-H37,IF(A32=Y112,H29-H37,0)))))))))</f>
        <v>0</v>
      </c>
    </row>
    <row r="29" spans="1:26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 t="str">
        <f>B35</f>
        <v>12</v>
      </c>
    </row>
    <row r="30" spans="1:26">
      <c r="A30" s="157"/>
      <c r="B30" s="380"/>
      <c r="C30" s="380"/>
      <c r="D30" s="158"/>
      <c r="E30" s="159"/>
      <c r="F30" s="55"/>
      <c r="G30" s="160" t="s">
        <v>45</v>
      </c>
      <c r="H30" s="160" t="str">
        <f>D35</f>
        <v>5000</v>
      </c>
    </row>
    <row r="31" spans="1:26" ht="37.5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</row>
    <row r="32" spans="1:26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>
        <f>A41</f>
        <v>0</v>
      </c>
      <c r="J32" s="39" t="s">
        <v>50</v>
      </c>
      <c r="K32" s="190" t="s">
        <v>402</v>
      </c>
    </row>
    <row r="33" spans="1:16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J33" s="39"/>
      <c r="K33" s="13"/>
    </row>
    <row r="34" spans="1:16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J34" s="39" t="s">
        <v>57</v>
      </c>
      <c r="K34" s="44" t="s">
        <v>398</v>
      </c>
    </row>
    <row r="35" spans="1:16">
      <c r="A35" s="167">
        <f>B32+D32</f>
        <v>500</v>
      </c>
      <c r="B35" s="378" t="s">
        <v>393</v>
      </c>
      <c r="C35" s="378"/>
      <c r="D35" s="378" t="s">
        <v>397</v>
      </c>
      <c r="E35" s="378"/>
      <c r="F35" s="55"/>
      <c r="G35" s="46"/>
      <c r="H35" s="174"/>
      <c r="J35" s="39"/>
      <c r="K35" s="13">
        <v>6.5000000000000002E-2</v>
      </c>
    </row>
    <row r="36" spans="1:16">
      <c r="A36" s="157"/>
      <c r="B36" s="158"/>
      <c r="C36" s="158"/>
      <c r="D36" s="158"/>
      <c r="E36" s="159"/>
      <c r="F36" s="55"/>
      <c r="G36" s="55" t="s">
        <v>91</v>
      </c>
      <c r="H36" s="56">
        <v>0</v>
      </c>
      <c r="J36" s="39" t="s">
        <v>64</v>
      </c>
      <c r="K36" s="47">
        <f>K32-K34</f>
        <v>21200</v>
      </c>
    </row>
    <row r="37" spans="1:16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</row>
    <row r="38" spans="1:16">
      <c r="A38" s="175">
        <f>(B35/12)*D35</f>
        <v>5000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J38" s="382"/>
      <c r="K38" s="382"/>
      <c r="L38" s="5"/>
      <c r="N38" s="4">
        <f>80.88*36</f>
        <v>2911.68</v>
      </c>
    </row>
    <row r="39" spans="1:16">
      <c r="A39" s="176"/>
      <c r="B39" s="171"/>
      <c r="C39" s="171"/>
      <c r="D39" s="158"/>
      <c r="E39" s="159"/>
      <c r="F39" s="55"/>
      <c r="G39" s="55"/>
      <c r="H39" s="5"/>
      <c r="L39" s="5"/>
      <c r="N39" s="4">
        <f>K39-L39</f>
        <v>0</v>
      </c>
    </row>
    <row r="40" spans="1:16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L40" s="5"/>
      <c r="N40" s="4">
        <f>N38-N39</f>
        <v>2911.68</v>
      </c>
    </row>
    <row r="41" spans="1:16">
      <c r="A41" s="89">
        <f>H36/B35</f>
        <v>0</v>
      </c>
      <c r="B41" s="383" t="str">
        <f>IF(B38="YES",D38+A41,D38)</f>
        <v>500</v>
      </c>
      <c r="C41" s="383"/>
      <c r="D41" s="346">
        <v>6000</v>
      </c>
      <c r="E41" s="346"/>
      <c r="F41" s="55"/>
      <c r="G41" s="55"/>
      <c r="H41" s="180"/>
      <c r="J41" s="5"/>
      <c r="K41" s="5"/>
      <c r="L41" s="5"/>
    </row>
    <row r="42" spans="1:16">
      <c r="A42" s="176"/>
      <c r="B42" s="171"/>
      <c r="C42" s="171"/>
      <c r="D42" s="171"/>
      <c r="E42" s="181"/>
      <c r="F42" s="55"/>
      <c r="G42" s="384" t="s">
        <v>65</v>
      </c>
      <c r="H42" s="384"/>
      <c r="J42" s="5"/>
      <c r="K42" s="5"/>
      <c r="L42" s="5"/>
    </row>
    <row r="43" spans="1:16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J43" s="5"/>
      <c r="K43" s="5"/>
      <c r="L43" s="5"/>
    </row>
    <row r="44" spans="1:16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0</v>
      </c>
      <c r="J44" s="5"/>
      <c r="K44" s="5"/>
      <c r="L44" s="5"/>
    </row>
    <row r="45" spans="1:16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J45" s="5"/>
      <c r="K45" s="5"/>
      <c r="L45" s="5"/>
    </row>
    <row r="46" spans="1:16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J46" s="5"/>
      <c r="K46" s="5"/>
      <c r="L46" s="5"/>
    </row>
    <row r="47" spans="1:16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J47" s="5"/>
      <c r="K47" s="5"/>
      <c r="L47" s="5"/>
    </row>
    <row r="48" spans="1:16">
      <c r="B48" s="171"/>
      <c r="C48" s="171"/>
      <c r="D48" s="171"/>
      <c r="E48" s="181"/>
      <c r="F48" s="55"/>
      <c r="G48" s="55"/>
      <c r="H48" s="5"/>
      <c r="J48" s="48"/>
      <c r="K48" s="5"/>
      <c r="L48" s="5"/>
    </row>
    <row r="49" spans="1:29">
      <c r="A49" s="176"/>
      <c r="B49" s="171"/>
      <c r="C49" s="171"/>
      <c r="D49" s="171"/>
      <c r="E49" s="181"/>
      <c r="F49" s="55"/>
      <c r="G49" s="55"/>
      <c r="H49" s="5"/>
      <c r="J49" s="5"/>
      <c r="K49" s="5"/>
      <c r="L49" s="5"/>
    </row>
    <row r="50" spans="1:29">
      <c r="A50" s="157"/>
      <c r="B50" s="183"/>
      <c r="C50" s="183"/>
      <c r="D50" s="158"/>
      <c r="E50" s="159"/>
      <c r="I50" s="5"/>
      <c r="J50" s="5"/>
      <c r="K50" s="5"/>
    </row>
    <row r="51" spans="1:29" ht="19.5" customHeight="1">
      <c r="A51" s="387" t="s">
        <v>94</v>
      </c>
      <c r="B51" s="388" t="s">
        <v>95</v>
      </c>
      <c r="C51" s="388"/>
      <c r="D51" s="158"/>
      <c r="E51" s="159"/>
      <c r="I51" s="5"/>
      <c r="J51" s="5"/>
      <c r="K51" s="5"/>
    </row>
    <row r="52" spans="1:29">
      <c r="A52" s="387"/>
      <c r="B52" s="389" t="str">
        <f>H30</f>
        <v>5000</v>
      </c>
      <c r="C52" s="389"/>
      <c r="D52" s="158"/>
      <c r="E52" s="159"/>
      <c r="I52" s="5"/>
      <c r="J52" s="5"/>
      <c r="K52" s="5"/>
    </row>
    <row r="53" spans="1:29">
      <c r="A53" s="185" t="str">
        <f>H29</f>
        <v>12</v>
      </c>
      <c r="B53" s="343">
        <f>H45</f>
        <v>501</v>
      </c>
      <c r="C53" s="343"/>
      <c r="D53" s="158"/>
      <c r="E53" s="159"/>
      <c r="I53" s="5"/>
      <c r="J53" s="5"/>
      <c r="K53" s="5"/>
    </row>
    <row r="54" spans="1:29">
      <c r="A54" s="3" t="s">
        <v>10</v>
      </c>
      <c r="I54" s="5"/>
      <c r="J54" s="5"/>
      <c r="K54" s="5"/>
    </row>
    <row r="55" spans="1:29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29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29">
      <c r="A57" s="22"/>
      <c r="B57" s="23"/>
      <c r="C57" s="23"/>
      <c r="D57" s="23"/>
      <c r="E57" s="63"/>
      <c r="F57" s="63"/>
      <c r="G57" s="63"/>
      <c r="H57" s="24"/>
    </row>
    <row r="58" spans="1:29">
      <c r="A58" s="27" t="s">
        <v>96</v>
      </c>
      <c r="B58" s="28">
        <v>1</v>
      </c>
      <c r="C58" s="186"/>
      <c r="D58" s="28"/>
      <c r="E58" s="21"/>
      <c r="F58" s="21"/>
      <c r="G58" s="21"/>
      <c r="H58" s="29"/>
    </row>
    <row r="59" spans="1:29">
      <c r="A59" s="27" t="s">
        <v>97</v>
      </c>
      <c r="B59" s="28">
        <f>B35-B58</f>
        <v>11</v>
      </c>
      <c r="C59" s="186"/>
      <c r="D59" s="28"/>
      <c r="E59" s="21"/>
      <c r="F59" s="21"/>
      <c r="G59" s="21"/>
      <c r="H59" s="29"/>
    </row>
    <row r="60" spans="1:29">
      <c r="A60" s="64" t="s">
        <v>98</v>
      </c>
      <c r="B60" s="65">
        <v>10</v>
      </c>
      <c r="C60" s="186"/>
      <c r="D60" s="28"/>
      <c r="E60" s="21"/>
      <c r="F60" s="21"/>
      <c r="G60" s="21"/>
      <c r="H60" s="29"/>
    </row>
    <row r="61" spans="1:29">
      <c r="A61" s="27" t="s">
        <v>27</v>
      </c>
      <c r="B61" s="28">
        <f>J18</f>
        <v>37404</v>
      </c>
      <c r="C61" s="186"/>
      <c r="D61" s="28"/>
      <c r="E61" s="21"/>
      <c r="F61" s="21"/>
      <c r="G61" s="21"/>
      <c r="H61" s="29"/>
    </row>
    <row r="62" spans="1:29">
      <c r="A62" s="66" t="s">
        <v>99</v>
      </c>
      <c r="B62" s="67">
        <v>1.0500000000000001E-2</v>
      </c>
      <c r="C62" s="186"/>
      <c r="D62" s="28"/>
      <c r="E62" s="21"/>
      <c r="F62" s="21"/>
      <c r="G62" s="21"/>
      <c r="H62" s="29"/>
      <c r="K62" s="10"/>
      <c r="T62" s="10"/>
      <c r="AC62" s="10"/>
    </row>
    <row r="63" spans="1:29">
      <c r="A63" s="68" t="s">
        <v>100</v>
      </c>
      <c r="B63" s="69">
        <v>6.5000000000000002E-2</v>
      </c>
      <c r="C63" s="186"/>
      <c r="D63" s="28"/>
      <c r="E63" s="21"/>
      <c r="F63" s="21"/>
      <c r="G63" s="21"/>
      <c r="H63" s="29"/>
      <c r="K63" s="10"/>
      <c r="T63" s="10"/>
      <c r="AC63" s="10"/>
    </row>
    <row r="64" spans="1:29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K64" s="10"/>
      <c r="T64" s="10"/>
      <c r="AC64" s="10"/>
    </row>
    <row r="65" spans="1:29">
      <c r="A65" s="49" t="s">
        <v>102</v>
      </c>
      <c r="B65" s="57">
        <f>(B89*B59)-B53</f>
        <v>16418.506037590156</v>
      </c>
      <c r="C65" s="28"/>
      <c r="D65" s="28"/>
      <c r="E65" s="21"/>
      <c r="F65" s="21"/>
      <c r="G65" s="21"/>
      <c r="H65" s="29"/>
    </row>
    <row r="66" spans="1:29">
      <c r="A66" s="66" t="s">
        <v>103</v>
      </c>
      <c r="B66" s="67">
        <v>0.02</v>
      </c>
      <c r="C66" s="28"/>
      <c r="D66" s="28"/>
      <c r="E66" s="21"/>
      <c r="F66" s="21"/>
      <c r="G66" s="21"/>
      <c r="H66" s="29"/>
      <c r="K66" s="10"/>
      <c r="T66" s="10"/>
      <c r="AC66" s="10"/>
    </row>
    <row r="67" spans="1:29">
      <c r="A67" s="27"/>
      <c r="B67" s="72">
        <f>B66</f>
        <v>0.02</v>
      </c>
      <c r="C67" s="28"/>
      <c r="D67" s="28"/>
      <c r="E67" s="21"/>
      <c r="F67" s="21"/>
      <c r="G67" s="21"/>
      <c r="H67" s="29"/>
      <c r="K67" s="10"/>
      <c r="T67" s="10"/>
      <c r="AC67" s="10"/>
    </row>
    <row r="68" spans="1:29">
      <c r="A68" s="49" t="s">
        <v>105</v>
      </c>
      <c r="B68" s="57">
        <f>(G158*B67)</f>
        <v>518.40008</v>
      </c>
      <c r="C68" s="28"/>
      <c r="D68" s="28"/>
      <c r="E68" s="21"/>
      <c r="F68" s="21"/>
      <c r="G68" s="21"/>
      <c r="H68" s="29"/>
    </row>
    <row r="69" spans="1:29">
      <c r="A69" s="66" t="s">
        <v>106</v>
      </c>
      <c r="B69" s="67">
        <v>0</v>
      </c>
      <c r="C69" s="187"/>
      <c r="D69" s="28"/>
      <c r="E69" s="21"/>
      <c r="F69" s="21"/>
      <c r="G69" s="21"/>
      <c r="H69" s="29"/>
      <c r="K69" s="10"/>
      <c r="T69" s="10"/>
      <c r="AC69" s="10"/>
    </row>
    <row r="70" spans="1:29">
      <c r="A70" s="68" t="s">
        <v>107</v>
      </c>
      <c r="B70" s="69">
        <v>0</v>
      </c>
      <c r="C70" s="187"/>
      <c r="D70" s="28"/>
      <c r="E70" s="21"/>
      <c r="F70" s="21"/>
      <c r="G70" s="21"/>
      <c r="H70" s="29"/>
      <c r="K70" s="10"/>
      <c r="T70" s="10"/>
      <c r="AC70" s="10"/>
    </row>
    <row r="71" spans="1:29">
      <c r="A71" s="49" t="s">
        <v>108</v>
      </c>
      <c r="B71" s="73">
        <f>B69*(1+B70)</f>
        <v>0</v>
      </c>
      <c r="C71" s="187"/>
      <c r="D71" s="28"/>
      <c r="E71" s="21"/>
      <c r="F71" s="21"/>
      <c r="G71" s="21"/>
      <c r="H71" s="29"/>
      <c r="K71" s="10"/>
      <c r="T71" s="10"/>
      <c r="AC71" s="10"/>
    </row>
    <row r="72" spans="1:29">
      <c r="A72" s="66" t="s">
        <v>109</v>
      </c>
      <c r="B72" s="74">
        <v>0</v>
      </c>
      <c r="C72" s="187"/>
      <c r="D72" s="28"/>
      <c r="E72" s="21"/>
      <c r="F72" s="21"/>
      <c r="G72" s="21"/>
      <c r="H72" s="29"/>
    </row>
    <row r="73" spans="1:29">
      <c r="A73" s="68" t="s">
        <v>110</v>
      </c>
      <c r="B73" s="65">
        <v>0</v>
      </c>
      <c r="C73" s="187"/>
      <c r="D73" s="28"/>
      <c r="E73" s="21"/>
      <c r="F73" s="21"/>
      <c r="G73" s="21"/>
      <c r="H73" s="29"/>
    </row>
    <row r="74" spans="1:29">
      <c r="A74" s="49" t="s">
        <v>111</v>
      </c>
      <c r="B74" s="57">
        <f>B73*B35</f>
        <v>0</v>
      </c>
      <c r="C74" s="187"/>
      <c r="D74" s="28">
        <f>B74+B72</f>
        <v>0</v>
      </c>
      <c r="E74" s="21"/>
      <c r="F74" s="21"/>
      <c r="G74" s="21"/>
      <c r="H74" s="29"/>
    </row>
    <row r="75" spans="1:29">
      <c r="A75" s="68" t="s">
        <v>112</v>
      </c>
      <c r="B75" s="65">
        <v>0</v>
      </c>
      <c r="C75" s="187"/>
      <c r="D75" s="28">
        <f>B75</f>
        <v>0</v>
      </c>
      <c r="E75" s="21"/>
      <c r="F75" s="21"/>
      <c r="G75" s="21"/>
      <c r="H75" s="29"/>
    </row>
    <row r="76" spans="1:29">
      <c r="A76" s="70" t="s">
        <v>113</v>
      </c>
      <c r="B76" s="75">
        <v>0</v>
      </c>
      <c r="C76" s="187"/>
      <c r="D76" s="28">
        <f>B76</f>
        <v>0</v>
      </c>
      <c r="E76" s="21"/>
      <c r="F76" s="28"/>
      <c r="G76" s="21"/>
      <c r="H76" s="29"/>
    </row>
    <row r="77" spans="1:29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</row>
    <row r="78" spans="1:29">
      <c r="A78" s="27" t="s">
        <v>115</v>
      </c>
      <c r="B78" s="29">
        <f>B77/B35</f>
        <v>0</v>
      </c>
      <c r="C78" s="28"/>
      <c r="D78" s="28"/>
      <c r="E78" s="21"/>
      <c r="F78" s="21"/>
      <c r="G78" s="21"/>
      <c r="H78" s="29"/>
    </row>
    <row r="79" spans="1:29">
      <c r="A79" s="78" t="s">
        <v>116</v>
      </c>
      <c r="B79" s="52">
        <f>H46</f>
        <v>501</v>
      </c>
      <c r="C79" s="28"/>
      <c r="D79" s="28"/>
      <c r="E79" s="21"/>
      <c r="F79" s="21"/>
      <c r="G79" s="21"/>
      <c r="H79" s="29"/>
    </row>
    <row r="80" spans="1:29">
      <c r="A80" s="27"/>
      <c r="B80" s="28"/>
      <c r="C80" s="28"/>
      <c r="D80" s="28"/>
      <c r="E80" s="21"/>
      <c r="F80" s="21"/>
      <c r="G80" s="21"/>
      <c r="H80" s="29"/>
    </row>
    <row r="81" spans="1:29">
      <c r="A81" s="22" t="s">
        <v>117</v>
      </c>
      <c r="B81" s="24">
        <f>K36</f>
        <v>21200</v>
      </c>
      <c r="C81" s="28"/>
      <c r="D81" s="28"/>
      <c r="E81" s="21"/>
      <c r="F81" s="22" t="s">
        <v>117</v>
      </c>
      <c r="G81" s="24">
        <f>B81</f>
        <v>21200</v>
      </c>
      <c r="H81" s="29"/>
    </row>
    <row r="82" spans="1:29">
      <c r="A82" s="27" t="s">
        <v>118</v>
      </c>
      <c r="B82" s="29">
        <f>IF(A111="YES",D41,0)</f>
        <v>6000</v>
      </c>
      <c r="C82" s="28"/>
      <c r="D82" s="28"/>
      <c r="E82" s="21"/>
      <c r="F82" s="27" t="s">
        <v>118</v>
      </c>
      <c r="G82" s="29">
        <f>IF(A111="YES",D41,0)</f>
        <v>6000</v>
      </c>
      <c r="H82" s="29"/>
    </row>
    <row r="83" spans="1:29">
      <c r="A83" s="27" t="s">
        <v>119</v>
      </c>
      <c r="B83" s="79">
        <f>B62+B63+B64</f>
        <v>0.1255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K83" s="10"/>
      <c r="T83" s="10"/>
      <c r="AC83" s="10"/>
    </row>
    <row r="84" spans="1:29">
      <c r="A84" s="27" t="s">
        <v>120</v>
      </c>
      <c r="B84" s="72">
        <f>B83/12</f>
        <v>1.0458333333333333E-2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K84" s="10"/>
      <c r="T84" s="10"/>
      <c r="AC84" s="10"/>
    </row>
    <row r="85" spans="1:29">
      <c r="A85" s="27" t="s">
        <v>121</v>
      </c>
      <c r="B85" s="29">
        <f>IF(B82=0,(B59+B58),(B59))</f>
        <v>11</v>
      </c>
      <c r="C85" s="28"/>
      <c r="D85" s="28"/>
      <c r="E85" s="21"/>
      <c r="F85" s="27" t="s">
        <v>121</v>
      </c>
      <c r="G85" s="29">
        <f>IF(G82=0,(B59+B58),(B59))</f>
        <v>11</v>
      </c>
      <c r="H85" s="29"/>
    </row>
    <row r="86" spans="1:29">
      <c r="A86" s="27" t="s">
        <v>122</v>
      </c>
      <c r="B86" s="29">
        <f>(B82/((1+B84)^(B85+1)))</f>
        <v>5295.7848332330141</v>
      </c>
      <c r="C86" s="28">
        <f>(B82/((1+B84)^(B85+1)))</f>
        <v>5295.7848332330141</v>
      </c>
      <c r="D86" s="28"/>
      <c r="E86" s="21"/>
      <c r="F86" s="27" t="s">
        <v>122</v>
      </c>
      <c r="G86" s="29">
        <f>(G82/((1+G84)^(G85+1)))</f>
        <v>5623.3910845341579</v>
      </c>
      <c r="H86" s="29"/>
    </row>
    <row r="87" spans="1:29">
      <c r="A87" s="27" t="s">
        <v>123</v>
      </c>
      <c r="B87" s="29">
        <f>((1-(1/((1+B84)^B85)))/B84)</f>
        <v>10.339921652899179</v>
      </c>
      <c r="C87" s="28">
        <f>((1-(1/((1+B84)^B85)))/B84)</f>
        <v>10.339921652899179</v>
      </c>
      <c r="D87" s="28"/>
      <c r="E87" s="21"/>
      <c r="F87" s="27" t="s">
        <v>123</v>
      </c>
      <c r="G87" s="29">
        <f>((1-(1/((1+G84)^G85)))/G84)</f>
        <v>10.65073478229589</v>
      </c>
      <c r="H87" s="29"/>
    </row>
    <row r="88" spans="1:29">
      <c r="A88" s="27" t="s">
        <v>124</v>
      </c>
      <c r="B88" s="29">
        <f>B81-B86</f>
        <v>15904.215166766986</v>
      </c>
      <c r="C88" s="28">
        <f>B81-B86</f>
        <v>15904.215166766986</v>
      </c>
      <c r="D88" s="28"/>
      <c r="E88" s="21"/>
      <c r="F88" s="27" t="s">
        <v>124</v>
      </c>
      <c r="G88" s="29">
        <f>G81-G86</f>
        <v>15576.608915465842</v>
      </c>
      <c r="H88" s="29"/>
    </row>
    <row r="89" spans="1:29">
      <c r="A89" s="27" t="s">
        <v>125</v>
      </c>
      <c r="B89" s="29">
        <f>(B88/B87)</f>
        <v>1538.136912508196</v>
      </c>
      <c r="C89" s="28">
        <f>(B88/B87)</f>
        <v>1538.136912508196</v>
      </c>
      <c r="D89" s="28"/>
      <c r="E89" s="21"/>
      <c r="F89" s="27" t="s">
        <v>125</v>
      </c>
      <c r="G89" s="29">
        <f>(G88/G87)</f>
        <v>1462.4914838136756</v>
      </c>
      <c r="H89" s="29"/>
    </row>
    <row r="90" spans="1:29">
      <c r="A90" s="27" t="s">
        <v>126</v>
      </c>
      <c r="B90" s="29">
        <f>((B89*(B85))+B77)</f>
        <v>16919.506037590156</v>
      </c>
      <c r="C90" s="28"/>
      <c r="D90" s="28"/>
      <c r="E90" s="21"/>
      <c r="F90" s="27" t="s">
        <v>126</v>
      </c>
      <c r="G90" s="29">
        <f>((G89*(G85))+G77)</f>
        <v>16087.406321950431</v>
      </c>
      <c r="H90" s="29"/>
    </row>
    <row r="91" spans="1:29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</row>
    <row r="92" spans="1:29">
      <c r="A92" s="49" t="s">
        <v>128</v>
      </c>
      <c r="B92" s="57">
        <f>(B90+B91)</f>
        <v>16919.506037590156</v>
      </c>
      <c r="C92" s="28"/>
      <c r="D92" s="28"/>
      <c r="E92" s="21"/>
      <c r="F92" s="49" t="s">
        <v>128</v>
      </c>
      <c r="G92" s="57">
        <f>(G90+G91)</f>
        <v>16087.406321950431</v>
      </c>
      <c r="H92" s="29"/>
    </row>
    <row r="93" spans="1:29">
      <c r="A93" s="27"/>
      <c r="B93" s="28"/>
      <c r="C93" s="28"/>
      <c r="D93" s="28"/>
      <c r="E93" s="21"/>
      <c r="F93" s="27"/>
      <c r="G93" s="28"/>
      <c r="H93" s="29"/>
    </row>
    <row r="94" spans="1:29">
      <c r="A94" s="76" t="s">
        <v>129</v>
      </c>
      <c r="B94" s="80" t="str">
        <f>IF(B38="YES",((H36/B85)*(1+A108)),"0")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</row>
    <row r="95" spans="1:29">
      <c r="A95" s="81" t="s">
        <v>130</v>
      </c>
      <c r="B95" s="82">
        <f>B92/(B85)</f>
        <v>1538.136912508196</v>
      </c>
      <c r="C95" s="28"/>
      <c r="D95" s="28"/>
      <c r="E95" s="21"/>
      <c r="F95" s="81" t="s">
        <v>130</v>
      </c>
      <c r="G95" s="82">
        <f>G92/(G85)</f>
        <v>1462.4914838136756</v>
      </c>
      <c r="H95" s="29"/>
    </row>
    <row r="96" spans="1:29">
      <c r="A96" s="83" t="s">
        <v>131</v>
      </c>
      <c r="B96" s="84">
        <f>B94+B95</f>
        <v>1538.136912508196</v>
      </c>
      <c r="C96" s="28"/>
      <c r="D96" s="28"/>
      <c r="E96" s="21"/>
      <c r="F96" s="83" t="s">
        <v>131</v>
      </c>
      <c r="G96" s="84">
        <f>G94+G95</f>
        <v>1462.4914838136756</v>
      </c>
      <c r="H96" s="29"/>
    </row>
    <row r="97" spans="1:42">
      <c r="A97" s="49"/>
      <c r="B97" s="50"/>
      <c r="C97" s="50"/>
      <c r="D97" s="50"/>
      <c r="E97" s="85"/>
      <c r="F97" s="85"/>
      <c r="G97" s="85"/>
      <c r="H97" s="57"/>
    </row>
    <row r="98" spans="1:42">
      <c r="A98" s="21"/>
      <c r="B98" s="21"/>
      <c r="C98" s="21"/>
      <c r="D98" s="21"/>
      <c r="E98" s="21"/>
      <c r="F98" s="21"/>
      <c r="G98" s="21"/>
      <c r="H98" s="21"/>
    </row>
    <row r="99" spans="1:42">
      <c r="A99" s="21"/>
      <c r="B99" s="21"/>
      <c r="C99" s="21"/>
      <c r="D99" s="21"/>
      <c r="E99" s="21"/>
      <c r="F99" s="21"/>
      <c r="G99" s="21"/>
      <c r="H99" s="21"/>
    </row>
    <row r="100" spans="1:42" ht="47.25" customHeight="1">
      <c r="A100" s="344" t="s">
        <v>132</v>
      </c>
      <c r="B100" s="344"/>
      <c r="C100" s="344"/>
      <c r="D100" s="344"/>
      <c r="E100" s="344"/>
      <c r="F100" s="344"/>
      <c r="G100" s="344"/>
      <c r="H100" s="344"/>
      <c r="J100" s="382"/>
      <c r="K100" s="382"/>
      <c r="L100" s="382"/>
      <c r="M100" s="382"/>
      <c r="N100" s="382"/>
      <c r="O100" s="382"/>
      <c r="P100" s="382"/>
      <c r="Q100" s="382"/>
      <c r="S100" s="382"/>
      <c r="T100" s="382"/>
      <c r="U100" s="382"/>
      <c r="V100" s="382"/>
      <c r="W100" s="382"/>
      <c r="X100" s="382"/>
      <c r="Y100" s="382"/>
      <c r="Z100" s="382"/>
      <c r="AB100" s="382"/>
      <c r="AC100" s="382"/>
      <c r="AD100" s="382"/>
      <c r="AE100" s="382"/>
      <c r="AF100" s="382"/>
      <c r="AG100" s="382"/>
      <c r="AH100" s="382"/>
      <c r="AI100" s="382"/>
    </row>
    <row r="101" spans="1:42">
      <c r="A101" s="22"/>
      <c r="B101" s="23"/>
      <c r="C101" s="23"/>
      <c r="D101" s="23"/>
      <c r="E101" s="63"/>
      <c r="F101" s="63"/>
      <c r="G101" s="63"/>
      <c r="H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82"/>
      <c r="K102" s="382"/>
      <c r="L102" s="382"/>
      <c r="M102" s="382"/>
      <c r="N102" s="382"/>
      <c r="O102" s="382"/>
      <c r="P102" s="382"/>
      <c r="Q102" s="382"/>
      <c r="S102" s="382"/>
      <c r="T102" s="382"/>
      <c r="U102" s="382"/>
      <c r="V102" s="382"/>
      <c r="W102" s="382"/>
      <c r="X102" s="382"/>
      <c r="Y102" s="382"/>
      <c r="Z102" s="382"/>
      <c r="AB102" s="382"/>
      <c r="AC102" s="382"/>
      <c r="AD102" s="382"/>
      <c r="AE102" s="382"/>
      <c r="AF102" s="382"/>
      <c r="AG102" s="382"/>
      <c r="AH102" s="382"/>
      <c r="AI102" s="382"/>
    </row>
    <row r="103" spans="1:42">
      <c r="A103" s="27"/>
      <c r="B103" s="28"/>
      <c r="C103" s="28"/>
      <c r="D103" s="28"/>
      <c r="E103" s="21"/>
      <c r="F103" s="21"/>
      <c r="G103" s="21"/>
      <c r="H103" s="88"/>
      <c r="Z103" s="55" t="s">
        <v>140</v>
      </c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Z104" s="55" t="s">
        <v>270</v>
      </c>
    </row>
    <row r="105" spans="1:42">
      <c r="A105" s="32" t="s">
        <v>139</v>
      </c>
      <c r="B105" s="345" t="s">
        <v>140</v>
      </c>
      <c r="C105" s="345"/>
      <c r="D105" s="345"/>
      <c r="E105" s="346" t="s">
        <v>386</v>
      </c>
      <c r="F105" s="346"/>
      <c r="G105" s="346"/>
      <c r="H105" s="88"/>
      <c r="K105" s="382"/>
      <c r="L105" s="382"/>
      <c r="M105" s="382"/>
      <c r="N105" s="382"/>
      <c r="O105" s="382"/>
      <c r="P105" s="382"/>
      <c r="T105" s="382"/>
      <c r="U105" s="382"/>
      <c r="V105" s="382"/>
      <c r="W105" s="382"/>
      <c r="X105" s="382"/>
      <c r="Y105" s="382"/>
      <c r="Z105" s="55" t="s">
        <v>271</v>
      </c>
      <c r="AC105" s="382"/>
      <c r="AD105" s="382"/>
      <c r="AE105" s="382"/>
      <c r="AF105" s="382"/>
      <c r="AG105" s="382"/>
      <c r="AH105" s="382"/>
    </row>
    <row r="106" spans="1:42">
      <c r="A106" s="27"/>
      <c r="B106" s="28"/>
      <c r="C106" s="28"/>
      <c r="D106" s="21"/>
      <c r="E106" s="28"/>
      <c r="F106" s="28"/>
      <c r="G106" s="21"/>
      <c r="H106" s="29"/>
      <c r="Z106" s="55" t="s">
        <v>272</v>
      </c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Z107" s="55" t="s">
        <v>273</v>
      </c>
    </row>
    <row r="108" spans="1:42">
      <c r="A108" s="188">
        <v>0.2</v>
      </c>
      <c r="B108" s="348" t="s">
        <v>400</v>
      </c>
      <c r="C108" s="348"/>
      <c r="D108" s="348">
        <v>0</v>
      </c>
      <c r="E108" s="349">
        <f>B83</f>
        <v>0.1255</v>
      </c>
      <c r="F108" s="349"/>
      <c r="G108" s="349"/>
      <c r="H108" s="42"/>
      <c r="J108" s="10"/>
      <c r="K108" s="382"/>
      <c r="L108" s="382"/>
      <c r="M108" s="382"/>
      <c r="N108" s="390"/>
      <c r="O108" s="390"/>
      <c r="P108" s="390"/>
      <c r="S108" s="10"/>
      <c r="T108" s="382"/>
      <c r="U108" s="382"/>
      <c r="V108" s="382"/>
      <c r="W108" s="390"/>
      <c r="X108" s="390"/>
      <c r="Y108" s="390"/>
      <c r="Z108" s="55" t="s">
        <v>274</v>
      </c>
      <c r="AB108" s="10"/>
      <c r="AC108" s="382"/>
      <c r="AD108" s="382"/>
      <c r="AE108" s="382"/>
      <c r="AF108" s="390"/>
      <c r="AG108" s="390"/>
      <c r="AH108" s="390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Z109" s="55" t="s">
        <v>275</v>
      </c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Z110" s="55" t="s">
        <v>276</v>
      </c>
    </row>
    <row r="111" spans="1:42">
      <c r="A111" s="36" t="s">
        <v>385</v>
      </c>
      <c r="B111" s="348">
        <v>0</v>
      </c>
      <c r="C111" s="348"/>
      <c r="D111" s="348"/>
      <c r="E111" s="348">
        <v>0</v>
      </c>
      <c r="F111" s="348"/>
      <c r="G111" s="348"/>
      <c r="H111" s="88"/>
      <c r="K111" s="382"/>
      <c r="L111" s="382"/>
      <c r="M111" s="382"/>
      <c r="N111" s="382"/>
      <c r="O111" s="382"/>
      <c r="P111" s="382"/>
      <c r="T111" s="382"/>
      <c r="U111" s="382"/>
      <c r="V111" s="382"/>
      <c r="W111" s="382"/>
      <c r="X111" s="382"/>
      <c r="Y111" s="382"/>
      <c r="Z111" s="55" t="s">
        <v>277</v>
      </c>
      <c r="AC111" s="382"/>
      <c r="AD111" s="382"/>
      <c r="AE111" s="382"/>
      <c r="AF111" s="382"/>
      <c r="AG111" s="382"/>
      <c r="AH111" s="382"/>
    </row>
    <row r="112" spans="1:42">
      <c r="A112" s="27"/>
      <c r="B112" s="28"/>
      <c r="C112" s="28"/>
      <c r="D112" s="28"/>
      <c r="E112" s="28"/>
      <c r="F112" s="28"/>
      <c r="G112" s="21"/>
      <c r="H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</row>
    <row r="114" spans="1:35">
      <c r="A114" s="94">
        <f>B111+E111</f>
        <v>0</v>
      </c>
      <c r="B114" s="348">
        <v>833.33333333333337</v>
      </c>
      <c r="C114" s="348"/>
      <c r="D114" s="348"/>
      <c r="E114" s="348">
        <v>0</v>
      </c>
      <c r="F114" s="348"/>
      <c r="G114" s="348"/>
      <c r="H114" s="88"/>
      <c r="K114" s="382"/>
      <c r="L114" s="382"/>
      <c r="M114" s="382"/>
      <c r="N114" s="382"/>
      <c r="O114" s="382"/>
      <c r="P114" s="382"/>
      <c r="T114" s="382"/>
      <c r="U114" s="382"/>
      <c r="V114" s="382"/>
      <c r="W114" s="382"/>
      <c r="X114" s="382"/>
      <c r="Y114" s="382"/>
      <c r="AC114" s="382"/>
      <c r="AD114" s="382"/>
      <c r="AE114" s="382"/>
      <c r="AF114" s="382"/>
      <c r="AG114" s="382"/>
      <c r="AH114" s="382"/>
    </row>
    <row r="115" spans="1:35">
      <c r="A115" s="95"/>
      <c r="B115" s="21"/>
      <c r="C115" s="21"/>
      <c r="D115" s="21"/>
      <c r="E115" s="21"/>
      <c r="F115" s="21"/>
      <c r="G115" s="21"/>
      <c r="H115" s="88"/>
    </row>
    <row r="116" spans="1:35">
      <c r="A116" s="95"/>
      <c r="B116" s="21"/>
      <c r="C116" s="21"/>
      <c r="D116" s="21"/>
      <c r="E116" s="21"/>
      <c r="F116" s="21"/>
      <c r="G116" s="21"/>
      <c r="H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82"/>
      <c r="K117" s="382"/>
      <c r="L117" s="382"/>
      <c r="M117" s="382"/>
      <c r="N117" s="382"/>
      <c r="O117" s="382"/>
      <c r="P117" s="382"/>
      <c r="Q117" s="382"/>
      <c r="S117" s="382"/>
      <c r="T117" s="382"/>
      <c r="U117" s="382"/>
      <c r="V117" s="382"/>
      <c r="W117" s="382"/>
      <c r="X117" s="382"/>
      <c r="Y117" s="382"/>
      <c r="Z117" s="382"/>
      <c r="AB117" s="382"/>
      <c r="AC117" s="382"/>
      <c r="AD117" s="382"/>
      <c r="AE117" s="382"/>
      <c r="AF117" s="382"/>
      <c r="AG117" s="382"/>
      <c r="AH117" s="382"/>
      <c r="AI117" s="382"/>
    </row>
    <row r="118" spans="1:35">
      <c r="A118" s="95"/>
      <c r="B118" s="21"/>
      <c r="C118" s="21"/>
      <c r="D118" s="21"/>
      <c r="E118" s="21"/>
      <c r="F118" s="21"/>
      <c r="G118" s="21"/>
      <c r="H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K119" s="382"/>
      <c r="L119" s="382"/>
      <c r="M119" s="382"/>
      <c r="N119" s="382"/>
      <c r="O119" s="382"/>
      <c r="P119" s="382"/>
      <c r="T119" s="382"/>
      <c r="U119" s="382"/>
      <c r="V119" s="382"/>
      <c r="W119" s="382"/>
      <c r="X119" s="382"/>
      <c r="Y119" s="382"/>
      <c r="AC119" s="382"/>
      <c r="AD119" s="382"/>
      <c r="AE119" s="382"/>
      <c r="AF119" s="382"/>
      <c r="AG119" s="382"/>
      <c r="AH119" s="382"/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</row>
    <row r="121" spans="1:35">
      <c r="A121" s="22" t="s">
        <v>160</v>
      </c>
      <c r="B121" s="22">
        <f>E19</f>
        <v>22200</v>
      </c>
      <c r="C121" s="36">
        <v>20416.669999999998</v>
      </c>
      <c r="D121" s="22">
        <f>D3</f>
        <v>0</v>
      </c>
      <c r="E121" s="36">
        <f>D121</f>
        <v>0</v>
      </c>
      <c r="F121" s="22">
        <v>0</v>
      </c>
      <c r="G121" s="36">
        <f>F121</f>
        <v>0</v>
      </c>
      <c r="H121" s="101">
        <f>H3</f>
        <v>0</v>
      </c>
    </row>
    <row r="122" spans="1:35">
      <c r="A122" s="27" t="s">
        <v>161</v>
      </c>
      <c r="B122" s="102">
        <v>0</v>
      </c>
      <c r="C122" s="103">
        <f>B122</f>
        <v>0</v>
      </c>
      <c r="D122" s="102">
        <v>0</v>
      </c>
      <c r="E122" s="103">
        <f>D122</f>
        <v>0</v>
      </c>
      <c r="F122" s="102">
        <v>0</v>
      </c>
      <c r="G122" s="104">
        <f>F122</f>
        <v>0</v>
      </c>
      <c r="H122" s="105"/>
      <c r="K122" s="10"/>
      <c r="L122" s="10"/>
      <c r="M122" s="10"/>
      <c r="N122" s="10"/>
      <c r="O122" s="10"/>
      <c r="P122" s="10"/>
      <c r="Q122" s="10"/>
      <c r="T122" s="10"/>
      <c r="U122" s="10"/>
      <c r="V122" s="10"/>
      <c r="W122" s="10"/>
      <c r="X122" s="10"/>
      <c r="Y122" s="10"/>
      <c r="Z122" s="10"/>
      <c r="AC122" s="10"/>
      <c r="AD122" s="10"/>
      <c r="AE122" s="10"/>
      <c r="AF122" s="10"/>
      <c r="AG122" s="10"/>
      <c r="AH122" s="10"/>
      <c r="AI122" s="10"/>
    </row>
    <row r="123" spans="1:35">
      <c r="A123" s="27" t="s">
        <v>162</v>
      </c>
      <c r="B123" s="27">
        <v>0</v>
      </c>
      <c r="C123" s="36">
        <f>B123</f>
        <v>0</v>
      </c>
      <c r="D123" s="27">
        <v>0</v>
      </c>
      <c r="E123" s="36">
        <f>D123</f>
        <v>0</v>
      </c>
      <c r="F123" s="27">
        <v>0</v>
      </c>
      <c r="G123" s="36">
        <f>F123</f>
        <v>0</v>
      </c>
      <c r="H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</row>
    <row r="125" spans="1:35">
      <c r="A125" s="49" t="s">
        <v>164</v>
      </c>
      <c r="B125" s="49">
        <f t="shared" ref="B125:G125" si="0">B121-B124</f>
        <v>22200</v>
      </c>
      <c r="C125" s="57">
        <f t="shared" si="0"/>
        <v>20416.669999999998</v>
      </c>
      <c r="D125" s="49">
        <f t="shared" si="0"/>
        <v>0</v>
      </c>
      <c r="E125" s="57">
        <f t="shared" si="0"/>
        <v>0</v>
      </c>
      <c r="F125" s="49">
        <f t="shared" si="0"/>
        <v>0</v>
      </c>
      <c r="G125" s="57">
        <f t="shared" si="0"/>
        <v>0</v>
      </c>
      <c r="H125" s="57"/>
    </row>
    <row r="126" spans="1:35">
      <c r="A126" s="27"/>
      <c r="B126" s="28"/>
      <c r="C126" s="28"/>
      <c r="D126" s="28"/>
      <c r="E126" s="28"/>
      <c r="F126" s="28"/>
      <c r="G126" s="28"/>
      <c r="H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</row>
    <row r="129" spans="1:34">
      <c r="A129" s="27"/>
      <c r="B129" s="28"/>
      <c r="C129" s="28"/>
      <c r="D129" s="28"/>
      <c r="E129" s="28"/>
      <c r="F129" s="28"/>
      <c r="G129" s="115"/>
      <c r="H129" s="116"/>
    </row>
    <row r="130" spans="1:34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K130" s="382"/>
      <c r="L130" s="382"/>
      <c r="M130" s="382"/>
      <c r="N130" s="382"/>
      <c r="O130" s="382"/>
      <c r="P130" s="382"/>
      <c r="T130" s="382"/>
      <c r="U130" s="382"/>
      <c r="V130" s="382"/>
      <c r="W130" s="382"/>
      <c r="X130" s="382"/>
      <c r="Y130" s="382"/>
      <c r="AC130" s="382"/>
      <c r="AD130" s="382"/>
      <c r="AE130" s="382"/>
      <c r="AF130" s="382"/>
      <c r="AG130" s="382"/>
      <c r="AH130" s="382"/>
    </row>
    <row r="131" spans="1:34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K131" s="382"/>
      <c r="L131" s="382"/>
      <c r="M131" s="390"/>
      <c r="N131" s="390"/>
      <c r="O131" s="382"/>
      <c r="P131" s="382"/>
      <c r="T131" s="382"/>
      <c r="U131" s="382"/>
      <c r="V131" s="390"/>
      <c r="W131" s="390"/>
      <c r="X131" s="382"/>
      <c r="Y131" s="382"/>
      <c r="AC131" s="382"/>
      <c r="AD131" s="382"/>
      <c r="AE131" s="390"/>
      <c r="AF131" s="390"/>
      <c r="AG131" s="382"/>
      <c r="AH131" s="382"/>
    </row>
    <row r="132" spans="1:34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K132" s="382"/>
      <c r="L132" s="382"/>
      <c r="M132" s="390"/>
      <c r="N132" s="390"/>
      <c r="O132" s="382"/>
      <c r="P132" s="382"/>
      <c r="T132" s="382"/>
      <c r="U132" s="382"/>
      <c r="V132" s="390"/>
      <c r="W132" s="390"/>
      <c r="X132" s="382"/>
      <c r="Y132" s="382"/>
      <c r="AC132" s="382"/>
      <c r="AD132" s="382"/>
      <c r="AE132" s="390"/>
      <c r="AF132" s="390"/>
      <c r="AG132" s="382"/>
      <c r="AH132" s="382"/>
    </row>
    <row r="133" spans="1:34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K133" s="382"/>
      <c r="L133" s="382"/>
      <c r="M133" s="390"/>
      <c r="N133" s="390"/>
      <c r="O133" s="382"/>
      <c r="P133" s="382"/>
      <c r="T133" s="382"/>
      <c r="U133" s="382"/>
      <c r="V133" s="390"/>
      <c r="W133" s="390"/>
      <c r="X133" s="382"/>
      <c r="Y133" s="382"/>
      <c r="AC133" s="382"/>
      <c r="AD133" s="382"/>
      <c r="AE133" s="390"/>
      <c r="AF133" s="390"/>
      <c r="AG133" s="382"/>
      <c r="AH133" s="382"/>
    </row>
    <row r="134" spans="1:34">
      <c r="A134" s="27"/>
      <c r="B134" s="28"/>
      <c r="C134" s="28"/>
      <c r="D134" s="28"/>
      <c r="E134" s="28"/>
      <c r="F134" s="28"/>
      <c r="G134" s="115"/>
      <c r="H134" s="116"/>
    </row>
    <row r="135" spans="1:34" ht="21">
      <c r="A135" s="356" t="s">
        <v>172</v>
      </c>
      <c r="B135" s="356"/>
      <c r="C135" s="356"/>
      <c r="D135" s="356"/>
      <c r="E135" s="356"/>
      <c r="F135" s="356"/>
      <c r="G135" s="109">
        <f>E21</f>
        <v>18500</v>
      </c>
      <c r="H135" s="120">
        <f>C125+E125+G125+H128</f>
        <v>20416.669999999998</v>
      </c>
      <c r="J135" s="382"/>
      <c r="K135" s="382"/>
      <c r="L135" s="382"/>
      <c r="M135" s="382"/>
      <c r="N135" s="382"/>
      <c r="O135" s="382"/>
      <c r="S135" s="382"/>
      <c r="T135" s="382"/>
      <c r="U135" s="382"/>
      <c r="V135" s="382"/>
      <c r="W135" s="382"/>
      <c r="X135" s="382"/>
      <c r="AB135" s="382"/>
      <c r="AC135" s="382"/>
      <c r="AD135" s="382"/>
      <c r="AE135" s="382"/>
      <c r="AF135" s="382"/>
      <c r="AG135" s="382"/>
    </row>
    <row r="136" spans="1:34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82"/>
      <c r="K136" s="382"/>
      <c r="L136" s="382"/>
      <c r="M136" s="382"/>
      <c r="N136" s="382"/>
      <c r="O136" s="382"/>
      <c r="S136" s="382"/>
      <c r="T136" s="382"/>
      <c r="U136" s="382"/>
      <c r="V136" s="382"/>
      <c r="W136" s="382"/>
      <c r="X136" s="382"/>
      <c r="AB136" s="382"/>
      <c r="AC136" s="382"/>
      <c r="AD136" s="382"/>
      <c r="AE136" s="382"/>
      <c r="AF136" s="382"/>
      <c r="AG136" s="382"/>
    </row>
    <row r="137" spans="1:34">
      <c r="A137" s="357" t="s">
        <v>174</v>
      </c>
      <c r="B137" s="357"/>
      <c r="C137" s="357"/>
      <c r="D137" s="357"/>
      <c r="E137" s="357"/>
      <c r="F137" s="357"/>
      <c r="G137" s="29">
        <f>(G135+G136)*20%</f>
        <v>3700</v>
      </c>
      <c r="H137" s="29">
        <f>(H135+H136)*20%</f>
        <v>4083.3339999999998</v>
      </c>
      <c r="J137" s="382"/>
      <c r="K137" s="382"/>
      <c r="L137" s="382"/>
      <c r="M137" s="382"/>
      <c r="N137" s="382"/>
      <c r="O137" s="382"/>
      <c r="S137" s="382"/>
      <c r="T137" s="382"/>
      <c r="U137" s="382"/>
      <c r="V137" s="382"/>
      <c r="W137" s="382"/>
      <c r="X137" s="382"/>
      <c r="AB137" s="382"/>
      <c r="AC137" s="382"/>
      <c r="AD137" s="382"/>
      <c r="AE137" s="382"/>
      <c r="AF137" s="382"/>
      <c r="AG137" s="382"/>
    </row>
    <row r="138" spans="1:34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82"/>
      <c r="K138" s="382"/>
      <c r="L138" s="382"/>
      <c r="M138" s="382"/>
      <c r="N138" s="382"/>
      <c r="O138" s="382"/>
      <c r="S138" s="382"/>
      <c r="T138" s="382"/>
      <c r="U138" s="382"/>
      <c r="V138" s="382"/>
      <c r="W138" s="382"/>
      <c r="X138" s="382"/>
      <c r="AB138" s="382"/>
      <c r="AC138" s="382"/>
      <c r="AD138" s="382"/>
      <c r="AE138" s="382"/>
      <c r="AF138" s="382"/>
      <c r="AG138" s="382"/>
    </row>
    <row r="139" spans="1:34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82"/>
      <c r="K139" s="382"/>
      <c r="L139" s="382"/>
      <c r="M139" s="382"/>
      <c r="N139" s="382"/>
      <c r="O139" s="382"/>
      <c r="S139" s="382"/>
      <c r="T139" s="382"/>
      <c r="U139" s="382"/>
      <c r="V139" s="382"/>
      <c r="W139" s="382"/>
      <c r="X139" s="382"/>
      <c r="AB139" s="382"/>
      <c r="AC139" s="382"/>
      <c r="AD139" s="382"/>
      <c r="AE139" s="382"/>
      <c r="AF139" s="382"/>
      <c r="AG139" s="382"/>
    </row>
    <row r="140" spans="1:34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82"/>
      <c r="K140" s="382"/>
      <c r="L140" s="382"/>
      <c r="M140" s="382"/>
      <c r="N140" s="382"/>
      <c r="O140" s="382"/>
      <c r="S140" s="382"/>
      <c r="T140" s="382"/>
      <c r="U140" s="382"/>
      <c r="V140" s="382"/>
      <c r="W140" s="382"/>
      <c r="X140" s="382"/>
      <c r="AB140" s="382"/>
      <c r="AC140" s="382"/>
      <c r="AD140" s="382"/>
      <c r="AE140" s="382"/>
      <c r="AF140" s="382"/>
      <c r="AG140" s="382"/>
    </row>
    <row r="141" spans="1:34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22200</v>
      </c>
      <c r="H141" s="122">
        <f>(H135+H136+H139+H140+H137)-H138</f>
        <v>24500.003999999997</v>
      </c>
      <c r="J141" s="382"/>
      <c r="K141" s="382"/>
      <c r="L141" s="382"/>
      <c r="M141" s="382"/>
      <c r="N141" s="382"/>
      <c r="O141" s="382"/>
      <c r="S141" s="382"/>
      <c r="T141" s="382"/>
      <c r="U141" s="382"/>
      <c r="V141" s="382"/>
      <c r="W141" s="382"/>
      <c r="X141" s="382"/>
      <c r="AB141" s="382"/>
      <c r="AC141" s="382"/>
      <c r="AD141" s="382"/>
      <c r="AE141" s="382"/>
      <c r="AF141" s="382"/>
      <c r="AG141" s="382"/>
    </row>
    <row r="142" spans="1:34">
      <c r="A142" s="357" t="s">
        <v>179</v>
      </c>
      <c r="B142" s="357"/>
      <c r="C142" s="357"/>
      <c r="D142" s="357"/>
      <c r="E142" s="357"/>
      <c r="F142" s="357"/>
      <c r="G142" s="36">
        <f>F142</f>
        <v>0</v>
      </c>
      <c r="H142" s="36">
        <f>G142</f>
        <v>0</v>
      </c>
      <c r="J142" s="382"/>
      <c r="K142" s="382"/>
      <c r="L142" s="382"/>
      <c r="M142" s="382"/>
      <c r="N142" s="382"/>
      <c r="O142" s="382"/>
      <c r="S142" s="382"/>
      <c r="T142" s="382"/>
      <c r="U142" s="382"/>
      <c r="V142" s="382"/>
      <c r="W142" s="382"/>
      <c r="X142" s="382"/>
      <c r="AB142" s="382"/>
      <c r="AC142" s="382"/>
      <c r="AD142" s="382"/>
      <c r="AE142" s="382"/>
      <c r="AF142" s="382"/>
      <c r="AG142" s="382"/>
    </row>
    <row r="143" spans="1:34">
      <c r="A143" s="358" t="s">
        <v>180</v>
      </c>
      <c r="B143" s="358"/>
      <c r="C143" s="358"/>
      <c r="D143" s="358"/>
      <c r="E143" s="358"/>
      <c r="F143" s="358"/>
      <c r="G143" s="29"/>
      <c r="H143" s="29"/>
      <c r="J143" s="382"/>
      <c r="K143" s="382"/>
      <c r="L143" s="382"/>
      <c r="M143" s="382"/>
      <c r="N143" s="382"/>
      <c r="O143" s="382"/>
      <c r="S143" s="382"/>
      <c r="T143" s="382"/>
      <c r="U143" s="382"/>
      <c r="V143" s="382"/>
      <c r="W143" s="382"/>
      <c r="X143" s="382"/>
      <c r="AB143" s="382"/>
      <c r="AC143" s="382"/>
      <c r="AD143" s="382"/>
      <c r="AE143" s="382"/>
      <c r="AF143" s="382"/>
      <c r="AG143" s="382"/>
    </row>
    <row r="144" spans="1:34">
      <c r="A144" s="124" t="s">
        <v>26</v>
      </c>
      <c r="B144" s="360">
        <v>0</v>
      </c>
      <c r="C144" s="360"/>
      <c r="D144" s="360"/>
      <c r="E144" s="360"/>
      <c r="F144" s="360"/>
      <c r="G144" s="36">
        <v>0</v>
      </c>
      <c r="H144" s="36">
        <v>0</v>
      </c>
      <c r="K144" s="382"/>
      <c r="L144" s="382"/>
      <c r="M144" s="382"/>
      <c r="N144" s="382"/>
      <c r="O144" s="382"/>
      <c r="T144" s="382"/>
      <c r="U144" s="382"/>
      <c r="V144" s="382"/>
      <c r="W144" s="382"/>
      <c r="X144" s="382"/>
      <c r="AC144" s="382"/>
      <c r="AD144" s="382"/>
      <c r="AE144" s="382"/>
      <c r="AF144" s="382"/>
      <c r="AG144" s="382"/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36">
        <v>0</v>
      </c>
      <c r="H145" s="36">
        <v>0</v>
      </c>
      <c r="I145" s="4">
        <f>(G142+G145+G146+G144)</f>
        <v>0</v>
      </c>
      <c r="K145" s="382"/>
      <c r="L145" s="382"/>
      <c r="M145" s="382"/>
      <c r="N145" s="382"/>
      <c r="O145" s="382"/>
      <c r="T145" s="382"/>
      <c r="U145" s="382"/>
      <c r="V145" s="382"/>
      <c r="W145" s="382"/>
      <c r="X145" s="382"/>
      <c r="AC145" s="382"/>
      <c r="AD145" s="382"/>
      <c r="AE145" s="382"/>
      <c r="AF145" s="382"/>
      <c r="AG145" s="382"/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36">
        <v>0</v>
      </c>
      <c r="H146" s="36">
        <v>0</v>
      </c>
      <c r="I146" s="4">
        <f>(H142+H144+H145+H146)</f>
        <v>0</v>
      </c>
      <c r="K146" s="382"/>
      <c r="L146" s="382"/>
      <c r="M146" s="382"/>
      <c r="N146" s="382"/>
      <c r="O146" s="382"/>
      <c r="T146" s="382"/>
      <c r="U146" s="382"/>
      <c r="V146" s="382"/>
      <c r="W146" s="382"/>
      <c r="X146" s="382"/>
      <c r="AC146" s="382"/>
      <c r="AD146" s="382"/>
      <c r="AE146" s="382"/>
      <c r="AF146" s="382"/>
      <c r="AG146" s="382"/>
    </row>
    <row r="147" spans="1:35" ht="21">
      <c r="A147" s="357" t="s">
        <v>182</v>
      </c>
      <c r="B147" s="357"/>
      <c r="C147" s="357"/>
      <c r="D147" s="357"/>
      <c r="E147" s="357"/>
      <c r="F147" s="357"/>
      <c r="G147" s="126">
        <f>G141-((G144*1.2)+(G145*1.2)+(G146*1.2)+(G142*1.2))</f>
        <v>22200</v>
      </c>
      <c r="H147" s="126">
        <f>H141-((H144*1.2)+(H145*1.2)+(H146*1.2)+(H142*1.2))</f>
        <v>24500.003999999997</v>
      </c>
      <c r="J147" s="382"/>
      <c r="K147" s="382"/>
      <c r="L147" s="382"/>
      <c r="M147" s="382"/>
      <c r="N147" s="382"/>
      <c r="O147" s="382"/>
      <c r="S147" s="382"/>
      <c r="T147" s="382"/>
      <c r="U147" s="382"/>
      <c r="V147" s="382"/>
      <c r="W147" s="382"/>
      <c r="X147" s="382"/>
      <c r="AB147" s="382"/>
      <c r="AC147" s="382"/>
      <c r="AD147" s="382"/>
      <c r="AE147" s="382"/>
      <c r="AF147" s="382"/>
      <c r="AG147" s="382"/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1916.6699999999973</v>
      </c>
      <c r="I148" s="4">
        <f>(H148-G81)/1.2</f>
        <v>-16069.441666666669</v>
      </c>
      <c r="J148" s="382"/>
      <c r="K148" s="382"/>
      <c r="L148" s="382"/>
      <c r="M148" s="382"/>
      <c r="N148" s="382"/>
      <c r="O148" s="382"/>
      <c r="S148" s="382"/>
      <c r="T148" s="382"/>
      <c r="U148" s="382"/>
      <c r="V148" s="382"/>
      <c r="W148" s="382"/>
      <c r="X148" s="382"/>
      <c r="AB148" s="382"/>
      <c r="AC148" s="382"/>
      <c r="AD148" s="382"/>
      <c r="AE148" s="382"/>
      <c r="AF148" s="382"/>
      <c r="AG148" s="382"/>
    </row>
    <row r="149" spans="1:35">
      <c r="A149" s="27"/>
      <c r="B149" s="28"/>
      <c r="C149" s="28"/>
      <c r="D149" s="28"/>
      <c r="E149" s="21"/>
      <c r="F149" s="21"/>
      <c r="G149" s="21"/>
      <c r="H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82"/>
      <c r="K150" s="382"/>
      <c r="L150" s="382"/>
      <c r="M150" s="382"/>
      <c r="N150" s="382"/>
      <c r="O150" s="382"/>
      <c r="P150" s="382"/>
      <c r="Q150" s="382"/>
      <c r="S150" s="382"/>
      <c r="T150" s="382"/>
      <c r="U150" s="382"/>
      <c r="V150" s="382"/>
      <c r="W150" s="382"/>
      <c r="X150" s="382"/>
      <c r="Y150" s="382"/>
      <c r="Z150" s="382"/>
      <c r="AB150" s="382"/>
      <c r="AC150" s="382"/>
      <c r="AD150" s="382"/>
      <c r="AE150" s="382"/>
      <c r="AF150" s="382"/>
      <c r="AG150" s="382"/>
      <c r="AH150" s="382"/>
      <c r="AI150" s="382"/>
    </row>
    <row r="151" spans="1:35">
      <c r="A151" s="27"/>
      <c r="B151" s="28"/>
      <c r="C151" s="28"/>
      <c r="D151" s="28"/>
      <c r="E151" s="21"/>
      <c r="F151" s="21"/>
      <c r="G151" s="21"/>
      <c r="H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N152" s="382"/>
      <c r="O152" s="382"/>
      <c r="P152" s="382"/>
      <c r="Q152" s="382"/>
      <c r="W152" s="382"/>
      <c r="X152" s="382"/>
      <c r="Y152" s="382"/>
      <c r="Z152" s="382"/>
      <c r="AF152" s="382"/>
      <c r="AG152" s="382"/>
      <c r="AH152" s="382"/>
      <c r="AI152" s="382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N153" s="382"/>
      <c r="O153" s="382"/>
      <c r="P153" s="382"/>
      <c r="Q153" s="382"/>
      <c r="W153" s="382"/>
      <c r="X153" s="382"/>
      <c r="Y153" s="382"/>
      <c r="Z153" s="382"/>
      <c r="AF153" s="382"/>
      <c r="AG153" s="382"/>
      <c r="AH153" s="382"/>
      <c r="AI153" s="382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N154" s="382"/>
      <c r="O154" s="382"/>
      <c r="P154" s="382"/>
      <c r="Q154" s="382"/>
      <c r="W154" s="382"/>
      <c r="X154" s="382"/>
      <c r="Y154" s="382"/>
      <c r="Z154" s="382"/>
      <c r="AF154" s="382"/>
      <c r="AG154" s="382"/>
      <c r="AH154" s="382"/>
      <c r="AI154" s="382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N155" s="382"/>
      <c r="O155" s="382"/>
      <c r="W155" s="382"/>
      <c r="X155" s="382"/>
      <c r="AF155" s="382"/>
      <c r="AG155" s="382"/>
    </row>
    <row r="156" spans="1:35">
      <c r="A156" s="22" t="s">
        <v>189</v>
      </c>
      <c r="B156" s="23"/>
      <c r="C156" s="23"/>
      <c r="D156" s="63"/>
      <c r="E156" s="23"/>
      <c r="F156" s="63"/>
      <c r="G156" s="128" t="s">
        <v>10</v>
      </c>
      <c r="H156" s="36">
        <v>1420</v>
      </c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0</v>
      </c>
      <c r="H157" s="365"/>
      <c r="P157" s="382"/>
      <c r="Q157" s="382"/>
      <c r="Y157" s="382"/>
      <c r="Z157" s="382"/>
      <c r="AH157" s="382"/>
      <c r="AI157" s="382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25920.003999999997</v>
      </c>
      <c r="H158" s="366"/>
      <c r="P158" s="382"/>
      <c r="Q158" s="382"/>
      <c r="Y158" s="382"/>
      <c r="Z158" s="382"/>
      <c r="AH158" s="382"/>
      <c r="AI158" s="382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833.33333333333337</v>
      </c>
      <c r="H159" s="367"/>
      <c r="P159" s="382"/>
      <c r="Q159" s="382"/>
      <c r="Y159" s="382"/>
      <c r="Z159" s="382"/>
      <c r="AH159" s="382"/>
      <c r="AI159" s="382"/>
    </row>
    <row r="160" spans="1:35">
      <c r="A160" s="27"/>
      <c r="B160" s="28"/>
      <c r="C160" s="28"/>
      <c r="D160" s="28"/>
      <c r="E160" s="21"/>
      <c r="F160" s="21"/>
      <c r="G160" s="21"/>
      <c r="H160" s="29"/>
    </row>
    <row r="161" spans="1:35">
      <c r="A161" s="27"/>
      <c r="B161" s="28"/>
      <c r="C161" s="28"/>
      <c r="D161" s="28"/>
      <c r="E161" s="21"/>
      <c r="F161" s="21"/>
      <c r="G161" s="21"/>
      <c r="H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82"/>
      <c r="K162" s="382"/>
      <c r="L162" s="382"/>
      <c r="M162" s="382"/>
      <c r="N162" s="382"/>
      <c r="O162" s="382"/>
      <c r="P162" s="382"/>
      <c r="Q162" s="382"/>
      <c r="S162" s="382"/>
      <c r="T162" s="382"/>
      <c r="U162" s="382"/>
      <c r="V162" s="382"/>
      <c r="W162" s="382"/>
      <c r="X162" s="382"/>
      <c r="Y162" s="382"/>
      <c r="Z162" s="382"/>
      <c r="AB162" s="382"/>
      <c r="AC162" s="382"/>
      <c r="AD162" s="382"/>
      <c r="AE162" s="382"/>
      <c r="AF162" s="382"/>
      <c r="AG162" s="382"/>
      <c r="AH162" s="382"/>
      <c r="AI162" s="382"/>
    </row>
    <row r="163" spans="1:35">
      <c r="A163" s="27"/>
      <c r="B163" s="28"/>
      <c r="C163" s="28"/>
      <c r="D163" s="28"/>
      <c r="E163" s="21"/>
      <c r="F163" s="21"/>
      <c r="G163" s="21"/>
      <c r="H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K164" s="382"/>
      <c r="L164" s="382"/>
      <c r="T164" s="382"/>
      <c r="U164" s="382"/>
      <c r="AC164" s="382"/>
      <c r="AD164" s="382"/>
    </row>
    <row r="165" spans="1:35">
      <c r="A165" s="27"/>
      <c r="B165" s="28"/>
      <c r="C165" s="28"/>
      <c r="D165" s="28"/>
      <c r="E165" s="21"/>
      <c r="F165" s="21"/>
      <c r="G165" s="21"/>
      <c r="H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</row>
    <row r="167" spans="1:35">
      <c r="A167" s="189">
        <f>B95</f>
        <v>1538.136912508196</v>
      </c>
      <c r="B167" s="133" t="str">
        <f>B94</f>
        <v>0</v>
      </c>
      <c r="C167" s="131"/>
      <c r="D167" s="131"/>
      <c r="E167" s="133">
        <f>B96</f>
        <v>1538.136912508196</v>
      </c>
      <c r="F167" s="21"/>
      <c r="G167" s="21">
        <f>ROUND(G95,2)</f>
        <v>1462.49</v>
      </c>
      <c r="H167" s="29"/>
    </row>
    <row r="168" spans="1:35">
      <c r="A168" s="27"/>
      <c r="B168" s="28"/>
      <c r="C168" s="28"/>
      <c r="D168" s="28"/>
      <c r="E168" s="21"/>
      <c r="F168" s="21"/>
      <c r="G168" s="21"/>
      <c r="H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</row>
    <row r="170" spans="1:35">
      <c r="A170" s="134" t="str">
        <f>H29</f>
        <v>12</v>
      </c>
      <c r="B170" s="170" t="str">
        <f>H30</f>
        <v>5000</v>
      </c>
      <c r="C170" s="136"/>
      <c r="D170" s="21"/>
      <c r="E170" s="137">
        <v>6000</v>
      </c>
      <c r="F170" s="21"/>
      <c r="G170" s="21"/>
      <c r="H170" s="29"/>
    </row>
    <row r="171" spans="1:35">
      <c r="A171" s="27"/>
      <c r="B171" s="28"/>
      <c r="C171" s="28"/>
      <c r="D171" s="21"/>
      <c r="E171" s="28"/>
      <c r="F171" s="21"/>
      <c r="G171" s="21"/>
      <c r="H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</row>
    <row r="173" spans="1:35">
      <c r="A173" s="138">
        <f>H141-H137-H139-H140</f>
        <v>20416.669999999998</v>
      </c>
      <c r="B173" s="34">
        <f>H137</f>
        <v>4083.3339999999998</v>
      </c>
      <c r="C173" s="38"/>
      <c r="D173" s="21"/>
      <c r="E173" s="137">
        <f>H139+H140</f>
        <v>0</v>
      </c>
      <c r="F173" s="21"/>
      <c r="G173" s="21"/>
      <c r="H173" s="29"/>
    </row>
    <row r="174" spans="1:35">
      <c r="A174" s="27"/>
      <c r="B174" s="28"/>
      <c r="C174" s="28"/>
      <c r="D174" s="21"/>
      <c r="E174" s="28"/>
      <c r="F174" s="21"/>
      <c r="G174" s="21"/>
      <c r="H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</row>
    <row r="176" spans="1:35">
      <c r="A176" s="138">
        <f>H147</f>
        <v>24500.003999999997</v>
      </c>
      <c r="B176" s="34">
        <f>B111</f>
        <v>0</v>
      </c>
      <c r="C176" s="34"/>
      <c r="D176" s="21"/>
      <c r="E176" s="34">
        <f>E111</f>
        <v>0</v>
      </c>
      <c r="F176" s="21"/>
      <c r="G176" s="21"/>
      <c r="H176" s="90"/>
    </row>
    <row r="177" spans="1:8">
      <c r="A177" s="27"/>
      <c r="B177" s="28"/>
      <c r="C177" s="28"/>
      <c r="D177" s="21"/>
      <c r="E177" s="28"/>
      <c r="F177" s="21"/>
      <c r="G177" s="21"/>
      <c r="H177" s="29"/>
    </row>
    <row r="178" spans="1:8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</row>
    <row r="179" spans="1:8">
      <c r="A179" s="94">
        <f>B176+E176</f>
        <v>0</v>
      </c>
      <c r="B179" s="34">
        <f>G154</f>
        <v>0</v>
      </c>
      <c r="C179" s="34"/>
      <c r="D179" s="21"/>
      <c r="E179" s="34">
        <f>G158</f>
        <v>25920.003999999997</v>
      </c>
      <c r="F179" s="21"/>
      <c r="G179" s="21"/>
      <c r="H179" s="90"/>
    </row>
    <row r="180" spans="1:8">
      <c r="A180" s="27"/>
      <c r="B180" s="28"/>
      <c r="C180" s="28"/>
      <c r="D180" s="21"/>
      <c r="E180" s="28"/>
      <c r="F180" s="21"/>
      <c r="G180" s="21"/>
      <c r="H180" s="29"/>
    </row>
    <row r="181" spans="1:8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</row>
    <row r="182" spans="1:8">
      <c r="A182" s="94">
        <f>(A167*B59)+E185-E179-A185</f>
        <v>-3000.4979624098414</v>
      </c>
      <c r="B182" s="34">
        <f>B114</f>
        <v>833.33333333333337</v>
      </c>
      <c r="C182" s="34"/>
      <c r="D182" s="21"/>
      <c r="E182" s="34">
        <f>E179+A182+(B182*1.2)+A185</f>
        <v>23929.506037590156</v>
      </c>
      <c r="F182" s="21"/>
      <c r="G182" s="21"/>
      <c r="H182" s="90"/>
    </row>
    <row r="183" spans="1:8">
      <c r="A183" s="27"/>
      <c r="B183" s="28"/>
      <c r="C183" s="28"/>
      <c r="D183" s="21"/>
      <c r="E183" s="28"/>
      <c r="F183" s="21"/>
      <c r="G183" s="21"/>
      <c r="H183" s="29"/>
    </row>
    <row r="184" spans="1:8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</row>
    <row r="185" spans="1:8">
      <c r="A185" s="94">
        <f>B60</f>
        <v>10</v>
      </c>
      <c r="B185" s="34">
        <f>A179+(B182*1.2)</f>
        <v>1000</v>
      </c>
      <c r="C185" s="34"/>
      <c r="D185" s="21"/>
      <c r="E185" s="34">
        <f>IF( E170=0, A185+E167, E170+A185)</f>
        <v>6010</v>
      </c>
      <c r="F185" s="21"/>
      <c r="G185" s="21"/>
      <c r="H185" s="90"/>
    </row>
    <row r="186" spans="1:8">
      <c r="A186" s="27"/>
      <c r="B186" s="28"/>
      <c r="C186" s="28"/>
      <c r="D186" s="28"/>
      <c r="E186" s="21"/>
      <c r="F186" s="21"/>
      <c r="G186" s="21"/>
      <c r="H186" s="29"/>
    </row>
    <row r="187" spans="1:8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</row>
    <row r="188" spans="1:8">
      <c r="A188" s="94">
        <f>J18*0.000002*100</f>
        <v>7.4808000000000003</v>
      </c>
      <c r="B188" s="34">
        <f>(G158*B67)</f>
        <v>518.40008</v>
      </c>
      <c r="C188" s="28"/>
      <c r="D188" s="28"/>
      <c r="E188" s="34">
        <f>IF(E105="YES",(H36*A108)*0.1,0)</f>
        <v>0</v>
      </c>
      <c r="F188" s="21"/>
      <c r="G188" s="21"/>
      <c r="H188" s="29"/>
    </row>
    <row r="189" spans="1:8">
      <c r="A189" s="94"/>
      <c r="B189" s="34"/>
      <c r="C189" s="28"/>
      <c r="D189" s="28"/>
      <c r="E189" s="21"/>
      <c r="F189" s="21"/>
      <c r="G189" s="21"/>
      <c r="H189" s="29"/>
    </row>
    <row r="190" spans="1:8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</row>
    <row r="191" spans="1:8">
      <c r="A191" s="94">
        <v>10</v>
      </c>
      <c r="B191" s="34">
        <f>B188+E188+A191</f>
        <v>528.40008</v>
      </c>
      <c r="C191" s="28"/>
      <c r="D191" s="28"/>
      <c r="E191" s="34">
        <f>H148</f>
        <v>1916.6699999999973</v>
      </c>
      <c r="F191" s="21"/>
      <c r="G191" s="21"/>
      <c r="H191" s="29"/>
    </row>
    <row r="192" spans="1:8">
      <c r="A192" s="27"/>
      <c r="B192" s="28"/>
      <c r="C192" s="28"/>
      <c r="D192" s="28"/>
      <c r="E192" s="21"/>
      <c r="F192" s="21"/>
      <c r="G192" s="21"/>
      <c r="H192" s="29"/>
    </row>
    <row r="193" spans="1:31">
      <c r="A193" s="58" t="s">
        <v>214</v>
      </c>
      <c r="B193" s="28"/>
      <c r="C193" s="28"/>
      <c r="D193" s="59"/>
      <c r="E193" s="59"/>
      <c r="F193" s="59"/>
      <c r="G193" s="59"/>
      <c r="H193" s="60"/>
    </row>
    <row r="194" spans="1:31">
      <c r="A194" s="27"/>
      <c r="B194" s="61"/>
      <c r="C194" s="61"/>
      <c r="D194" s="28"/>
      <c r="E194" s="21"/>
      <c r="F194" s="21"/>
      <c r="G194" s="21"/>
      <c r="H194" s="29"/>
    </row>
    <row r="195" spans="1:31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82"/>
      <c r="K195" s="382"/>
      <c r="L195" s="382"/>
      <c r="M195" s="382"/>
      <c r="S195" s="382"/>
      <c r="T195" s="382"/>
      <c r="U195" s="382"/>
      <c r="V195" s="382"/>
      <c r="AB195" s="382"/>
      <c r="AC195" s="382"/>
      <c r="AD195" s="382"/>
      <c r="AE195" s="382"/>
    </row>
    <row r="196" spans="1:31" ht="19.5" customHeight="1">
      <c r="A196" s="369"/>
      <c r="B196" s="342" t="str">
        <f>H30</f>
        <v>5000</v>
      </c>
      <c r="C196" s="342"/>
      <c r="D196" s="342"/>
      <c r="E196" s="21"/>
      <c r="F196" s="21"/>
      <c r="G196" s="21"/>
      <c r="H196" s="29"/>
      <c r="J196" s="382"/>
      <c r="K196" s="382"/>
      <c r="L196" s="382"/>
      <c r="M196" s="382"/>
      <c r="S196" s="382"/>
      <c r="T196" s="382"/>
      <c r="U196" s="382"/>
      <c r="V196" s="382"/>
      <c r="AB196" s="382"/>
      <c r="AC196" s="382"/>
      <c r="AD196" s="382"/>
      <c r="AE196" s="382"/>
    </row>
    <row r="197" spans="1:31">
      <c r="A197" s="62" t="str">
        <f>H29</f>
        <v>12</v>
      </c>
      <c r="B197" s="343">
        <f>B96</f>
        <v>1538.136912508196</v>
      </c>
      <c r="C197" s="343"/>
      <c r="D197" s="343"/>
      <c r="E197" s="21"/>
      <c r="F197" s="21"/>
      <c r="G197" s="21"/>
      <c r="H197" s="29"/>
      <c r="K197" s="382"/>
      <c r="L197" s="382"/>
      <c r="M197" s="382"/>
      <c r="T197" s="382"/>
      <c r="U197" s="382"/>
      <c r="V197" s="382"/>
      <c r="AC197" s="382"/>
      <c r="AD197" s="382"/>
      <c r="AE197" s="382"/>
    </row>
    <row r="198" spans="1:31">
      <c r="A198" s="27"/>
      <c r="B198" s="28"/>
      <c r="C198" s="28"/>
      <c r="D198" s="28"/>
      <c r="E198" s="21"/>
      <c r="F198" s="21"/>
      <c r="G198" s="21"/>
      <c r="H198" s="29"/>
    </row>
    <row r="199" spans="1:31">
      <c r="A199" s="27"/>
      <c r="B199" s="28"/>
      <c r="C199" s="28"/>
      <c r="D199" s="28"/>
      <c r="E199" s="21"/>
      <c r="F199" s="21"/>
      <c r="G199" s="21"/>
      <c r="H199" s="29"/>
    </row>
    <row r="200" spans="1:31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</row>
    <row r="201" spans="1:31">
      <c r="A201" s="32">
        <f>IF(A40=0,((G167*(B59+1))-E179),((G167*B59)+E185-E179-A185))</f>
        <v>-3832.6139999999978</v>
      </c>
      <c r="B201" s="38">
        <f>E179+A201+(B182*1.2)+A185</f>
        <v>23097.39</v>
      </c>
      <c r="C201" s="28"/>
      <c r="D201" s="28"/>
      <c r="E201" s="21"/>
      <c r="F201" s="21"/>
      <c r="G201" s="21"/>
      <c r="H201" s="29"/>
    </row>
    <row r="202" spans="1:31">
      <c r="A202" s="49"/>
      <c r="B202" s="50"/>
      <c r="C202" s="50"/>
      <c r="D202" s="50"/>
      <c r="E202" s="50"/>
      <c r="F202" s="50"/>
      <c r="G202" s="50"/>
      <c r="H202" s="57"/>
    </row>
    <row r="206" spans="1:31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1">
      <c r="A207" s="27"/>
      <c r="B207" s="28"/>
      <c r="C207" s="28"/>
      <c r="D207" s="28"/>
      <c r="E207" s="21"/>
      <c r="F207" s="21"/>
      <c r="G207" s="21"/>
      <c r="H207" s="29"/>
    </row>
    <row r="208" spans="1:31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30" t="s">
        <v>279</v>
      </c>
      <c r="B209" s="131" t="str">
        <f>A197</f>
        <v>12</v>
      </c>
      <c r="C209" s="131"/>
      <c r="D209" s="131"/>
      <c r="E209" s="131" t="str">
        <f>B196</f>
        <v>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1538.136912508196</v>
      </c>
      <c r="B212" s="133" t="str">
        <f>B167</f>
        <v>0</v>
      </c>
      <c r="C212" s="131"/>
      <c r="D212" s="131"/>
      <c r="E212" s="133">
        <f>E167</f>
        <v>1538.136912508196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20416.669999999998</v>
      </c>
      <c r="B215" s="34">
        <f>B173</f>
        <v>4083.3339999999998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24500.003999999997</v>
      </c>
      <c r="B218" s="34">
        <f>B176</f>
        <v>0</v>
      </c>
      <c r="C218" s="34"/>
      <c r="D218" s="21"/>
      <c r="E218" s="34">
        <f>E176</f>
        <v>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0</v>
      </c>
      <c r="B221" s="34">
        <f>B179</f>
        <v>0</v>
      </c>
      <c r="C221" s="34"/>
      <c r="D221" s="21"/>
      <c r="E221" s="34">
        <f>E179</f>
        <v>25920.003999999997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-3000.4979624098414</v>
      </c>
      <c r="B224" s="34">
        <f>B182</f>
        <v>833.33333333333337</v>
      </c>
      <c r="C224" s="34"/>
      <c r="D224" s="21"/>
      <c r="E224" s="34">
        <f>E182</f>
        <v>23929.506037590156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1000</v>
      </c>
      <c r="C227" s="34"/>
      <c r="D227" s="21"/>
      <c r="E227" s="34">
        <f>B59</f>
        <v>11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1538.136912508196</v>
      </c>
      <c r="B230" s="34" t="str">
        <f>B167</f>
        <v>0</v>
      </c>
      <c r="C230" s="38"/>
      <c r="D230" s="38"/>
      <c r="E230" s="34">
        <f>E167</f>
        <v>1538.136912508196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198</v>
      </c>
      <c r="B232" s="28" t="s">
        <v>220</v>
      </c>
      <c r="C232" s="28"/>
      <c r="D232" s="28"/>
      <c r="E232" s="28" t="s">
        <v>221</v>
      </c>
      <c r="F232" s="21"/>
      <c r="G232" s="21"/>
      <c r="H232" s="29"/>
    </row>
    <row r="233" spans="1:8">
      <c r="A233" s="94">
        <f>E170</f>
        <v>6000</v>
      </c>
      <c r="B233" s="34">
        <f>E185</f>
        <v>6010</v>
      </c>
      <c r="C233" s="28"/>
      <c r="D233" s="28"/>
      <c r="E233" s="34">
        <f>A188</f>
        <v>7.4808000000000003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142</v>
      </c>
      <c r="B235" s="34"/>
      <c r="C235" s="28"/>
      <c r="D235" s="28"/>
      <c r="E235" s="34"/>
      <c r="F235" s="21"/>
      <c r="G235" s="21"/>
      <c r="H235" s="29"/>
    </row>
    <row r="236" spans="1:8">
      <c r="A236" s="94"/>
      <c r="B236" s="34"/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1916.6699999999973</v>
      </c>
      <c r="B240" s="34">
        <f>B188</f>
        <v>518.40008</v>
      </c>
      <c r="C240" s="28"/>
      <c r="D240" s="28"/>
      <c r="E240" s="34">
        <f>IF(E105="YES",(H36*A108)*0.1,0)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1025.0700799999972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B63</f>
        <v>6.5000000000000002E-2</v>
      </c>
      <c r="C253" s="144"/>
      <c r="D253" s="374" t="s">
        <v>226</v>
      </c>
      <c r="E253" s="374"/>
      <c r="F253" s="143">
        <f>B83</f>
        <v>0.1255</v>
      </c>
      <c r="G253" s="21"/>
      <c r="H253" s="29"/>
    </row>
    <row r="254" spans="1:8">
      <c r="A254" s="139" t="s">
        <v>227</v>
      </c>
      <c r="B254" s="146">
        <f>(E182-B182)-(B201-B182-A185)</f>
        <v>842.11603759015634</v>
      </c>
      <c r="C254" s="144"/>
      <c r="D254" s="374" t="s">
        <v>228</v>
      </c>
      <c r="E254" s="374"/>
      <c r="F254" s="146">
        <f>F261+F267+F269+B270+B271</f>
        <v>518.40008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333.71595759015634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0.1255</v>
      </c>
      <c r="C260" s="38"/>
      <c r="D260" s="363" t="s">
        <v>227</v>
      </c>
      <c r="E260" s="363"/>
      <c r="F260" s="115">
        <f>B254</f>
        <v>842.11603759015634</v>
      </c>
      <c r="G260" s="21"/>
      <c r="H260" s="29"/>
    </row>
    <row r="261" spans="1:8">
      <c r="A261" s="27" t="s">
        <v>233</v>
      </c>
      <c r="B261" s="155">
        <f>B67</f>
        <v>0.02</v>
      </c>
      <c r="C261" s="28"/>
      <c r="D261" s="363" t="s">
        <v>233</v>
      </c>
      <c r="E261" s="363"/>
      <c r="F261" s="119">
        <f>B68</f>
        <v>518.40008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333.71595759015634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71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A100:H100"/>
    <mergeCell ref="J100:Q100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G42:H42"/>
    <mergeCell ref="B44:C44"/>
    <mergeCell ref="D44:E44"/>
    <mergeCell ref="B47:C47"/>
    <mergeCell ref="D47:E47"/>
    <mergeCell ref="A51:A52"/>
    <mergeCell ref="B51:C51"/>
    <mergeCell ref="B52:C52"/>
    <mergeCell ref="B53:C53"/>
    <mergeCell ref="B30:C30"/>
    <mergeCell ref="B32:C32"/>
    <mergeCell ref="D32:E32"/>
    <mergeCell ref="B35:C35"/>
    <mergeCell ref="D35:E35"/>
    <mergeCell ref="B38:C38"/>
    <mergeCell ref="D38:E38"/>
    <mergeCell ref="J38:K38"/>
    <mergeCell ref="B41:C41"/>
    <mergeCell ref="D41:E41"/>
    <mergeCell ref="A1:F1"/>
    <mergeCell ref="D7:E18"/>
    <mergeCell ref="A16:C18"/>
    <mergeCell ref="A19:D19"/>
    <mergeCell ref="A21:D21"/>
    <mergeCell ref="A24:E24"/>
    <mergeCell ref="A26:E26"/>
    <mergeCell ref="B29:C29"/>
    <mergeCell ref="D29:E29"/>
  </mergeCells>
  <dataValidations count="4">
    <dataValidation type="list" allowBlank="1" showErrorMessage="1" sqref="B38" xr:uid="{00000000-0002-0000-1E00-000001000000}">
      <formula1>$Z$19:$Z$20</formula1>
      <formula2>0</formula2>
    </dataValidation>
    <dataValidation type="list" allowBlank="1" showInputMessage="1" showErrorMessage="1" sqref="B105 C108:D108 A144:A146" xr:uid="{00000000-0002-0000-1E00-000002000000}">
      <formula1>#REF!</formula1>
      <formula2>0</formula2>
    </dataValidation>
    <dataValidation type="list" allowBlank="1" showInputMessage="1" showErrorMessage="1" sqref="E105 A111" xr:uid="{00000000-0002-0000-1E00-000003000000}">
      <formula1>"YES,NO"</formula1>
      <formula2>0</formula2>
    </dataValidation>
    <dataValidation type="list" allowBlank="1" showInputMessage="1" showErrorMessage="1" sqref="B108" xr:uid="{00000000-0002-0000-1E00-000004000000}">
      <formula1>"A1 Credit,Limited Credit"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1E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Z1000"/>
  <sheetViews>
    <sheetView topLeftCell="A73" zoomScale="110" zoomScaleNormal="110" workbookViewId="0">
      <selection activeCell="B73" sqref="B73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18500</v>
      </c>
      <c r="C9" s="11">
        <f>B9*0.2</f>
        <v>3700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37404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25" t="s">
        <v>36</v>
      </c>
      <c r="H26" s="26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30" t="s">
        <v>38</v>
      </c>
      <c r="H27" s="31">
        <v>1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30" t="s">
        <v>40</v>
      </c>
      <c r="H28" s="3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98">
        <f ca="1">TODAY()+1</f>
        <v>45777</v>
      </c>
      <c r="E29" s="398"/>
      <c r="F29" s="55"/>
      <c r="G29" s="25" t="s">
        <v>41</v>
      </c>
      <c r="H29" s="33">
        <f>A32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25" t="s">
        <v>45</v>
      </c>
      <c r="H30" s="33">
        <f>B32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52</v>
      </c>
      <c r="B31" s="163" t="s">
        <v>53</v>
      </c>
      <c r="C31" s="158"/>
      <c r="D31" s="163" t="s">
        <v>54</v>
      </c>
      <c r="E31" s="159"/>
      <c r="F31" s="55"/>
      <c r="G31" s="25" t="s">
        <v>48</v>
      </c>
      <c r="H31" s="37" t="str">
        <f>A41</f>
        <v>6000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89">
        <v>12</v>
      </c>
      <c r="B32" s="378">
        <v>5000</v>
      </c>
      <c r="C32" s="378"/>
      <c r="D32" s="346">
        <f>(A32/12)*B32</f>
        <v>5000</v>
      </c>
      <c r="E32" s="346"/>
      <c r="F32" s="55"/>
      <c r="G32" s="25" t="s">
        <v>49</v>
      </c>
      <c r="H32" s="37">
        <f>A44*A32</f>
        <v>600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30"/>
      <c r="H33" s="43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55</v>
      </c>
      <c r="B34" s="172" t="s">
        <v>61</v>
      </c>
      <c r="C34" s="171" t="s">
        <v>56</v>
      </c>
      <c r="D34" s="173" t="s">
        <v>62</v>
      </c>
      <c r="E34" s="159"/>
      <c r="F34" s="55"/>
      <c r="G34" s="5"/>
      <c r="H34" s="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93">
        <f>E19</f>
        <v>22200</v>
      </c>
      <c r="B35" s="378" t="s">
        <v>398</v>
      </c>
      <c r="C35" s="378"/>
      <c r="D35" s="394">
        <f>A35-B35</f>
        <v>21200</v>
      </c>
      <c r="E35" s="394"/>
      <c r="F35" s="55"/>
      <c r="G35" s="45" t="s">
        <v>59</v>
      </c>
      <c r="H35" s="275">
        <v>6.5000000000000002E-2</v>
      </c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" t="s">
        <v>63</v>
      </c>
      <c r="H36" s="5">
        <f>B38</f>
        <v>11</v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66</v>
      </c>
      <c r="B37" s="163" t="s">
        <v>67</v>
      </c>
      <c r="C37" s="158" t="s">
        <v>58</v>
      </c>
      <c r="D37" s="163" t="s">
        <v>68</v>
      </c>
      <c r="E37" s="159"/>
      <c r="F37" s="55"/>
      <c r="G37" s="5"/>
      <c r="H37" s="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65" t="s">
        <v>393</v>
      </c>
      <c r="B38" s="383">
        <f>A32-1</f>
        <v>11</v>
      </c>
      <c r="C38" s="383"/>
      <c r="D38" s="346" t="s">
        <v>390</v>
      </c>
      <c r="E38" s="346"/>
      <c r="F38" s="55"/>
      <c r="G38" s="337" t="s">
        <v>65</v>
      </c>
      <c r="H38" s="337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" t="s">
        <v>69</v>
      </c>
      <c r="H39" s="5" t="str">
        <f>D38</f>
        <v>500</v>
      </c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76</v>
      </c>
      <c r="B40" s="178" t="s">
        <v>74</v>
      </c>
      <c r="C40" s="171"/>
      <c r="D40" s="137" t="s">
        <v>75</v>
      </c>
      <c r="E40" s="159"/>
      <c r="F40" s="55" t="s">
        <v>70</v>
      </c>
      <c r="G40" s="5" t="s">
        <v>71</v>
      </c>
      <c r="H40" s="5">
        <f>C15</f>
        <v>3700</v>
      </c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392</v>
      </c>
      <c r="B41" s="346" t="s">
        <v>401</v>
      </c>
      <c r="C41" s="346"/>
      <c r="D41" s="378" t="s">
        <v>31</v>
      </c>
      <c r="E41" s="378"/>
      <c r="F41" s="55"/>
      <c r="G41" s="5" t="s">
        <v>72</v>
      </c>
      <c r="H41" s="5" t="str">
        <f>IF(D41="Yes",A44,0)</f>
        <v>50</v>
      </c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5" t="s">
        <v>76</v>
      </c>
      <c r="H42" s="5" t="str">
        <f>A41</f>
        <v>6000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63" t="s">
        <v>129</v>
      </c>
      <c r="B43" s="178" t="s">
        <v>80</v>
      </c>
      <c r="C43" s="171" t="s">
        <v>340</v>
      </c>
      <c r="D43" s="178" t="s">
        <v>221</v>
      </c>
      <c r="E43" s="181"/>
      <c r="F43" s="55"/>
      <c r="G43" s="5" t="s">
        <v>77</v>
      </c>
      <c r="H43" s="5">
        <f>A32</f>
        <v>12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388</v>
      </c>
      <c r="B44" s="346" t="s">
        <v>394</v>
      </c>
      <c r="C44" s="346"/>
      <c r="D44" s="346" t="s">
        <v>394</v>
      </c>
      <c r="E44" s="346"/>
      <c r="F44" s="55"/>
      <c r="G44" s="5" t="s">
        <v>78</v>
      </c>
      <c r="H44" s="5">
        <f>((H40-(((H42/(1.2))*0.2)))/(H43))</f>
        <v>225</v>
      </c>
      <c r="I44" s="276">
        <f>((A41*(B35-1))+D32)/B35</f>
        <v>5999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" t="s">
        <v>82</v>
      </c>
      <c r="H45" s="5">
        <f>(H39-H44)+H41</f>
        <v>325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341</v>
      </c>
      <c r="B46" s="171" t="s">
        <v>342</v>
      </c>
      <c r="C46" s="171" t="s">
        <v>10</v>
      </c>
      <c r="D46" s="171"/>
      <c r="E46" s="181"/>
      <c r="F46" s="55">
        <v>0</v>
      </c>
      <c r="G46" s="5" t="s">
        <v>83</v>
      </c>
      <c r="H46" s="5">
        <v>0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93" t="s">
        <v>341</v>
      </c>
      <c r="B47" s="171"/>
      <c r="C47" s="171"/>
      <c r="D47" s="171"/>
      <c r="E47" s="181"/>
      <c r="F47" s="55"/>
      <c r="G47" s="5" t="s">
        <v>84</v>
      </c>
      <c r="H47" s="5">
        <f>A38/H29</f>
        <v>1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48" t="s">
        <v>86</v>
      </c>
      <c r="H48" s="5">
        <f>B41/H29</f>
        <v>1.6666666666666667</v>
      </c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48" t="s">
        <v>87</v>
      </c>
      <c r="H49" s="5">
        <f>H45+H48+H47</f>
        <v>327.66666666666669</v>
      </c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71"/>
      <c r="E50" s="181"/>
      <c r="F50" s="55"/>
      <c r="G50" s="5" t="s">
        <v>343</v>
      </c>
      <c r="H50" s="5">
        <f>H49-H41</f>
        <v>277.66666666666669</v>
      </c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5000</v>
      </c>
      <c r="C51" s="389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12</v>
      </c>
      <c r="B52" s="343">
        <f>H49</f>
        <v>327.66666666666669</v>
      </c>
      <c r="C52" s="343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H49</f>
        <v>327.66666666666669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22200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v>37404</v>
      </c>
      <c r="C67" s="158"/>
      <c r="D67" s="158"/>
      <c r="E67" s="159"/>
      <c r="F67" s="55"/>
      <c r="G67" s="157" t="s">
        <v>27</v>
      </c>
      <c r="H67" s="28">
        <f>G18</f>
        <v>37404</v>
      </c>
      <c r="I67" s="158"/>
      <c r="J67" s="158"/>
      <c r="K67" s="159"/>
      <c r="L67" s="55"/>
      <c r="M67" s="157" t="s">
        <v>27</v>
      </c>
      <c r="N67" s="28">
        <f>G18</f>
        <v>37404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B67*B69</f>
        <v>2618.2800000000002</v>
      </c>
      <c r="C70" s="158">
        <v>10000</v>
      </c>
      <c r="D70" s="28">
        <f>B70-A149</f>
        <v>2618.2800000000002</v>
      </c>
      <c r="E70" s="159">
        <f>D70/12</f>
        <v>218.19000000000003</v>
      </c>
      <c r="F70" s="55"/>
      <c r="G70" s="206" t="s">
        <v>102</v>
      </c>
      <c r="H70" s="57">
        <f>H67*H69</f>
        <v>2618.2800000000002</v>
      </c>
      <c r="I70" s="158"/>
      <c r="J70" s="28">
        <f>H70-G151</f>
        <v>2618.2800000000002</v>
      </c>
      <c r="K70" s="159"/>
      <c r="L70" s="55"/>
      <c r="M70" s="206" t="s">
        <v>102</v>
      </c>
      <c r="N70" s="57">
        <f>N67*N69</f>
        <v>2618.2800000000002</v>
      </c>
      <c r="O70" s="158"/>
      <c r="P70" s="28">
        <f>N70-M151</f>
        <v>2618.2800000000002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187.02</v>
      </c>
      <c r="I73" s="158"/>
      <c r="J73" s="28"/>
      <c r="K73" s="159"/>
      <c r="L73" s="55"/>
      <c r="M73" s="206" t="s">
        <v>105</v>
      </c>
      <c r="N73" s="57">
        <f>N67*N72</f>
        <v>187.02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165</v>
      </c>
      <c r="C80" s="158"/>
      <c r="D80" s="158"/>
      <c r="E80" s="274">
        <f>E79+D82</f>
        <v>838.75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69.895833333333329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178.75</v>
      </c>
      <c r="C82" s="158"/>
      <c r="D82" s="28">
        <f>IF(A50="YES",0,B82)</f>
        <v>178.75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4123.6966666666667</v>
      </c>
      <c r="C87" s="158"/>
      <c r="D87" s="158"/>
      <c r="E87" s="159"/>
      <c r="F87" s="55"/>
      <c r="G87" s="220" t="s">
        <v>114</v>
      </c>
      <c r="H87" s="221">
        <f>SUM(J70:J86)</f>
        <v>5744.7800000000007</v>
      </c>
      <c r="I87" s="158"/>
      <c r="J87" s="158"/>
      <c r="K87" s="159"/>
      <c r="L87" s="55"/>
      <c r="M87" s="220" t="s">
        <v>114</v>
      </c>
      <c r="N87" s="221">
        <f>SUM(P70:P86)</f>
        <v>5732.2800000000007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343.64138888888891</v>
      </c>
      <c r="C88" s="158"/>
      <c r="D88" s="158"/>
      <c r="E88" s="159"/>
      <c r="F88" s="55"/>
      <c r="G88" s="157" t="s">
        <v>115</v>
      </c>
      <c r="H88" s="29">
        <f>H87/H29</f>
        <v>478.73166666666674</v>
      </c>
      <c r="I88" s="158"/>
      <c r="J88" s="158"/>
      <c r="K88" s="159"/>
      <c r="L88" s="55"/>
      <c r="M88" s="157" t="s">
        <v>115</v>
      </c>
      <c r="N88" s="29">
        <f>N87/H29</f>
        <v>477.69000000000005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H50</f>
        <v>277.66666666666669</v>
      </c>
      <c r="C89" s="158"/>
      <c r="D89" s="158"/>
      <c r="E89" s="159"/>
      <c r="F89" s="55"/>
      <c r="G89" s="222" t="s">
        <v>116</v>
      </c>
      <c r="H89" s="52">
        <f>H46</f>
        <v>0</v>
      </c>
      <c r="I89" s="158"/>
      <c r="J89" s="158"/>
      <c r="K89" s="159"/>
      <c r="L89" s="55"/>
      <c r="M89" s="222" t="s">
        <v>116</v>
      </c>
      <c r="N89" s="52">
        <f>H46</f>
        <v>0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((B89*H29)+B87)*1.2</f>
        <v>8946.8359999999993</v>
      </c>
      <c r="C91" s="158"/>
      <c r="D91" s="158"/>
      <c r="E91" s="159"/>
      <c r="F91" s="55"/>
      <c r="G91" s="209" t="s">
        <v>126</v>
      </c>
      <c r="H91" s="24">
        <f>((H89*H29)+H87)*1.2</f>
        <v>6893.7360000000008</v>
      </c>
      <c r="I91" s="158"/>
      <c r="J91" s="158"/>
      <c r="K91" s="159"/>
      <c r="L91" s="55"/>
      <c r="M91" s="209" t="s">
        <v>126</v>
      </c>
      <c r="N91" s="24">
        <f>((N89*H29)+N87)</f>
        <v>5732.2800000000007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63.158382412263016</v>
      </c>
      <c r="C92" s="158"/>
      <c r="D92" s="158"/>
      <c r="E92" s="283"/>
      <c r="F92" s="55"/>
      <c r="G92" s="157" t="s">
        <v>127</v>
      </c>
      <c r="H92" s="29">
        <f>(((H89*H29)+H87)/(1-H76))*H76</f>
        <v>48.664937474788232</v>
      </c>
      <c r="I92" s="158"/>
      <c r="J92" s="158"/>
      <c r="K92" s="159"/>
      <c r="L92" s="55"/>
      <c r="M92" s="157" t="s">
        <v>127</v>
      </c>
      <c r="N92" s="29">
        <f>(N91/(1-N76))*N76</f>
        <v>48.559048003227119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9009.994382412262</v>
      </c>
      <c r="C93" s="158"/>
      <c r="D93" s="158"/>
      <c r="E93" s="159"/>
      <c r="F93" s="55"/>
      <c r="G93" s="206" t="s">
        <v>128</v>
      </c>
      <c r="H93" s="57">
        <f>IF(H116="YES",((H91+H92)-K120),(H91+H92))</f>
        <v>8942.4009374747893</v>
      </c>
      <c r="I93" s="158"/>
      <c r="J93" s="158"/>
      <c r="K93" s="159"/>
      <c r="L93" s="55"/>
      <c r="M93" s="206" t="s">
        <v>128</v>
      </c>
      <c r="N93" s="57">
        <f>IF(N116="YES",((N91+N92)-K120),(N91+N92))</f>
        <v>7780.8390480032276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IF(B105=Z104,(((H41*A32)+(H41*A32)*(B111/100))/(B64)),(((H41*A32)+(H41*A32)*(B111/100))/(B63+B64)))*1.2</f>
        <v>78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750.83286520102183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828.83286520102183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900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385</v>
      </c>
      <c r="B111" s="395">
        <v>30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900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(E124+E123)-E120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750.83286520102183</v>
      </c>
      <c r="B134" s="232">
        <f>IF(A111="YES",B95,0)</f>
        <v>78</v>
      </c>
      <c r="C134" s="236"/>
      <c r="D134" s="232">
        <f>B97</f>
        <v>828.83286520102183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750.83286520102183</v>
      </c>
      <c r="C137" s="158"/>
      <c r="D137" s="34">
        <f>IF(A111="YES",B95*B63,0)</f>
        <v>78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828.83286520102183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750.83286520102183</v>
      </c>
      <c r="B143" s="34">
        <f>IF(A111="YES",B95,0)</f>
        <v>78</v>
      </c>
      <c r="C143" s="158"/>
      <c r="D143" s="34">
        <f>B97</f>
        <v>828.83286520102183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155.85000000000002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155.85000000000002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(G18*0.000006)*1.2*100</f>
        <v>26.930880000000002</v>
      </c>
      <c r="B146" s="251">
        <f>G18*0.000002*1.2*100</f>
        <v>8.9769599999999983</v>
      </c>
      <c r="C146" s="252"/>
      <c r="D146" s="251">
        <f>A146+B146</f>
        <v>35.90784</v>
      </c>
      <c r="E146" s="274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1440</v>
      </c>
      <c r="H148" s="34">
        <f>G108-100</f>
        <v>139.988</v>
      </c>
      <c r="I148" s="34"/>
      <c r="J148" s="34">
        <f>(H145+J145+G148+H148)-H151</f>
        <v>2815.8379999999997</v>
      </c>
      <c r="K148" s="90"/>
      <c r="L148" s="55"/>
      <c r="M148" s="94">
        <f>IF(M111="YES",((A41*N111)*0.1)*(M133),0)</f>
        <v>1440</v>
      </c>
      <c r="N148" s="34">
        <f>M108-100</f>
        <v>99.990000000000009</v>
      </c>
      <c r="O148" s="34"/>
      <c r="P148" s="34">
        <f>(N145+P145+M148+N148)-N151</f>
        <v>2775.84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900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IF(A111="YES",(A44/100*B111)*B131,0)*0.1</f>
        <v>18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3700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543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828.83286520102183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750.83286520102183</v>
      </c>
      <c r="B177" s="232">
        <f>IF(A111="YES",B95,0)</f>
        <v>78</v>
      </c>
      <c r="C177" s="236"/>
      <c r="D177" s="232">
        <f>A177+B177</f>
        <v>828.83286520102183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750.83286520102183</v>
      </c>
      <c r="C180" s="158"/>
      <c r="D180" s="34">
        <f>IF(A111="YES",B95*B63,0)</f>
        <v>78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828.83286520102183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750.83286520102183</v>
      </c>
      <c r="B186" s="34">
        <f>IF(A111="YES",B95,0)</f>
        <v>78</v>
      </c>
      <c r="C186" s="158"/>
      <c r="D186" s="34">
        <f>B97</f>
        <v>828.83286520102183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(G18*0.000006)*1.2*100</f>
        <v>26.930880000000002</v>
      </c>
      <c r="B189" s="251">
        <f>G18*0.000002*1.2*100</f>
        <v>8.9769599999999983</v>
      </c>
      <c r="C189" s="252"/>
      <c r="D189" s="251">
        <f>A189+B189</f>
        <v>35.90784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900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IF(A111="YES",(A44/100*B111)*B131,0)*0.1</f>
        <v>18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543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6.5000000000000002E-2</v>
      </c>
      <c r="C209" s="232" t="s">
        <v>227</v>
      </c>
      <c r="D209" s="261">
        <f>D70</f>
        <v>2618.2800000000002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645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3163.28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2618.2800000000002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3163.28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180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63.158382412263016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165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6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A50:A51"/>
    <mergeCell ref="B50:C50"/>
    <mergeCell ref="B51:C51"/>
    <mergeCell ref="B52:C52"/>
    <mergeCell ref="A56:A57"/>
    <mergeCell ref="B56:C56"/>
    <mergeCell ref="B57:C57"/>
    <mergeCell ref="G38:H38"/>
    <mergeCell ref="B41:C41"/>
    <mergeCell ref="D41:E41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H105 N105" xr:uid="{00000000-0002-0000-1F00-000000000000}">
      <formula1>$Y$103:$Y$112</formula1>
      <formula2>0</formula2>
    </dataValidation>
    <dataValidation type="list" allowBlank="1" showErrorMessage="1" sqref="D41 A111 G111 M111 O113 B116 H116 N116" xr:uid="{00000000-0002-0000-1F00-000001000000}">
      <formula1>$Z$19:$Z$20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1F00-000002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Z1000"/>
  <sheetViews>
    <sheetView topLeftCell="A142" zoomScale="110" zoomScaleNormal="110" workbookViewId="0">
      <selection activeCell="D158" sqref="D158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18500</v>
      </c>
      <c r="C9" s="11">
        <f>B9*0.2</f>
        <v>3700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37404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25" t="s">
        <v>36</v>
      </c>
      <c r="H26" s="26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30" t="s">
        <v>38</v>
      </c>
      <c r="H27" s="31">
        <v>1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30" t="s">
        <v>40</v>
      </c>
      <c r="H28" s="3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98">
        <f ca="1">TODAY()+1</f>
        <v>45777</v>
      </c>
      <c r="E29" s="398"/>
      <c r="F29" s="55"/>
      <c r="G29" s="25" t="s">
        <v>41</v>
      </c>
      <c r="H29" s="33">
        <f>A32</f>
        <v>12</v>
      </c>
      <c r="I29" s="55" t="b">
        <f>ISNUMBER(I31)</f>
        <v>0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25" t="s">
        <v>45</v>
      </c>
      <c r="H30" s="33">
        <f>B32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52</v>
      </c>
      <c r="B31" s="163" t="s">
        <v>53</v>
      </c>
      <c r="C31" s="158"/>
      <c r="D31" s="163" t="s">
        <v>54</v>
      </c>
      <c r="E31" s="159"/>
      <c r="F31" s="55"/>
      <c r="G31" s="25" t="s">
        <v>48</v>
      </c>
      <c r="H31" s="37" t="str">
        <f>A41</f>
        <v>6000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89">
        <v>12</v>
      </c>
      <c r="B32" s="378">
        <v>5000</v>
      </c>
      <c r="C32" s="378"/>
      <c r="D32" s="346">
        <f>(A32/12)*B32</f>
        <v>5000</v>
      </c>
      <c r="E32" s="346"/>
      <c r="F32" s="55"/>
      <c r="G32" s="25" t="s">
        <v>49</v>
      </c>
      <c r="H32" s="37">
        <f>A44*A32</f>
        <v>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30"/>
      <c r="H33" s="43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341</v>
      </c>
      <c r="B34" s="172" t="s">
        <v>61</v>
      </c>
      <c r="C34" s="171" t="s">
        <v>10</v>
      </c>
      <c r="D34" s="173" t="s">
        <v>62</v>
      </c>
      <c r="E34" s="159"/>
      <c r="F34" s="55"/>
      <c r="G34" s="5"/>
      <c r="H34" s="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93">
        <f>E19</f>
        <v>22200</v>
      </c>
      <c r="B35" s="378" t="s">
        <v>398</v>
      </c>
      <c r="C35" s="378"/>
      <c r="D35" s="394">
        <f>A35-B35</f>
        <v>21200</v>
      </c>
      <c r="E35" s="394"/>
      <c r="F35" s="55"/>
      <c r="G35" s="45" t="s">
        <v>59</v>
      </c>
      <c r="H35" s="275">
        <v>6.5000000000000002E-2</v>
      </c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" t="s">
        <v>63</v>
      </c>
      <c r="H36" s="5">
        <f>B38</f>
        <v>11</v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66</v>
      </c>
      <c r="B37" s="163" t="s">
        <v>67</v>
      </c>
      <c r="C37" s="158" t="s">
        <v>10</v>
      </c>
      <c r="D37" s="163" t="s">
        <v>68</v>
      </c>
      <c r="E37" s="159"/>
      <c r="F37" s="55"/>
      <c r="G37" s="5"/>
      <c r="H37" s="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65" t="s">
        <v>393</v>
      </c>
      <c r="B38" s="383">
        <f>A32-1</f>
        <v>11</v>
      </c>
      <c r="C38" s="383"/>
      <c r="D38" s="346" t="s">
        <v>390</v>
      </c>
      <c r="E38" s="346"/>
      <c r="F38" s="55"/>
      <c r="G38" s="337" t="s">
        <v>65</v>
      </c>
      <c r="H38" s="337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" t="s">
        <v>69</v>
      </c>
      <c r="H39" s="5" t="str">
        <f>D38</f>
        <v>500</v>
      </c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76</v>
      </c>
      <c r="B40" s="178" t="s">
        <v>74</v>
      </c>
      <c r="C40" s="171"/>
      <c r="D40" s="137" t="s">
        <v>75</v>
      </c>
      <c r="E40" s="159"/>
      <c r="F40" s="55" t="s">
        <v>10</v>
      </c>
      <c r="G40" s="5" t="s">
        <v>71</v>
      </c>
      <c r="H40" s="5">
        <f>C15</f>
        <v>3700</v>
      </c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392</v>
      </c>
      <c r="B41" s="346" t="s">
        <v>401</v>
      </c>
      <c r="C41" s="346"/>
      <c r="D41" s="378" t="s">
        <v>31</v>
      </c>
      <c r="E41" s="378"/>
      <c r="F41" s="55"/>
      <c r="G41" s="5" t="s">
        <v>72</v>
      </c>
      <c r="H41" s="5">
        <f>IF(D41="Yes",A44,0)</f>
        <v>0</v>
      </c>
      <c r="I41" s="5" t="s">
        <v>10</v>
      </c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5" t="s">
        <v>76</v>
      </c>
      <c r="H42" s="5" t="str">
        <f>A41</f>
        <v>6000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63" t="s">
        <v>129</v>
      </c>
      <c r="B43" s="178" t="s">
        <v>80</v>
      </c>
      <c r="C43" s="171" t="s">
        <v>10</v>
      </c>
      <c r="D43" s="178" t="s">
        <v>221</v>
      </c>
      <c r="E43" s="181"/>
      <c r="F43" s="55"/>
      <c r="G43" s="5" t="s">
        <v>77</v>
      </c>
      <c r="H43" s="5">
        <f>A32</f>
        <v>12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>
        <v>0</v>
      </c>
      <c r="B44" s="346" t="s">
        <v>394</v>
      </c>
      <c r="C44" s="346"/>
      <c r="D44" s="346">
        <v>0</v>
      </c>
      <c r="E44" s="346"/>
      <c r="F44" s="55"/>
      <c r="G44" s="5" t="s">
        <v>78</v>
      </c>
      <c r="H44" s="5">
        <f>((H40-(((H42/(1.2))*0.2)))/(H43))</f>
        <v>225</v>
      </c>
      <c r="I44" s="276">
        <f>((A41*(B35-1))+D32)/B35</f>
        <v>5999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" t="s">
        <v>82</v>
      </c>
      <c r="H45" s="5">
        <f>(H39-H44)+H41</f>
        <v>275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341</v>
      </c>
      <c r="B46" s="171" t="s">
        <v>342</v>
      </c>
      <c r="C46" s="171" t="s">
        <v>10</v>
      </c>
      <c r="D46" s="171"/>
      <c r="E46" s="181"/>
      <c r="F46" s="55">
        <v>0</v>
      </c>
      <c r="G46" s="5" t="s">
        <v>83</v>
      </c>
      <c r="H46" s="5">
        <v>0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93" t="s">
        <v>341</v>
      </c>
      <c r="B47" s="171"/>
      <c r="C47" s="171"/>
      <c r="D47" s="171"/>
      <c r="E47" s="181"/>
      <c r="F47" s="55"/>
      <c r="G47" s="5" t="s">
        <v>84</v>
      </c>
      <c r="H47" s="5">
        <f>A38/H29</f>
        <v>1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48" t="s">
        <v>86</v>
      </c>
      <c r="H48" s="5">
        <f>B41/H29</f>
        <v>1.6666666666666667</v>
      </c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48" t="s">
        <v>87</v>
      </c>
      <c r="H49" s="5">
        <f>H45+H48+H47</f>
        <v>277.66666666666669</v>
      </c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93"/>
      <c r="B50" s="171"/>
      <c r="C50" s="171"/>
      <c r="D50" s="171"/>
      <c r="E50" s="181"/>
      <c r="F50" s="55"/>
      <c r="G50" s="5" t="s">
        <v>343</v>
      </c>
      <c r="H50" s="5">
        <f>H49-H41</f>
        <v>277.66666666666669</v>
      </c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/>
      <c r="B52" s="343"/>
      <c r="C52" s="343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H49</f>
        <v>277.66666666666669</v>
      </c>
      <c r="C58" s="343"/>
      <c r="D58" s="184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9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3</v>
      </c>
      <c r="C64" s="158" t="s">
        <v>10</v>
      </c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22200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v>37404</v>
      </c>
      <c r="C67" s="158"/>
      <c r="D67" s="158"/>
      <c r="E67" s="159"/>
      <c r="F67" s="55"/>
      <c r="G67" s="157" t="s">
        <v>27</v>
      </c>
      <c r="H67" s="28">
        <f>G18</f>
        <v>37404</v>
      </c>
      <c r="I67" s="158"/>
      <c r="J67" s="158"/>
      <c r="K67" s="159"/>
      <c r="L67" s="55"/>
      <c r="M67" s="157" t="s">
        <v>27</v>
      </c>
      <c r="N67" s="28">
        <f>G18</f>
        <v>37404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B67*B69</f>
        <v>2618.2800000000002</v>
      </c>
      <c r="C70" s="158">
        <v>10000</v>
      </c>
      <c r="D70" s="28">
        <f>B70-A149</f>
        <v>2618.2800000000002</v>
      </c>
      <c r="E70" s="159">
        <f>D70/12</f>
        <v>218.19000000000003</v>
      </c>
      <c r="F70" s="55"/>
      <c r="G70" s="206" t="s">
        <v>102</v>
      </c>
      <c r="H70" s="57">
        <f>H67*H69</f>
        <v>2618.2800000000002</v>
      </c>
      <c r="I70" s="158"/>
      <c r="J70" s="28">
        <f>H70-G151</f>
        <v>2618.2800000000002</v>
      </c>
      <c r="K70" s="159"/>
      <c r="L70" s="55"/>
      <c r="M70" s="206" t="s">
        <v>102</v>
      </c>
      <c r="N70" s="57">
        <f>N67*N69</f>
        <v>2618.2800000000002</v>
      </c>
      <c r="O70" s="158"/>
      <c r="P70" s="28">
        <f>N70-M151</f>
        <v>2618.2800000000002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187.02</v>
      </c>
      <c r="I73" s="158"/>
      <c r="J73" s="28"/>
      <c r="K73" s="159"/>
      <c r="L73" s="55"/>
      <c r="M73" s="206" t="s">
        <v>105</v>
      </c>
      <c r="N73" s="57">
        <f>N67*N72</f>
        <v>187.02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165</v>
      </c>
      <c r="C80" s="158"/>
      <c r="D80" s="158"/>
      <c r="E80" s="274">
        <f>E79+D82</f>
        <v>838.75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69.895833333333329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178.75</v>
      </c>
      <c r="C82" s="158"/>
      <c r="D82" s="28">
        <f>IF(A50="YES",0,B82)</f>
        <v>178.75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4123.6966666666667</v>
      </c>
      <c r="C87" s="158"/>
      <c r="D87" s="158"/>
      <c r="E87" s="159"/>
      <c r="F87" s="55"/>
      <c r="G87" s="220" t="s">
        <v>114</v>
      </c>
      <c r="H87" s="221">
        <f>SUM(J70:J86)</f>
        <v>5744.7800000000007</v>
      </c>
      <c r="I87" s="158"/>
      <c r="J87" s="158"/>
      <c r="K87" s="159"/>
      <c r="L87" s="55"/>
      <c r="M87" s="220" t="s">
        <v>114</v>
      </c>
      <c r="N87" s="221">
        <f>SUM(P70:P86)</f>
        <v>5732.2800000000007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343.64138888888891</v>
      </c>
      <c r="C88" s="158"/>
      <c r="D88" s="158"/>
      <c r="E88" s="159"/>
      <c r="F88" s="55"/>
      <c r="G88" s="157" t="s">
        <v>115</v>
      </c>
      <c r="H88" s="29">
        <f>H87/H29</f>
        <v>478.73166666666674</v>
      </c>
      <c r="I88" s="158"/>
      <c r="J88" s="158"/>
      <c r="K88" s="159"/>
      <c r="L88" s="55"/>
      <c r="M88" s="157" t="s">
        <v>115</v>
      </c>
      <c r="N88" s="29">
        <f>N87/H29</f>
        <v>477.69000000000005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H50</f>
        <v>277.66666666666669</v>
      </c>
      <c r="C89" s="158"/>
      <c r="D89" s="158"/>
      <c r="E89" s="159"/>
      <c r="F89" s="55"/>
      <c r="G89" s="222" t="s">
        <v>116</v>
      </c>
      <c r="H89" s="52">
        <f>H46</f>
        <v>0</v>
      </c>
      <c r="I89" s="158"/>
      <c r="J89" s="158"/>
      <c r="K89" s="159"/>
      <c r="L89" s="55"/>
      <c r="M89" s="222" t="s">
        <v>116</v>
      </c>
      <c r="N89" s="52">
        <f>H46</f>
        <v>0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7455.6966666666667</v>
      </c>
      <c r="C91" s="158"/>
      <c r="D91" s="158"/>
      <c r="E91" s="159"/>
      <c r="F91" s="55"/>
      <c r="G91" s="209" t="s">
        <v>126</v>
      </c>
      <c r="H91" s="24">
        <f>((H89*H29)+H87)*1.2</f>
        <v>6893.7360000000008</v>
      </c>
      <c r="I91" s="158"/>
      <c r="J91" s="158"/>
      <c r="K91" s="159"/>
      <c r="L91" s="55"/>
      <c r="M91" s="209" t="s">
        <v>126</v>
      </c>
      <c r="N91" s="24">
        <f>((N89*H29)+N87)</f>
        <v>5732.2800000000007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63.158382412263016</v>
      </c>
      <c r="C92" s="158"/>
      <c r="D92" s="158"/>
      <c r="E92" s="283"/>
      <c r="F92" s="55"/>
      <c r="G92" s="157" t="s">
        <v>127</v>
      </c>
      <c r="H92" s="29">
        <f>(((H89*H29)+H87)/(1-H76))*H76</f>
        <v>48.664937474788232</v>
      </c>
      <c r="I92" s="158"/>
      <c r="J92" s="158"/>
      <c r="K92" s="159"/>
      <c r="L92" s="55"/>
      <c r="M92" s="157" t="s">
        <v>127</v>
      </c>
      <c r="N92" s="29">
        <f>(N91/(1-N76))*N76</f>
        <v>48.559048003227119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7518.8550490789294</v>
      </c>
      <c r="C93" s="158"/>
      <c r="D93" s="158"/>
      <c r="E93" s="159"/>
      <c r="F93" s="55"/>
      <c r="G93" s="206" t="s">
        <v>128</v>
      </c>
      <c r="H93" s="57">
        <f>IF(H116="YES",((H91+H92)-K120),(H91+H92))</f>
        <v>8942.4009374747893</v>
      </c>
      <c r="I93" s="158"/>
      <c r="J93" s="158"/>
      <c r="K93" s="159"/>
      <c r="L93" s="55"/>
      <c r="M93" s="206" t="s">
        <v>128</v>
      </c>
      <c r="N93" s="57">
        <f>IF(N116="YES",((N91+N92)-K120),(N91+N92))</f>
        <v>7780.8390480032276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IF(B105=Z104,(((H41*A32)+(H41*A32)*(B111/100))/(B64)),(((H41*A32)+(H41*A32)*(B111/100))/(B63+B64)))</f>
        <v>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626.57125408991078</v>
      </c>
      <c r="C96" s="158" t="s">
        <v>10</v>
      </c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626.57125408991078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353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750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5">
        <v>0</v>
      </c>
      <c r="C111" s="395"/>
      <c r="D111" s="348" t="s">
        <v>404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750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3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3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626.57125408991078</v>
      </c>
      <c r="B134" s="232">
        <f>IF(A111="YES",B95,0)</f>
        <v>0</v>
      </c>
      <c r="C134" s="237"/>
      <c r="D134" s="232">
        <f>B97</f>
        <v>626.57125408991078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Terminal pause with 9 down </v>
      </c>
      <c r="B137" s="34">
        <f>B96*B63</f>
        <v>5639.1412868091975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5639.1412868091975</v>
      </c>
      <c r="B140" s="34">
        <f>E120</f>
        <v>0</v>
      </c>
      <c r="C140" s="158"/>
      <c r="D140" s="245">
        <f>B64</f>
        <v>3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626.57125408991078</v>
      </c>
      <c r="B143" s="34">
        <f>IF(A111="YES",B95,0)</f>
        <v>0</v>
      </c>
      <c r="C143" s="158"/>
      <c r="D143" s="34">
        <f>B97</f>
        <v>626.57125408991078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155.85000000000002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155.85000000000002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22.442400000000003</v>
      </c>
      <c r="B146" s="251">
        <f>G18*0.000002*100</f>
        <v>7.4808000000000003</v>
      </c>
      <c r="C146" s="252"/>
      <c r="D146" s="251">
        <f>A146+B146</f>
        <v>29.923200000000001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1440</v>
      </c>
      <c r="H148" s="34">
        <f>G108-100</f>
        <v>139.988</v>
      </c>
      <c r="I148" s="34"/>
      <c r="J148" s="34">
        <f>(H145+J145+G148+H148)-H151</f>
        <v>2815.8379999999997</v>
      </c>
      <c r="K148" s="90"/>
      <c r="L148" s="55"/>
      <c r="M148" s="94">
        <f>IF(M111="YES",((A41*N111)*0.1)*(M133),0)</f>
        <v>1440</v>
      </c>
      <c r="N148" s="34">
        <f>M108-100</f>
        <v>99.990000000000009</v>
      </c>
      <c r="O148" s="34"/>
      <c r="P148" s="34">
        <f>(N145+P145+M148+N148)-N151</f>
        <v>2775.84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750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IF(A111="YES",(A44/100*B111)*B131,0)*0.1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3700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626.57125408991078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 t="b">
        <f>ISNUMBER(B183)</f>
        <v>1</v>
      </c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626.57125408991078</v>
      </c>
      <c r="B177" s="232">
        <f>IF(A111="YES",B95,0)</f>
        <v>0</v>
      </c>
      <c r="C177" s="237"/>
      <c r="D177" s="232">
        <f>B91</f>
        <v>7455.6966666666667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Terminal pause with 9 down </v>
      </c>
      <c r="B180" s="34">
        <f>B96*B63</f>
        <v>5639.1412868091975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5639.1412868091975</v>
      </c>
      <c r="B183" s="34">
        <f>E120</f>
        <v>0</v>
      </c>
      <c r="C183" s="158"/>
      <c r="D183" s="245">
        <f>B64</f>
        <v>3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626.57125408991078</v>
      </c>
      <c r="B186" s="34">
        <f>IF(A111="YES",B95,0)</f>
        <v>0</v>
      </c>
      <c r="C186" s="158"/>
      <c r="D186" s="34">
        <f>B97</f>
        <v>626.57125408991078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22.442400000000003</v>
      </c>
      <c r="B189" s="251">
        <f>G18*0.000002*100</f>
        <v>7.4808000000000003</v>
      </c>
      <c r="C189" s="252"/>
      <c r="D189" s="251">
        <f>A189+B189</f>
        <v>29.923200000000001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750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IF(A111="YES",(A44/100*B111)*B131,0)*0.1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6.5000000000000002E-2</v>
      </c>
      <c r="C209" s="232" t="s">
        <v>227</v>
      </c>
      <c r="D209" s="261">
        <f>D70</f>
        <v>2618.2800000000002</v>
      </c>
      <c r="E209" s="233"/>
      <c r="F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465</v>
      </c>
      <c r="E211" s="233"/>
      <c r="F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2983.28</v>
      </c>
      <c r="C213" s="236"/>
      <c r="D213" s="232"/>
      <c r="E213" s="233"/>
      <c r="F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2618.2800000000002</v>
      </c>
      <c r="C217" s="178" t="s">
        <v>233</v>
      </c>
      <c r="D217" s="158"/>
      <c r="E217" s="214">
        <f>B72</f>
        <v>0</v>
      </c>
      <c r="F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2983.28</v>
      </c>
      <c r="F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63.158382412263016</v>
      </c>
      <c r="F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165</v>
      </c>
      <c r="F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157"/>
      <c r="B243" s="158"/>
      <c r="C243" s="158"/>
      <c r="D243" s="158"/>
      <c r="E243" s="159"/>
      <c r="F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94"/>
      <c r="B244" s="34"/>
      <c r="C244" s="34"/>
      <c r="D244" s="34"/>
      <c r="E244" s="90"/>
      <c r="F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157"/>
      <c r="B245" s="158"/>
      <c r="C245" s="158"/>
      <c r="D245" s="158"/>
      <c r="E245" s="159"/>
      <c r="F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157"/>
      <c r="B246" s="158"/>
      <c r="C246" s="158"/>
      <c r="D246" s="158"/>
      <c r="E246" s="159"/>
      <c r="F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94"/>
      <c r="B247" s="34"/>
      <c r="C247" s="158"/>
      <c r="D247" s="158"/>
      <c r="E247" s="159"/>
      <c r="F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206"/>
      <c r="B248" s="207"/>
      <c r="C248" s="207"/>
      <c r="D248" s="207"/>
      <c r="E248" s="208"/>
      <c r="F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3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A100:E100"/>
    <mergeCell ref="G100:K100"/>
    <mergeCell ref="M100:Q100"/>
    <mergeCell ref="A102:E102"/>
    <mergeCell ref="G102:K102"/>
    <mergeCell ref="M102:Q102"/>
    <mergeCell ref="B52:C52"/>
    <mergeCell ref="A56:A57"/>
    <mergeCell ref="B56:C56"/>
    <mergeCell ref="B57:C57"/>
    <mergeCell ref="B58:C58"/>
    <mergeCell ref="G38:H38"/>
    <mergeCell ref="B41:C41"/>
    <mergeCell ref="D41:E41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D41 A111 G111 M111 O113 B116 H116 N116" xr:uid="{00000000-0002-0000-2000-000000000000}">
      <formula1>$Z$19:$Z$20</formula1>
      <formula2>0</formula2>
    </dataValidation>
    <dataValidation type="list" allowBlank="1" showErrorMessage="1" sqref="H105 N105" xr:uid="{00000000-0002-0000-2000-000002000000}">
      <formula1>$Y$103:$Y$112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2000-000001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1000"/>
  <sheetViews>
    <sheetView topLeftCell="A193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18500</v>
      </c>
      <c r="C9" s="11">
        <f>B9*0.2</f>
        <v>3700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37404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 t="str">
        <f>A41</f>
        <v>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 t="str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387</v>
      </c>
      <c r="B41" s="383" t="str">
        <f>IF(B38="YES",D38+A41,D38)</f>
        <v>500</v>
      </c>
      <c r="C41" s="383"/>
      <c r="D41" s="346" t="s">
        <v>392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46" t="s">
        <v>394</v>
      </c>
      <c r="C44" s="346"/>
      <c r="D44" s="346" t="s">
        <v>387</v>
      </c>
      <c r="E44" s="346"/>
      <c r="F44" s="55"/>
      <c r="G44" s="55" t="s">
        <v>264</v>
      </c>
      <c r="H44" s="5" t="str">
        <f>H32</f>
        <v>0</v>
      </c>
      <c r="I44" s="276">
        <f>((A41*(B35-1))+D32)/B35</f>
        <v>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401" t="s">
        <v>396</v>
      </c>
      <c r="C47" s="401"/>
      <c r="D47" s="346" t="s">
        <v>396</v>
      </c>
      <c r="E47" s="346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501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 t="s">
        <v>342</v>
      </c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B65" s="158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22200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v>37405</v>
      </c>
      <c r="C67" s="158"/>
      <c r="D67" s="158"/>
      <c r="E67" s="159"/>
      <c r="F67" s="55"/>
      <c r="G67" s="157" t="s">
        <v>27</v>
      </c>
      <c r="H67" s="28">
        <f>G18</f>
        <v>37404</v>
      </c>
      <c r="I67" s="158"/>
      <c r="J67" s="158"/>
      <c r="K67" s="159"/>
      <c r="L67" s="55"/>
      <c r="M67" s="157" t="s">
        <v>27</v>
      </c>
      <c r="N67" s="28">
        <f>G18</f>
        <v>37404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B66*B69</f>
        <v>1554.0000000000002</v>
      </c>
      <c r="C70" s="158">
        <v>10000</v>
      </c>
      <c r="D70" s="28">
        <f>B70-A149</f>
        <v>1554.0000000000002</v>
      </c>
      <c r="E70" s="159">
        <f>D70/12</f>
        <v>129.50000000000003</v>
      </c>
      <c r="F70" s="55"/>
      <c r="G70" s="206" t="s">
        <v>102</v>
      </c>
      <c r="H70" s="57">
        <f>H67*H69</f>
        <v>2618.2800000000002</v>
      </c>
      <c r="I70" s="158"/>
      <c r="J70" s="28">
        <f>H70-G151</f>
        <v>2618.2800000000002</v>
      </c>
      <c r="K70" s="159"/>
      <c r="L70" s="55"/>
      <c r="M70" s="206" t="s">
        <v>102</v>
      </c>
      <c r="N70" s="57">
        <f>N67*N69</f>
        <v>2618.2800000000002</v>
      </c>
      <c r="O70" s="158"/>
      <c r="P70" s="28">
        <f>N70-M151</f>
        <v>2618.2800000000002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380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381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187.02</v>
      </c>
      <c r="I73" s="158"/>
      <c r="J73" s="28"/>
      <c r="K73" s="159"/>
      <c r="L73" s="55"/>
      <c r="M73" s="206" t="s">
        <v>105</v>
      </c>
      <c r="N73" s="57">
        <f>N67*N72</f>
        <v>187.02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77" t="s">
        <v>285</v>
      </c>
      <c r="B80" s="278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79" t="s">
        <v>286</v>
      </c>
      <c r="B81" s="280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222.22222222222223</v>
      </c>
      <c r="C83" s="158"/>
      <c r="D83" s="28">
        <f>B83</f>
        <v>222.22222222222223</v>
      </c>
      <c r="E83" s="159">
        <f>D83/12</f>
        <v>18.518518518518519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2658.4444444444448</v>
      </c>
      <c r="C87" s="158"/>
      <c r="D87" s="158"/>
      <c r="E87" s="159"/>
      <c r="F87" s="55"/>
      <c r="G87" s="220" t="s">
        <v>114</v>
      </c>
      <c r="H87" s="221">
        <f>SUM(J70:J86)</f>
        <v>5744.7800000000007</v>
      </c>
      <c r="I87" s="158"/>
      <c r="J87" s="158"/>
      <c r="K87" s="159"/>
      <c r="L87" s="55"/>
      <c r="M87" s="220" t="s">
        <v>114</v>
      </c>
      <c r="N87" s="221">
        <f>SUM(P70:P86)</f>
        <v>5732.2800000000007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221.53703703703707</v>
      </c>
      <c r="C88" s="158"/>
      <c r="D88" s="158"/>
      <c r="E88" s="159"/>
      <c r="F88" s="55"/>
      <c r="G88" s="157" t="s">
        <v>115</v>
      </c>
      <c r="H88" s="29">
        <f>H87/H29</f>
        <v>478.73166666666674</v>
      </c>
      <c r="I88" s="158"/>
      <c r="J88" s="158"/>
      <c r="K88" s="159"/>
      <c r="L88" s="55"/>
      <c r="M88" s="157" t="s">
        <v>115</v>
      </c>
      <c r="N88" s="29">
        <f>N87/H29</f>
        <v>477.69000000000005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8670.4444444444453</v>
      </c>
      <c r="C91" s="158"/>
      <c r="D91" s="158"/>
      <c r="E91" s="159"/>
      <c r="F91" s="55"/>
      <c r="G91" s="209" t="s">
        <v>126</v>
      </c>
      <c r="H91" s="24">
        <f>((H89*H29)+H87)*1.2</f>
        <v>14108.136</v>
      </c>
      <c r="I91" s="158"/>
      <c r="J91" s="158"/>
      <c r="K91" s="159"/>
      <c r="L91" s="55"/>
      <c r="M91" s="209" t="s">
        <v>126</v>
      </c>
      <c r="N91" s="24">
        <f>((N89*H29)+N87)</f>
        <v>11744.28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73.448702433777072</v>
      </c>
      <c r="C92" s="158"/>
      <c r="D92" s="158"/>
      <c r="E92" s="283"/>
      <c r="F92" s="55"/>
      <c r="G92" s="157" t="s">
        <v>127</v>
      </c>
      <c r="H92" s="29">
        <f>(((H89*H29)+H87)/(1-H76))*H76</f>
        <v>99.593537716821317</v>
      </c>
      <c r="I92" s="158"/>
      <c r="J92" s="158"/>
      <c r="K92" s="159"/>
      <c r="L92" s="55"/>
      <c r="M92" s="157" t="s">
        <v>127</v>
      </c>
      <c r="N92" s="29">
        <f>(N91/(1-N76))*N76</f>
        <v>99.487648245260203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8743.893146878223</v>
      </c>
      <c r="C93" s="158"/>
      <c r="D93" s="158"/>
      <c r="E93" s="159"/>
      <c r="F93" s="55"/>
      <c r="G93" s="206" t="s">
        <v>128</v>
      </c>
      <c r="H93" s="57">
        <f>IF(H116="YES",((H91+H92)-K120),(H91+H92))</f>
        <v>16207.729537716821</v>
      </c>
      <c r="I93" s="158"/>
      <c r="J93" s="158"/>
      <c r="K93" s="159"/>
      <c r="L93" s="55"/>
      <c r="M93" s="206" t="s">
        <v>128</v>
      </c>
      <c r="N93" s="57">
        <f>IF(N116="YES",((N91+N92)-K120),(N91+N92))</f>
        <v>13843.767648245261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</f>
        <v>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728.65776223985188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728.65776223985188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352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900</v>
      </c>
      <c r="B108" s="348">
        <v>200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6">
        <v>0</v>
      </c>
      <c r="C111" s="396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900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2080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728.65776223985188</v>
      </c>
      <c r="B134" s="232">
        <f>IF(A111="YES",B95,0)</f>
        <v>0</v>
      </c>
      <c r="C134" s="237"/>
      <c r="D134" s="232">
        <f>B97</f>
        <v>728.65776223985188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728.65776223985188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728.65776223985188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728.65776223985188</v>
      </c>
      <c r="B143" s="34">
        <f>IF(A111="YES",B95,0)</f>
        <v>0</v>
      </c>
      <c r="C143" s="158"/>
      <c r="D143" s="34">
        <f>B97</f>
        <v>728.65776223985188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155.85000000000002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155.85000000000002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22.442400000000003</v>
      </c>
      <c r="B146" s="251">
        <f>G18*0.000002*100</f>
        <v>7.4808000000000003</v>
      </c>
      <c r="C146" s="252"/>
      <c r="D146" s="251">
        <f>A146+B146</f>
        <v>29.923200000000001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0</v>
      </c>
      <c r="H148" s="34">
        <f>G108-100</f>
        <v>139.988</v>
      </c>
      <c r="I148" s="34"/>
      <c r="J148" s="34">
        <f>(H145+J145+G148+H148)-H151</f>
        <v>1375.838</v>
      </c>
      <c r="K148" s="90"/>
      <c r="L148" s="55"/>
      <c r="M148" s="94">
        <f>IF(M111="YES",((A41*N111)*0.1)*(M133),0)</f>
        <v>0</v>
      </c>
      <c r="N148" s="34">
        <f>M108-100</f>
        <v>99.990000000000009</v>
      </c>
      <c r="O148" s="34"/>
      <c r="P148" s="34">
        <f>(N145+P145+M148+N148)-N151</f>
        <v>1335.84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900</v>
      </c>
      <c r="C149" s="158"/>
      <c r="D149" s="119">
        <f>B108</f>
        <v>200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200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325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728.65776223985188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728.65776223985188</v>
      </c>
      <c r="B177" s="232">
        <f>IF(A111="YES",B95,0)</f>
        <v>0</v>
      </c>
      <c r="C177" s="237"/>
      <c r="D177" s="232">
        <f>B91</f>
        <v>8670.4444444444453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728.65776223985188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728.65776223985188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728.65776223985188</v>
      </c>
      <c r="B186" s="34">
        <f>IF(A111="YES",B95,0)</f>
        <v>0</v>
      </c>
      <c r="C186" s="158"/>
      <c r="D186" s="34">
        <f>B97</f>
        <v>728.65776223985188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22.442400000000003</v>
      </c>
      <c r="B189" s="251">
        <f>G18*0.000002*100</f>
        <v>7.4808000000000003</v>
      </c>
      <c r="C189" s="252"/>
      <c r="D189" s="251">
        <f>A189+B189</f>
        <v>29.923200000000001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900</v>
      </c>
      <c r="C192" s="158"/>
      <c r="D192" s="119">
        <f>B108</f>
        <v>200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200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325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1554.0000000000002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445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1899.0000000000002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1554.0000000000002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20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1899.0000000000002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73.448702433777072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B47:C47"/>
    <mergeCell ref="D47:E47"/>
    <mergeCell ref="A56:A57"/>
    <mergeCell ref="B56:C56"/>
    <mergeCell ref="B57:C57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H105 N105" xr:uid="{00000000-0002-0000-2100-000000000000}">
      <formula1>$Y$103:$Y$112</formula1>
      <formula2>0</formula2>
    </dataValidation>
    <dataValidation type="list" allowBlank="1" showErrorMessage="1" sqref="B38 A111 G111 M111 O113 B116 H116 N116" xr:uid="{00000000-0002-0000-2100-000002000000}">
      <formula1>$Z$19:$Z$20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100-000001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2100-000003000000}">
          <x14:formula1>
            <xm:f>'FL (Formula 3) - BCH, PCH, FL'!$Z$103:$Z$111</xm:f>
          </x14:formula1>
          <x14:formula2>
            <xm:f>0</xm:f>
          </x14:formula2>
          <xm:sqref>B65 B105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1000"/>
  <sheetViews>
    <sheetView topLeftCell="A223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18500</v>
      </c>
      <c r="C9" s="11">
        <f>B9*0.2</f>
        <v>3700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37404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 t="str">
        <f>A41</f>
        <v>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 t="str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387</v>
      </c>
      <c r="B41" s="383" t="str">
        <f>IF(B38="YES",D38+A41,D38)</f>
        <v>500</v>
      </c>
      <c r="C41" s="383"/>
      <c r="D41" s="346" t="s">
        <v>392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46" t="s">
        <v>394</v>
      </c>
      <c r="C44" s="346"/>
      <c r="D44" s="346" t="s">
        <v>387</v>
      </c>
      <c r="E44" s="346"/>
      <c r="F44" s="55"/>
      <c r="G44" s="55" t="s">
        <v>264</v>
      </c>
      <c r="H44" s="5" t="str">
        <f>H32</f>
        <v>0</v>
      </c>
      <c r="I44" s="276">
        <f>((A41*(B35-1))+D32)/B35</f>
        <v>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401" t="s">
        <v>396</v>
      </c>
      <c r="C47" s="401"/>
      <c r="D47" s="346" t="s">
        <v>396</v>
      </c>
      <c r="E47" s="346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501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 t="s">
        <v>10</v>
      </c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B65" s="158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22200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v>37404</v>
      </c>
      <c r="C67" s="158"/>
      <c r="D67" s="158"/>
      <c r="E67" s="159"/>
      <c r="F67" s="55"/>
      <c r="G67" s="157" t="s">
        <v>27</v>
      </c>
      <c r="H67" s="28">
        <f>G18</f>
        <v>37404</v>
      </c>
      <c r="I67" s="158"/>
      <c r="J67" s="158"/>
      <c r="K67" s="159"/>
      <c r="L67" s="55"/>
      <c r="M67" s="157" t="s">
        <v>27</v>
      </c>
      <c r="N67" s="28">
        <f>G18</f>
        <v>37404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B66*B69</f>
        <v>1554.0000000000002</v>
      </c>
      <c r="C70" s="158">
        <v>10000</v>
      </c>
      <c r="D70" s="28">
        <f>B70-A149</f>
        <v>1554.0000000000002</v>
      </c>
      <c r="E70" s="159">
        <f>D70/12</f>
        <v>129.50000000000003</v>
      </c>
      <c r="F70" s="55"/>
      <c r="G70" s="206" t="s">
        <v>102</v>
      </c>
      <c r="H70" s="57">
        <f>H67*H69</f>
        <v>2618.2800000000002</v>
      </c>
      <c r="I70" s="158"/>
      <c r="J70" s="28">
        <f>H70-G151</f>
        <v>2618.2800000000002</v>
      </c>
      <c r="K70" s="159"/>
      <c r="L70" s="55"/>
      <c r="M70" s="206" t="s">
        <v>102</v>
      </c>
      <c r="N70" s="57">
        <f>N67*N69</f>
        <v>2618.2800000000002</v>
      </c>
      <c r="O70" s="158"/>
      <c r="P70" s="28">
        <f>N70-M151</f>
        <v>2618.2800000000002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187.02</v>
      </c>
      <c r="I73" s="158"/>
      <c r="J73" s="28"/>
      <c r="K73" s="159"/>
      <c r="L73" s="55"/>
      <c r="M73" s="206" t="s">
        <v>105</v>
      </c>
      <c r="N73" s="57">
        <f>N67*N72</f>
        <v>187.02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165</v>
      </c>
      <c r="C80" s="158"/>
      <c r="D80" s="158"/>
      <c r="E80" s="274">
        <f>E79+D82</f>
        <v>838.75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69.895833333333329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178.75</v>
      </c>
      <c r="C82" s="158"/>
      <c r="D82" s="28">
        <f>IF(A50="YES",0,B82)</f>
        <v>178.75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3059.416666666667</v>
      </c>
      <c r="C87" s="158"/>
      <c r="D87" s="158"/>
      <c r="E87" s="159"/>
      <c r="F87" s="55"/>
      <c r="G87" s="220" t="s">
        <v>114</v>
      </c>
      <c r="H87" s="221">
        <f>SUM(J70:J86)</f>
        <v>5744.7800000000007</v>
      </c>
      <c r="I87" s="158"/>
      <c r="J87" s="158"/>
      <c r="K87" s="159"/>
      <c r="L87" s="55"/>
      <c r="M87" s="220" t="s">
        <v>114</v>
      </c>
      <c r="N87" s="221">
        <f>SUM(P70:P86)</f>
        <v>5732.2800000000007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254.95138888888891</v>
      </c>
      <c r="C88" s="158"/>
      <c r="D88" s="158"/>
      <c r="E88" s="159"/>
      <c r="F88" s="55"/>
      <c r="G88" s="157" t="s">
        <v>115</v>
      </c>
      <c r="H88" s="29">
        <f>H87/H29</f>
        <v>478.73166666666674</v>
      </c>
      <c r="I88" s="158"/>
      <c r="J88" s="158"/>
      <c r="K88" s="159"/>
      <c r="L88" s="55"/>
      <c r="M88" s="157" t="s">
        <v>115</v>
      </c>
      <c r="N88" s="29">
        <f>N87/H29</f>
        <v>477.69000000000005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((B89*H29)+B87)*1.2</f>
        <v>10885.7</v>
      </c>
      <c r="C91" s="158"/>
      <c r="D91" s="158"/>
      <c r="E91" s="159"/>
      <c r="F91" s="55"/>
      <c r="G91" s="209" t="s">
        <v>126</v>
      </c>
      <c r="H91" s="24">
        <f>((H89*H29)+H87)*1.2</f>
        <v>14108.136</v>
      </c>
      <c r="I91" s="158"/>
      <c r="J91" s="158"/>
      <c r="K91" s="159"/>
      <c r="L91" s="55"/>
      <c r="M91" s="209" t="s">
        <v>126</v>
      </c>
      <c r="N91" s="24">
        <f>((N89*H29)+N87)</f>
        <v>11744.28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76.845401371520794</v>
      </c>
      <c r="C92" s="158"/>
      <c r="D92" s="158"/>
      <c r="E92" s="283"/>
      <c r="F92" s="55"/>
      <c r="G92" s="157" t="s">
        <v>127</v>
      </c>
      <c r="H92" s="29">
        <f>(((H89*H29)+H87)/(1-H76))*H76</f>
        <v>99.593537716821317</v>
      </c>
      <c r="I92" s="158"/>
      <c r="J92" s="158"/>
      <c r="K92" s="159"/>
      <c r="L92" s="55"/>
      <c r="M92" s="157" t="s">
        <v>127</v>
      </c>
      <c r="N92" s="29">
        <f>(N91/(1-N76))*N76</f>
        <v>99.487648245260203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10962.545401371521</v>
      </c>
      <c r="C93" s="158"/>
      <c r="D93" s="158"/>
      <c r="E93" s="159"/>
      <c r="F93" s="55"/>
      <c r="G93" s="206" t="s">
        <v>128</v>
      </c>
      <c r="H93" s="57">
        <f>IF(H116="YES",((H91+H92)-K120),(H91+H92))</f>
        <v>16207.729537716821</v>
      </c>
      <c r="I93" s="158"/>
      <c r="J93" s="158"/>
      <c r="K93" s="159"/>
      <c r="L93" s="55"/>
      <c r="M93" s="206" t="s">
        <v>128</v>
      </c>
      <c r="N93" s="57">
        <f>IF(N116="YES",((N91+N92)-K120),(N91+N92))</f>
        <v>13843.767648245261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IF(B105=Z104,(((H44*B35)+(H44*B35)*(B111/100))/(B64)),(((H44*B35)+(H44*B35)*(B111/100))/(B63+B64)))*1.2</f>
        <v>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913.54545011429343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913.54545011429343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290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900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5">
        <v>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900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(E124+E123)-E120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913.54545011429343</v>
      </c>
      <c r="B134" s="232">
        <f>IF(A111="YES",B95,0)</f>
        <v>0</v>
      </c>
      <c r="C134" s="237"/>
      <c r="D134" s="232">
        <f>B97</f>
        <v>913.54545011429343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913.54545011429343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913.54545011429343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913.54545011429343</v>
      </c>
      <c r="B143" s="34">
        <f>IF(A111="YES",B95,0)</f>
        <v>0</v>
      </c>
      <c r="C143" s="158"/>
      <c r="D143" s="34">
        <f>B97</f>
        <v>913.54545011429343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155.85000000000002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155.85000000000002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(G18*0.000006)*1.2*100</f>
        <v>26.930880000000002</v>
      </c>
      <c r="B146" s="251">
        <f>G18*0.000002*1.2*100</f>
        <v>8.9769599999999983</v>
      </c>
      <c r="C146" s="252"/>
      <c r="D146" s="251">
        <f>A146+B146</f>
        <v>35.90784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0</v>
      </c>
      <c r="H148" s="34">
        <f>G108-100</f>
        <v>139.988</v>
      </c>
      <c r="I148" s="34"/>
      <c r="J148" s="34">
        <f>(H145+J145+G148+H148)-H151</f>
        <v>1375.838</v>
      </c>
      <c r="K148" s="90"/>
      <c r="L148" s="55"/>
      <c r="M148" s="94">
        <f>IF(M111="YES",((A41*N111)*0.1)*(M133),0)</f>
        <v>0</v>
      </c>
      <c r="N148" s="34">
        <f>M108-100</f>
        <v>99.990000000000009</v>
      </c>
      <c r="O148" s="34"/>
      <c r="P148" s="34">
        <f>(N145+P145+M148+N148)-N151</f>
        <v>1335.84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900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913.54545011429343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913.54545011429343</v>
      </c>
      <c r="B177" s="232">
        <f>IF(A111="YES",B95,0)</f>
        <v>0</v>
      </c>
      <c r="C177" s="237"/>
      <c r="D177" s="232">
        <f>B97</f>
        <v>913.54545011429343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913.54545011429343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913.54545011429343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913.54545011429343</v>
      </c>
      <c r="B186" s="34">
        <f>IF(A111="YES",B95,0)</f>
        <v>0</v>
      </c>
      <c r="C186" s="158"/>
      <c r="D186" s="34">
        <f>B97</f>
        <v>913.54545011429343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(G18*0.000006)*1.2*100</f>
        <v>26.930880000000002</v>
      </c>
      <c r="B189" s="251">
        <f>G18*0.000002*1.2*100</f>
        <v>8.9769599999999983</v>
      </c>
      <c r="C189" s="252"/>
      <c r="D189" s="251">
        <f>A189+B189</f>
        <v>35.90784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900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1554.0000000000002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465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1919.0000000000002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1554.0000000000002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1919.0000000000002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76.845401371520794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165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B47:C47"/>
    <mergeCell ref="D47:E47"/>
    <mergeCell ref="A56:A57"/>
    <mergeCell ref="B56:C56"/>
    <mergeCell ref="B57:C57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B38 A111 G111 M111 O113 B116 H116 N116" xr:uid="{00000000-0002-0000-2200-000001000000}">
      <formula1>$Z$19:$Z$20</formula1>
      <formula2>0</formula2>
    </dataValidation>
    <dataValidation type="list" allowBlank="1" showErrorMessage="1" sqref="H105 N105" xr:uid="{00000000-0002-0000-2200-000002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2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2200-000003000000}">
          <x14:formula1>
            <xm:f>'FL (Formula 3) - BCH, PCH, FL'!$Z$103:$Z$111</xm:f>
          </x14:formula1>
          <x14:formula2>
            <xm:f>0</xm:f>
          </x14:formula2>
          <xm:sqref>B65 B105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1000"/>
  <sheetViews>
    <sheetView topLeftCell="A190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18500</v>
      </c>
      <c r="C9" s="11">
        <f>B9*0.2</f>
        <v>3700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37404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50</v>
      </c>
      <c r="E32" s="381"/>
      <c r="F32" s="55"/>
      <c r="G32" s="168" t="s">
        <v>253</v>
      </c>
      <c r="H32" s="166" t="str">
        <f>A41</f>
        <v>50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 t="str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550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388</v>
      </c>
      <c r="B41" s="383">
        <f>IF(B38="YES",D38+A41,D38)</f>
        <v>550</v>
      </c>
      <c r="C41" s="383"/>
      <c r="D41" s="346" t="s">
        <v>392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46" t="s">
        <v>394</v>
      </c>
      <c r="C44" s="346"/>
      <c r="D44" s="346" t="s">
        <v>396</v>
      </c>
      <c r="E44" s="346"/>
      <c r="F44" s="55"/>
      <c r="G44" s="55" t="s">
        <v>264</v>
      </c>
      <c r="H44" s="5" t="str">
        <f>H32</f>
        <v>50</v>
      </c>
      <c r="I44" s="276">
        <f>((A41*(B35-1))+D32)/B35</f>
        <v>50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551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401" t="s">
        <v>396</v>
      </c>
      <c r="C47" s="401"/>
      <c r="D47" s="346" t="s">
        <v>396</v>
      </c>
      <c r="E47" s="346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551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22200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v>37404</v>
      </c>
      <c r="C67" s="158"/>
      <c r="D67" s="158"/>
      <c r="E67" s="159"/>
      <c r="F67" s="55"/>
      <c r="G67" s="157" t="s">
        <v>27</v>
      </c>
      <c r="H67" s="28">
        <f>G18</f>
        <v>37404</v>
      </c>
      <c r="I67" s="158"/>
      <c r="J67" s="158"/>
      <c r="K67" s="159"/>
      <c r="L67" s="55"/>
      <c r="M67" s="157" t="s">
        <v>27</v>
      </c>
      <c r="N67" s="28">
        <f>G18</f>
        <v>37404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B66*B69</f>
        <v>1554.0000000000002</v>
      </c>
      <c r="C70" s="158">
        <v>10000</v>
      </c>
      <c r="D70" s="28">
        <f>B70-A149</f>
        <v>1554.0000000000002</v>
      </c>
      <c r="E70" s="159">
        <f>D70/12</f>
        <v>129.50000000000003</v>
      </c>
      <c r="F70" s="55"/>
      <c r="G70" s="206" t="s">
        <v>102</v>
      </c>
      <c r="H70" s="57">
        <f>H67*H69</f>
        <v>2618.2800000000002</v>
      </c>
      <c r="I70" s="158"/>
      <c r="J70" s="28">
        <f>H70-G151</f>
        <v>2618.2800000000002</v>
      </c>
      <c r="K70" s="159"/>
      <c r="L70" s="55"/>
      <c r="M70" s="206" t="s">
        <v>102</v>
      </c>
      <c r="N70" s="57">
        <f>N67*N69</f>
        <v>2618.2800000000002</v>
      </c>
      <c r="O70" s="158"/>
      <c r="P70" s="28">
        <f>N70-M151</f>
        <v>2618.2800000000002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187.02</v>
      </c>
      <c r="I73" s="158"/>
      <c r="J73" s="28"/>
      <c r="K73" s="159"/>
      <c r="L73" s="55"/>
      <c r="M73" s="206" t="s">
        <v>105</v>
      </c>
      <c r="N73" s="57">
        <f>N67*N72</f>
        <v>187.02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165</v>
      </c>
      <c r="C80" s="158"/>
      <c r="D80" s="158"/>
      <c r="E80" s="274">
        <f>E79+D82</f>
        <v>838.75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69.895833333333329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178.75</v>
      </c>
      <c r="C82" s="158"/>
      <c r="D82" s="28">
        <f>IF(A50="YES",0,B82)</f>
        <v>178.75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3059.416666666667</v>
      </c>
      <c r="C87" s="158"/>
      <c r="D87" s="158"/>
      <c r="E87" s="159"/>
      <c r="F87" s="55"/>
      <c r="G87" s="220" t="s">
        <v>114</v>
      </c>
      <c r="H87" s="221">
        <f>SUM(J70:J86)</f>
        <v>5744.7800000000007</v>
      </c>
      <c r="I87" s="158"/>
      <c r="J87" s="158"/>
      <c r="K87" s="159"/>
      <c r="L87" s="55"/>
      <c r="M87" s="220" t="s">
        <v>114</v>
      </c>
      <c r="N87" s="221">
        <f>SUM(P70:P86)</f>
        <v>5732.2800000000007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254.95138888888891</v>
      </c>
      <c r="C88" s="158"/>
      <c r="D88" s="158"/>
      <c r="E88" s="159"/>
      <c r="F88" s="55"/>
      <c r="G88" s="157" t="s">
        <v>115</v>
      </c>
      <c r="H88" s="29">
        <f>H87/H29</f>
        <v>478.73166666666674</v>
      </c>
      <c r="I88" s="158"/>
      <c r="J88" s="158"/>
      <c r="K88" s="159"/>
      <c r="L88" s="55"/>
      <c r="M88" s="157" t="s">
        <v>115</v>
      </c>
      <c r="N88" s="29">
        <f>N87/H29</f>
        <v>477.69000000000005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9071.4166666666679</v>
      </c>
      <c r="C91" s="158"/>
      <c r="D91" s="158"/>
      <c r="E91" s="159"/>
      <c r="F91" s="55"/>
      <c r="G91" s="209" t="s">
        <v>126</v>
      </c>
      <c r="H91" s="24">
        <f>((H89*H29)+H87)*1.2</f>
        <v>14108.136</v>
      </c>
      <c r="I91" s="158"/>
      <c r="J91" s="158"/>
      <c r="K91" s="159"/>
      <c r="L91" s="55"/>
      <c r="M91" s="209" t="s">
        <v>126</v>
      </c>
      <c r="N91" s="24">
        <f>((N89*H29)+N87)</f>
        <v>11744.28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76.845401371520794</v>
      </c>
      <c r="C92" s="158"/>
      <c r="D92" s="158"/>
      <c r="E92" s="283"/>
      <c r="F92" s="55"/>
      <c r="G92" s="157" t="s">
        <v>127</v>
      </c>
      <c r="H92" s="29">
        <f>(((H89*H29)+H87)/(1-H76))*H76</f>
        <v>99.593537716821317</v>
      </c>
      <c r="I92" s="158"/>
      <c r="J92" s="158"/>
      <c r="K92" s="159"/>
      <c r="L92" s="55"/>
      <c r="M92" s="157" t="s">
        <v>127</v>
      </c>
      <c r="N92" s="29">
        <f>(N91/(1-N76))*N76</f>
        <v>99.487648245260203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9148.2620680381879</v>
      </c>
      <c r="C93" s="158"/>
      <c r="D93" s="158"/>
      <c r="E93" s="159"/>
      <c r="F93" s="55"/>
      <c r="G93" s="206" t="s">
        <v>128</v>
      </c>
      <c r="H93" s="57">
        <f>IF(H116="YES",((H91+H92)-K120),(H91+H92))</f>
        <v>16207.729537716821</v>
      </c>
      <c r="I93" s="158"/>
      <c r="J93" s="158"/>
      <c r="K93" s="159"/>
      <c r="L93" s="55"/>
      <c r="M93" s="206" t="s">
        <v>128</v>
      </c>
      <c r="N93" s="57">
        <f>IF(N116="YES",((N91+N92)-K120),(N91+N92))</f>
        <v>13843.767648245261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</f>
        <v>60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762.35517233651569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762.35517233651569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750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5">
        <v>20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750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762.35517233651569</v>
      </c>
      <c r="B134" s="232">
        <f>IF(A111="YES",B95,0)</f>
        <v>0</v>
      </c>
      <c r="C134" s="237"/>
      <c r="D134" s="232">
        <f>B97</f>
        <v>762.35517233651569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762.35517233651569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762.35517233651569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762.35517233651569</v>
      </c>
      <c r="B143" s="34">
        <f>IF(A111="YES",B95,0)</f>
        <v>0</v>
      </c>
      <c r="C143" s="158"/>
      <c r="D143" s="34">
        <f>B97</f>
        <v>762.35517233651569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155.85000000000002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155.85000000000002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22.442400000000003</v>
      </c>
      <c r="B146" s="251">
        <f>G18*0.000002*100</f>
        <v>7.4808000000000003</v>
      </c>
      <c r="C146" s="252"/>
      <c r="D146" s="251">
        <f>A146+B146</f>
        <v>29.923200000000001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12</v>
      </c>
      <c r="H148" s="34">
        <f>G108-100</f>
        <v>139.988</v>
      </c>
      <c r="I148" s="34"/>
      <c r="J148" s="34">
        <f>(H145+J145+G148+H148)-H151</f>
        <v>1387.838</v>
      </c>
      <c r="K148" s="90"/>
      <c r="L148" s="55"/>
      <c r="M148" s="94">
        <f>IF(M111="YES",((A41*N111)*0.1)*(M133),0)</f>
        <v>12</v>
      </c>
      <c r="N148" s="34">
        <f>M108-100</f>
        <v>99.990000000000009</v>
      </c>
      <c r="O148" s="34"/>
      <c r="P148" s="34">
        <f>(N145+P145+M148+N148)-N151</f>
        <v>1347.84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750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762.35517233651569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762.35517233651569</v>
      </c>
      <c r="B177" s="232">
        <f>IF(A111="YES",B95,0)</f>
        <v>0</v>
      </c>
      <c r="C177" s="237"/>
      <c r="D177" s="232">
        <f>B91</f>
        <v>9071.4166666666679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762.35517233651569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762.35517233651569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762.35517233651569</v>
      </c>
      <c r="B186" s="34">
        <f>IF(A111="YES",B95,0)</f>
        <v>0</v>
      </c>
      <c r="C186" s="158"/>
      <c r="D186" s="34">
        <f>B97</f>
        <v>762.35517233651569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22.442400000000003</v>
      </c>
      <c r="B189" s="251">
        <f>G18*0.000002*100</f>
        <v>7.4808000000000003</v>
      </c>
      <c r="C189" s="252"/>
      <c r="D189" s="251">
        <f>A189+B189</f>
        <v>29.923200000000001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750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B154</f>
        <v>400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1554.0000000000002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465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1919.0000000000002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1554.0000000000002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1919.0000000000002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76.845401371520794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165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B47:C47"/>
    <mergeCell ref="D47:E47"/>
    <mergeCell ref="A56:A57"/>
    <mergeCell ref="B56:C56"/>
    <mergeCell ref="B57:C57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B38 A111 G111 M111 O113 B116 H116 N116" xr:uid="{00000000-0002-0000-2300-000001000000}">
      <formula1>$Z$19:$Z$20</formula1>
      <formula2>0</formula2>
    </dataValidation>
    <dataValidation type="list" allowBlank="1" showErrorMessage="1" sqref="H105 N105" xr:uid="{00000000-0002-0000-2300-000003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3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2300-000002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Z1000"/>
  <sheetViews>
    <sheetView topLeftCell="A175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18500</v>
      </c>
      <c r="C9" s="11">
        <f>B9*0.2</f>
        <v>3700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37404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0.00</v>
      </c>
      <c r="E32" s="381"/>
      <c r="F32" s="55"/>
      <c r="G32" s="168" t="s">
        <v>253</v>
      </c>
      <c r="H32" s="166" t="str">
        <f>A41</f>
        <v>0.00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399</v>
      </c>
      <c r="B41" s="383">
        <f>IF(B38="YES",D38+A41,D38)</f>
        <v>500</v>
      </c>
      <c r="C41" s="383"/>
      <c r="D41" s="385">
        <v>6000</v>
      </c>
      <c r="E41" s="385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 t="str">
        <f>H32</f>
        <v>0.00</v>
      </c>
      <c r="I44" s="276">
        <f>((A41*(B35-1))+D32)/B35</f>
        <v>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501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B65" s="158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22200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v>37404</v>
      </c>
      <c r="C67" s="158"/>
      <c r="D67" s="158"/>
      <c r="E67" s="159"/>
      <c r="F67" s="55"/>
      <c r="G67" s="157" t="s">
        <v>27</v>
      </c>
      <c r="H67" s="28">
        <f>G18</f>
        <v>37404</v>
      </c>
      <c r="I67" s="158"/>
      <c r="J67" s="158"/>
      <c r="K67" s="159"/>
      <c r="L67" s="55"/>
      <c r="M67" s="157" t="s">
        <v>27</v>
      </c>
      <c r="N67" s="28">
        <f>G18</f>
        <v>37404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B66*B69</f>
        <v>1554.0000000000002</v>
      </c>
      <c r="C70" s="158">
        <v>10000</v>
      </c>
      <c r="D70" s="28">
        <f>B70-A149</f>
        <v>1554.0000000000002</v>
      </c>
      <c r="E70" s="159">
        <f>D70/12</f>
        <v>129.50000000000003</v>
      </c>
      <c r="F70" s="55"/>
      <c r="G70" s="206" t="s">
        <v>102</v>
      </c>
      <c r="H70" s="57">
        <f>H67*H69</f>
        <v>2618.2800000000002</v>
      </c>
      <c r="I70" s="158"/>
      <c r="J70" s="28">
        <f>H70-G151</f>
        <v>2618.2800000000002</v>
      </c>
      <c r="K70" s="159"/>
      <c r="L70" s="55"/>
      <c r="M70" s="206" t="s">
        <v>102</v>
      </c>
      <c r="N70" s="57">
        <f>N67*N69</f>
        <v>2618.2800000000002</v>
      </c>
      <c r="O70" s="158"/>
      <c r="P70" s="28">
        <f>N70-M151</f>
        <v>2618.2800000000002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187.02</v>
      </c>
      <c r="I73" s="158"/>
      <c r="J73" s="28"/>
      <c r="K73" s="159"/>
      <c r="L73" s="55"/>
      <c r="M73" s="206" t="s">
        <v>105</v>
      </c>
      <c r="N73" s="57">
        <f>N67*N72</f>
        <v>187.02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77" t="s">
        <v>285</v>
      </c>
      <c r="B80" s="278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79" t="s">
        <v>286</v>
      </c>
      <c r="B81" s="280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((B80+B81)/12)*(H29-11)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222.22222222222223</v>
      </c>
      <c r="C83" s="158"/>
      <c r="D83" s="28">
        <f>B83</f>
        <v>222.22222222222223</v>
      </c>
      <c r="E83" s="159">
        <f>D83/12</f>
        <v>18.518518518518519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2658.4444444444448</v>
      </c>
      <c r="C87" s="158"/>
      <c r="D87" s="158"/>
      <c r="E87" s="159"/>
      <c r="F87" s="55"/>
      <c r="G87" s="220" t="s">
        <v>114</v>
      </c>
      <c r="H87" s="221">
        <f>SUM(J70:J86)</f>
        <v>5744.7800000000007</v>
      </c>
      <c r="I87" s="158"/>
      <c r="J87" s="158"/>
      <c r="K87" s="159"/>
      <c r="L87" s="55"/>
      <c r="M87" s="220" t="s">
        <v>114</v>
      </c>
      <c r="N87" s="221">
        <f>SUM(P70:P86)</f>
        <v>5732.2800000000007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221.53703703703707</v>
      </c>
      <c r="C88" s="158"/>
      <c r="D88" s="158"/>
      <c r="E88" s="159"/>
      <c r="F88" s="55"/>
      <c r="G88" s="157" t="s">
        <v>115</v>
      </c>
      <c r="H88" s="29">
        <f>H87/H29</f>
        <v>478.73166666666674</v>
      </c>
      <c r="I88" s="158"/>
      <c r="J88" s="158"/>
      <c r="K88" s="159"/>
      <c r="L88" s="55"/>
      <c r="M88" s="157" t="s">
        <v>115</v>
      </c>
      <c r="N88" s="29">
        <f>N87/H29</f>
        <v>477.69000000000005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8670.4444444444453</v>
      </c>
      <c r="C91" s="158"/>
      <c r="D91" s="158"/>
      <c r="E91" s="159"/>
      <c r="F91" s="55"/>
      <c r="G91" s="209" t="s">
        <v>126</v>
      </c>
      <c r="H91" s="24">
        <f>((H89*H29)+H87)*1.2</f>
        <v>14108.136</v>
      </c>
      <c r="I91" s="158"/>
      <c r="J91" s="158"/>
      <c r="K91" s="159"/>
      <c r="L91" s="55"/>
      <c r="M91" s="209" t="s">
        <v>126</v>
      </c>
      <c r="N91" s="24">
        <f>((N89*H29)+N87)</f>
        <v>11744.28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73.448702433777072</v>
      </c>
      <c r="C92" s="158"/>
      <c r="D92" s="158"/>
      <c r="E92" s="283"/>
      <c r="F92" s="55"/>
      <c r="G92" s="157" t="s">
        <v>127</v>
      </c>
      <c r="H92" s="29">
        <f>(((H89*H29)+H87)/(1-H76))*H76</f>
        <v>99.593537716821317</v>
      </c>
      <c r="I92" s="158"/>
      <c r="J92" s="158"/>
      <c r="K92" s="159"/>
      <c r="L92" s="55"/>
      <c r="M92" s="157" t="s">
        <v>127</v>
      </c>
      <c r="N92" s="29">
        <f>(N91/(1-N76))*N76</f>
        <v>99.487648245260203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8743.893146878223</v>
      </c>
      <c r="C93" s="158"/>
      <c r="D93" s="158"/>
      <c r="E93" s="159"/>
      <c r="F93" s="55"/>
      <c r="G93" s="206" t="s">
        <v>128</v>
      </c>
      <c r="H93" s="57">
        <f>IF(H116="YES",((H91+H92)-K120),(H91+H92))</f>
        <v>16207.729537716821</v>
      </c>
      <c r="I93" s="158"/>
      <c r="J93" s="158"/>
      <c r="K93" s="159"/>
      <c r="L93" s="55"/>
      <c r="M93" s="206" t="s">
        <v>128</v>
      </c>
      <c r="N93" s="57">
        <f>IF(N116="YES",((N91+N92)-K120),(N91+N92))</f>
        <v>13843.767648245261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</f>
        <v>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728.65776223985188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728.65776223985188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345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900</v>
      </c>
      <c r="B108" s="348">
        <v>200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5">
        <v>20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900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2080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728.65776223985188</v>
      </c>
      <c r="B134" s="232">
        <f>IF(A111="YES",B95,0)</f>
        <v>0</v>
      </c>
      <c r="C134" s="237"/>
      <c r="D134" s="232">
        <f>B97</f>
        <v>728.65776223985188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728.65776223985188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728.65776223985188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728.65776223985188</v>
      </c>
      <c r="B143" s="34">
        <f>IF(A111="YES",B95,0)</f>
        <v>0</v>
      </c>
      <c r="C143" s="158"/>
      <c r="D143" s="34">
        <f>B97</f>
        <v>728.65776223985188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155.85000000000002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155.85000000000002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22.442400000000003</v>
      </c>
      <c r="B146" s="251">
        <f>G18*0.000002*100</f>
        <v>7.4808000000000003</v>
      </c>
      <c r="C146" s="252"/>
      <c r="D146" s="251">
        <f>A146+B146</f>
        <v>29.923200000000001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0</v>
      </c>
      <c r="H148" s="34">
        <f>G108-100</f>
        <v>139.988</v>
      </c>
      <c r="I148" s="34"/>
      <c r="J148" s="34">
        <f>(H145+J145+G148+H148)-H151</f>
        <v>1375.838</v>
      </c>
      <c r="K148" s="90"/>
      <c r="L148" s="55"/>
      <c r="M148" s="94">
        <f>IF(M111="YES",((A41*N111)*0.1)*(M133),0)</f>
        <v>0</v>
      </c>
      <c r="N148" s="34">
        <f>M108-100</f>
        <v>99.990000000000009</v>
      </c>
      <c r="O148" s="34"/>
      <c r="P148" s="34">
        <f>(N145+P145+M148+N148)-N151</f>
        <v>1335.84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900</v>
      </c>
      <c r="C149" s="158"/>
      <c r="D149" s="119">
        <f>B108</f>
        <v>200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200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325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728.65776223985188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728.65776223985188</v>
      </c>
      <c r="B177" s="232">
        <f>IF(A111="YES",B95,0)</f>
        <v>0</v>
      </c>
      <c r="C177" s="237"/>
      <c r="D177" s="232">
        <f>B91</f>
        <v>8670.4444444444453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728.65776223985188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728.65776223985188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728.65776223985188</v>
      </c>
      <c r="B186" s="34">
        <f>IF(A111="YES",B95,0)</f>
        <v>0</v>
      </c>
      <c r="C186" s="158"/>
      <c r="D186" s="34">
        <f>B97</f>
        <v>728.65776223985188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22.442400000000003</v>
      </c>
      <c r="B189" s="251">
        <f>G18*0.000002*100</f>
        <v>7.4808000000000003</v>
      </c>
      <c r="C189" s="252"/>
      <c r="D189" s="251">
        <f>A189+B189</f>
        <v>29.923200000000001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900</v>
      </c>
      <c r="C192" s="158"/>
      <c r="D192" s="119">
        <f>B108</f>
        <v>200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200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325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1554.0000000000002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445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1899.0000000000002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1554.0000000000002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20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1899.0000000000002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73.448702433777072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B47:C47"/>
    <mergeCell ref="D47:E47"/>
    <mergeCell ref="A56:A57"/>
    <mergeCell ref="B56:C56"/>
    <mergeCell ref="B57:C57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H105 N105" xr:uid="{00000000-0002-0000-2400-000000000000}">
      <formula1>$Y$103:$Y$112</formula1>
      <formula2>0</formula2>
    </dataValidation>
    <dataValidation type="list" allowBlank="1" showErrorMessage="1" sqref="B38 A111 G111 M111 O113 B116 H116 N116" xr:uid="{00000000-0002-0000-2400-000002000000}">
      <formula1>$Z$19:$Z$20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400-000001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2400-000003000000}">
          <x14:formula1>
            <xm:f>'FL (Formula 3) - BCH, PCH, FL'!$Z$103:$Z$111</xm:f>
          </x14:formula1>
          <x14:formula2>
            <xm:f>0</xm:f>
          </x14:formula2>
          <xm:sqref>B65 B105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1000"/>
  <sheetViews>
    <sheetView topLeftCell="A184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17875</v>
      </c>
      <c r="C2" s="6" t="s">
        <v>16</v>
      </c>
      <c r="D2" s="7">
        <f>C9</f>
        <v>3575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21450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17875</v>
      </c>
      <c r="C9" s="11">
        <f>B9*0.2</f>
        <v>3575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17875</v>
      </c>
      <c r="C15" s="11">
        <f>SUM(C9:C13)</f>
        <v>3575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37404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21450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17875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1000</v>
      </c>
      <c r="E32" s="381"/>
      <c r="F32" s="55"/>
      <c r="G32" s="168" t="s">
        <v>253</v>
      </c>
      <c r="H32" s="166">
        <f>A41</f>
        <v>1000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1500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410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>
        <v>1000</v>
      </c>
      <c r="B41" s="383">
        <f>IF(B38="YES",D38+A41,D38)</f>
        <v>1500</v>
      </c>
      <c r="C41" s="383"/>
      <c r="D41" s="385">
        <v>6000</v>
      </c>
      <c r="E41" s="385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1000</v>
      </c>
      <c r="I44" s="276">
        <f>((A41*(B35-1))+D32)/B35</f>
        <v>1000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1501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1501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21450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v>37404</v>
      </c>
      <c r="C67" s="158"/>
      <c r="D67" s="158"/>
      <c r="E67" s="159"/>
      <c r="F67" s="55"/>
      <c r="G67" s="157" t="s">
        <v>27</v>
      </c>
      <c r="H67" s="28">
        <f>G18</f>
        <v>37404</v>
      </c>
      <c r="I67" s="158"/>
      <c r="J67" s="158"/>
      <c r="K67" s="159"/>
      <c r="L67" s="55"/>
      <c r="M67" s="157" t="s">
        <v>27</v>
      </c>
      <c r="N67" s="28">
        <f>G18</f>
        <v>37404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C70</f>
        <v>10000</v>
      </c>
      <c r="C70" s="158">
        <v>10000</v>
      </c>
      <c r="D70" s="28">
        <f>B70-A149</f>
        <v>10000</v>
      </c>
      <c r="E70" s="159">
        <f>D70/12</f>
        <v>833.33333333333337</v>
      </c>
      <c r="F70" s="55"/>
      <c r="G70" s="206" t="s">
        <v>102</v>
      </c>
      <c r="H70" s="57">
        <f>H67*H69</f>
        <v>2618.2800000000002</v>
      </c>
      <c r="I70" s="158"/>
      <c r="J70" s="28">
        <f>H70-G151</f>
        <v>2618.2800000000002</v>
      </c>
      <c r="K70" s="159"/>
      <c r="L70" s="55"/>
      <c r="M70" s="206" t="s">
        <v>102</v>
      </c>
      <c r="N70" s="57">
        <f>N67*N69</f>
        <v>2618.2800000000002</v>
      </c>
      <c r="O70" s="158"/>
      <c r="P70" s="28">
        <f>N70-M151</f>
        <v>2618.2800000000002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250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250</v>
      </c>
      <c r="C73" s="158"/>
      <c r="D73" s="28"/>
      <c r="E73" s="159"/>
      <c r="F73" s="55"/>
      <c r="G73" s="206" t="s">
        <v>105</v>
      </c>
      <c r="H73" s="57">
        <f>H67*H72</f>
        <v>187.02</v>
      </c>
      <c r="I73" s="158"/>
      <c r="J73" s="28"/>
      <c r="K73" s="159"/>
      <c r="L73" s="55"/>
      <c r="M73" s="206" t="s">
        <v>105</v>
      </c>
      <c r="N73" s="57">
        <f>N67*N72</f>
        <v>187.02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160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4.5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54</v>
      </c>
      <c r="C79" s="158"/>
      <c r="D79" s="28">
        <f>B79+B77</f>
        <v>214</v>
      </c>
      <c r="E79" s="274">
        <f>D79+D85+D86</f>
        <v>614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180</v>
      </c>
      <c r="C80" s="158"/>
      <c r="D80" s="158"/>
      <c r="E80" s="274">
        <f>E79+D82</f>
        <v>809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67.416666666666671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195</v>
      </c>
      <c r="C82" s="158"/>
      <c r="D82" s="28">
        <f>IF(A50="YES",0,B82)</f>
        <v>195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300</v>
      </c>
      <c r="C85" s="158"/>
      <c r="D85" s="28">
        <f>B85</f>
        <v>300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100</v>
      </c>
      <c r="C86" s="158"/>
      <c r="D86" s="28">
        <f>B86</f>
        <v>100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11475.666666666668</v>
      </c>
      <c r="C87" s="158"/>
      <c r="D87" s="158"/>
      <c r="E87" s="159"/>
      <c r="F87" s="55"/>
      <c r="G87" s="220" t="s">
        <v>114</v>
      </c>
      <c r="H87" s="221">
        <f>SUM(J70:J86)</f>
        <v>5744.7800000000007</v>
      </c>
      <c r="I87" s="158"/>
      <c r="J87" s="158"/>
      <c r="K87" s="159"/>
      <c r="L87" s="55"/>
      <c r="M87" s="220" t="s">
        <v>114</v>
      </c>
      <c r="N87" s="221">
        <f>SUM(P70:P86)</f>
        <v>5732.2800000000007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956.30555555555566</v>
      </c>
      <c r="C88" s="158"/>
      <c r="D88" s="158"/>
      <c r="E88" s="159"/>
      <c r="F88" s="55"/>
      <c r="G88" s="157" t="s">
        <v>115</v>
      </c>
      <c r="H88" s="29">
        <f>H87/H29</f>
        <v>478.73166666666674</v>
      </c>
      <c r="I88" s="158"/>
      <c r="J88" s="158"/>
      <c r="K88" s="159"/>
      <c r="L88" s="55"/>
      <c r="M88" s="157" t="s">
        <v>115</v>
      </c>
      <c r="N88" s="29">
        <f>N87/H29</f>
        <v>477.69000000000005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((B89*H29)+B87)*1.2</f>
        <v>20985.200000000001</v>
      </c>
      <c r="C91" s="158"/>
      <c r="D91" s="158"/>
      <c r="E91" s="159"/>
      <c r="F91" s="55"/>
      <c r="G91" s="209" t="s">
        <v>126</v>
      </c>
      <c r="H91" s="24">
        <f>((H89*H29)+H87)*1.2</f>
        <v>14108.136</v>
      </c>
      <c r="I91" s="158"/>
      <c r="J91" s="158"/>
      <c r="K91" s="159"/>
      <c r="L91" s="55"/>
      <c r="M91" s="209" t="s">
        <v>126</v>
      </c>
      <c r="N91" s="24">
        <f>((N89*H29)+N87)</f>
        <v>11744.28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148.14078257361842</v>
      </c>
      <c r="C92" s="158"/>
      <c r="D92" s="158"/>
      <c r="E92" s="283"/>
      <c r="F92" s="55"/>
      <c r="G92" s="157" t="s">
        <v>127</v>
      </c>
      <c r="H92" s="29">
        <f>(((H89*H29)+H87)/(1-H76))*H76</f>
        <v>99.593537716821317</v>
      </c>
      <c r="I92" s="158"/>
      <c r="J92" s="158"/>
      <c r="K92" s="159"/>
      <c r="L92" s="55"/>
      <c r="M92" s="157" t="s">
        <v>127</v>
      </c>
      <c r="N92" s="29">
        <f>(N91/(1-N76))*N76</f>
        <v>99.487648245260203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21133.340782573618</v>
      </c>
      <c r="C93" s="158"/>
      <c r="D93" s="158"/>
      <c r="E93" s="159"/>
      <c r="F93" s="55"/>
      <c r="G93" s="206" t="s">
        <v>128</v>
      </c>
      <c r="H93" s="57">
        <f>IF(H116="YES",((H91+H92)-K120),(H91+H92))</f>
        <v>16207.729537716821</v>
      </c>
      <c r="I93" s="158"/>
      <c r="J93" s="158"/>
      <c r="K93" s="159"/>
      <c r="L93" s="55"/>
      <c r="M93" s="206" t="s">
        <v>128</v>
      </c>
      <c r="N93" s="57">
        <f>IF(N116="YES",((N91+N92)-K120),(N91+N92))</f>
        <v>13843.767648245261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IF(B105=Z104,(((H44*B35)+(H44*B35)*(B111/100))/(B64)),(((H44*B35)+(H44*B35)*(B111/100))/(B63+B64)))*1.2</f>
        <v>1570.9090909090908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1881.2127984157835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3452.1218893248742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290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270</v>
      </c>
      <c r="C105" s="395"/>
      <c r="D105" s="399">
        <v>6300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410</v>
      </c>
      <c r="B111" s="395">
        <v>20</v>
      </c>
      <c r="C111" s="395"/>
      <c r="D111" s="348">
        <v>440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6300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(E124+E123)-E120</f>
        <v>6300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1881.2127984157835</v>
      </c>
      <c r="B134" s="232">
        <f>IF(A111="YES",B95,0)</f>
        <v>1570.9090909090908</v>
      </c>
      <c r="C134" s="237"/>
      <c r="D134" s="232">
        <f>B97</f>
        <v>3452.1218893248742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Spread rentals initial payment </v>
      </c>
      <c r="B137" s="34">
        <f>B96*B63</f>
        <v>1881.2127984157835</v>
      </c>
      <c r="C137" s="158"/>
      <c r="D137" s="34">
        <f>IF(A111="YES",B95*B63,0)</f>
        <v>1570.9090909090908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3452.1218893248742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1881.2127984157835</v>
      </c>
      <c r="B143" s="34">
        <f>IF(A111="YES",B95,0)</f>
        <v>1570.9090909090908</v>
      </c>
      <c r="C143" s="158"/>
      <c r="D143" s="34">
        <f>B97</f>
        <v>3452.1218893248742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155.85000000000002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155.85000000000002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(G18*0.000006)*1.2*100</f>
        <v>26.930880000000002</v>
      </c>
      <c r="B146" s="251">
        <f>G18*0.000002*1.2*100</f>
        <v>8.9769599999999983</v>
      </c>
      <c r="C146" s="252"/>
      <c r="D146" s="251">
        <f>A146+B146</f>
        <v>35.90784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240</v>
      </c>
      <c r="H148" s="34">
        <f>G108-100</f>
        <v>139.988</v>
      </c>
      <c r="I148" s="34"/>
      <c r="J148" s="34">
        <f>(H145+J145+G148+H148)-H151</f>
        <v>1615.838</v>
      </c>
      <c r="K148" s="90"/>
      <c r="L148" s="55"/>
      <c r="M148" s="94">
        <f>IF(M111="YES",((A41*N111)*0.1)*(M133),0)</f>
        <v>240</v>
      </c>
      <c r="N148" s="34">
        <f>M108-100</f>
        <v>99.990000000000009</v>
      </c>
      <c r="O148" s="34"/>
      <c r="P148" s="34">
        <f>(N145+P145+M148+N148)-N151</f>
        <v>1575.84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250</v>
      </c>
      <c r="B154" s="34">
        <f>B108</f>
        <v>400</v>
      </c>
      <c r="C154" s="34"/>
      <c r="D154" s="34">
        <f>IF(A111="YES",(A41/100*B111)*B131,0)*0.1</f>
        <v>240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20</v>
      </c>
      <c r="B157" s="34">
        <f>(A154+B154+D154+A157)*(A149/B70)</f>
        <v>0</v>
      </c>
      <c r="C157" s="34"/>
      <c r="D157" s="34">
        <f>(A154+B154+D154+A157)-B157-A160</f>
        <v>710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3452.1218893248742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1881.2127984157835</v>
      </c>
      <c r="B177" s="232">
        <f>IF(A111="YES",B95,0)</f>
        <v>1570.9090909090908</v>
      </c>
      <c r="C177" s="237"/>
      <c r="D177" s="232">
        <f>B91</f>
        <v>20985.200000000001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Spread rentals initial payment </v>
      </c>
      <c r="B180" s="34">
        <f>B96*B63</f>
        <v>1881.2127984157835</v>
      </c>
      <c r="C180" s="158"/>
      <c r="D180" s="34">
        <f>IF(A111="YES",B95*B63,0)</f>
        <v>1570.9090909090908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3452.1218893248742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1881.2127984157835</v>
      </c>
      <c r="B186" s="34">
        <f>IF(A111="YES",B95,0)</f>
        <v>1570.9090909090908</v>
      </c>
      <c r="C186" s="158"/>
      <c r="D186" s="34">
        <f>B97</f>
        <v>3452.1218893248742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(G18*0.000006)*1.2*100</f>
        <v>26.930880000000002</v>
      </c>
      <c r="B189" s="251">
        <f>G18*0.000002*1.2*100</f>
        <v>8.9769599999999983</v>
      </c>
      <c r="C189" s="252"/>
      <c r="D189" s="251">
        <f>A189+B189</f>
        <v>35.90784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250</v>
      </c>
      <c r="B197" s="34">
        <f>B108</f>
        <v>400</v>
      </c>
      <c r="C197" s="34"/>
      <c r="D197" s="34">
        <f>IF(A111="YES",(A41/100*B111)*B131,0)*0.1</f>
        <v>240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20</v>
      </c>
      <c r="B200" s="34">
        <f>(A154+B154+D154+A157)*(A149/B70)</f>
        <v>0</v>
      </c>
      <c r="C200" s="34"/>
      <c r="D200" s="34">
        <f>D157</f>
        <v>710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10000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250</v>
      </c>
      <c r="C211" s="231" t="s">
        <v>229</v>
      </c>
      <c r="D211" s="261">
        <f>B225+E221+B221+B223</f>
        <v>2660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12410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10000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250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20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12410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2400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160</v>
      </c>
      <c r="C229" s="163" t="s">
        <v>238</v>
      </c>
      <c r="D229" s="254"/>
      <c r="E229" s="118">
        <f>B78</f>
        <v>4.5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214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148.14078257361842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300</v>
      </c>
      <c r="C233" s="268" t="s">
        <v>336</v>
      </c>
      <c r="D233" s="269"/>
      <c r="E233" s="118">
        <f>B80</f>
        <v>180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100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B47:C47"/>
    <mergeCell ref="D47:E47"/>
    <mergeCell ref="A56:A57"/>
    <mergeCell ref="B56:C56"/>
    <mergeCell ref="B57:C57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H105 N105" xr:uid="{00000000-0002-0000-2500-000001000000}">
      <formula1>$Y$103:$Y$112</formula1>
      <formula2>0</formula2>
    </dataValidation>
    <dataValidation type="list" allowBlank="1" showErrorMessage="1" sqref="B38 A111 G111 M111 O113 B116 H116 N116" xr:uid="{00000000-0002-0000-2500-000003000000}">
      <formula1>$Z$19:$Z$20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500-000000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  <x14:dataValidation type="list" allowBlank="1" showErrorMessage="1" xr:uid="{00000000-0002-0000-2500-000002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1000"/>
  <sheetViews>
    <sheetView topLeftCell="A217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60000</v>
      </c>
      <c r="C2" s="6" t="s">
        <v>16</v>
      </c>
      <c r="D2" s="7">
        <f>C9</f>
        <v>12000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72000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60000</v>
      </c>
      <c r="C9" s="11">
        <f>B9*0.2</f>
        <v>12000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60000</v>
      </c>
      <c r="C15" s="11">
        <f>SUM(C9:C13)</f>
        <v>12000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28">
        <v>37404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72000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60000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0.00</v>
      </c>
      <c r="E32" s="381"/>
      <c r="F32" s="55"/>
      <c r="G32" s="168" t="s">
        <v>253</v>
      </c>
      <c r="H32" s="166" t="str">
        <f>A41</f>
        <v>0.00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399</v>
      </c>
      <c r="B41" s="383">
        <f>IF(B38="YES",D38+A41,D38)</f>
        <v>500</v>
      </c>
      <c r="C41" s="383"/>
      <c r="D41" s="385">
        <v>6000</v>
      </c>
      <c r="E41" s="385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 t="str">
        <f>H32</f>
        <v>0.00</v>
      </c>
      <c r="I44" s="276">
        <f>((A41*(B35-1))+D32)/B35</f>
        <v>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501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282</v>
      </c>
      <c r="B66" s="158">
        <f>E19</f>
        <v>72000</v>
      </c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v>37404</v>
      </c>
      <c r="C67" s="158"/>
      <c r="D67" s="158"/>
      <c r="E67" s="159"/>
      <c r="F67" s="55"/>
      <c r="G67" s="157" t="s">
        <v>27</v>
      </c>
      <c r="H67" s="28">
        <f>G18</f>
        <v>37404</v>
      </c>
      <c r="I67" s="158"/>
      <c r="J67" s="158"/>
      <c r="K67" s="159"/>
      <c r="L67" s="55"/>
      <c r="M67" s="157" t="s">
        <v>27</v>
      </c>
      <c r="N67" s="28">
        <f>G18</f>
        <v>37404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B66*B69</f>
        <v>5040.0000000000009</v>
      </c>
      <c r="C70" s="158">
        <v>10000</v>
      </c>
      <c r="D70" s="28">
        <f>B70-A149</f>
        <v>5040.0000000000009</v>
      </c>
      <c r="E70" s="159">
        <f>D70/12</f>
        <v>420.00000000000006</v>
      </c>
      <c r="F70" s="55"/>
      <c r="G70" s="206" t="s">
        <v>102</v>
      </c>
      <c r="H70" s="57">
        <f>H67*H69</f>
        <v>2618.2800000000002</v>
      </c>
      <c r="I70" s="158"/>
      <c r="J70" s="28">
        <f>H70-G151</f>
        <v>2618.2800000000002</v>
      </c>
      <c r="K70" s="159"/>
      <c r="L70" s="55"/>
      <c r="M70" s="206" t="s">
        <v>102</v>
      </c>
      <c r="N70" s="57">
        <f>N67*N69</f>
        <v>2618.2800000000002</v>
      </c>
      <c r="O70" s="158"/>
      <c r="P70" s="28">
        <f>N70-M151</f>
        <v>2618.2800000000002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187.02</v>
      </c>
      <c r="I73" s="158"/>
      <c r="J73" s="28"/>
      <c r="K73" s="159"/>
      <c r="L73" s="55"/>
      <c r="M73" s="206" t="s">
        <v>105</v>
      </c>
      <c r="N73" s="57">
        <f>N67*N72</f>
        <v>187.02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165</v>
      </c>
      <c r="C80" s="158"/>
      <c r="D80" s="158"/>
      <c r="E80" s="274">
        <f>E79+D82</f>
        <v>838.75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69.895833333333329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((B80+B81)/12)*(H29+1)</f>
        <v>178.75</v>
      </c>
      <c r="C82" s="158"/>
      <c r="D82" s="28">
        <f>IF(A50="YES",0,B82)</f>
        <v>178.75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6545.4166666666679</v>
      </c>
      <c r="C87" s="158"/>
      <c r="D87" s="158"/>
      <c r="E87" s="159"/>
      <c r="F87" s="55"/>
      <c r="G87" s="220" t="s">
        <v>114</v>
      </c>
      <c r="H87" s="221">
        <f>SUM(J70:J86)</f>
        <v>5744.7800000000007</v>
      </c>
      <c r="I87" s="158"/>
      <c r="J87" s="158"/>
      <c r="K87" s="159"/>
      <c r="L87" s="55"/>
      <c r="M87" s="220" t="s">
        <v>114</v>
      </c>
      <c r="N87" s="221">
        <f>SUM(P70:P86)</f>
        <v>5732.2800000000007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545.45138888888903</v>
      </c>
      <c r="C88" s="158"/>
      <c r="D88" s="158"/>
      <c r="E88" s="159"/>
      <c r="F88" s="55"/>
      <c r="G88" s="157" t="s">
        <v>115</v>
      </c>
      <c r="H88" s="29">
        <f>H87/H29</f>
        <v>478.73166666666674</v>
      </c>
      <c r="I88" s="158"/>
      <c r="J88" s="158"/>
      <c r="K88" s="159"/>
      <c r="L88" s="55"/>
      <c r="M88" s="157" t="s">
        <v>115</v>
      </c>
      <c r="N88" s="29">
        <f>N87/H29</f>
        <v>477.69000000000005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12557.416666666668</v>
      </c>
      <c r="C91" s="158"/>
      <c r="D91" s="158"/>
      <c r="E91" s="159"/>
      <c r="F91" s="55"/>
      <c r="G91" s="209" t="s">
        <v>126</v>
      </c>
      <c r="H91" s="24">
        <f>((H89*H29)+H87)*1.2</f>
        <v>14108.136</v>
      </c>
      <c r="I91" s="158"/>
      <c r="J91" s="158"/>
      <c r="K91" s="159"/>
      <c r="L91" s="55"/>
      <c r="M91" s="209" t="s">
        <v>126</v>
      </c>
      <c r="N91" s="24">
        <f>((N89*H29)+N87)</f>
        <v>11744.28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106.37585720048409</v>
      </c>
      <c r="C92" s="158"/>
      <c r="D92" s="158"/>
      <c r="E92" s="283"/>
      <c r="F92" s="55"/>
      <c r="G92" s="157" t="s">
        <v>127</v>
      </c>
      <c r="H92" s="29">
        <f>(((H89*H29)+H87)/(1-H76))*H76</f>
        <v>99.593537716821317</v>
      </c>
      <c r="I92" s="158"/>
      <c r="J92" s="158"/>
      <c r="K92" s="159"/>
      <c r="L92" s="55"/>
      <c r="M92" s="157" t="s">
        <v>127</v>
      </c>
      <c r="N92" s="29">
        <f>(N91/(1-N76))*N76</f>
        <v>99.487648245260203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12663.792523867152</v>
      </c>
      <c r="C93" s="158"/>
      <c r="D93" s="158"/>
      <c r="E93" s="159"/>
      <c r="F93" s="55"/>
      <c r="G93" s="206" t="s">
        <v>128</v>
      </c>
      <c r="H93" s="57">
        <f>IF(H116="YES",((H91+H92)-K120),(H91+H92))</f>
        <v>16207.729537716821</v>
      </c>
      <c r="I93" s="158"/>
      <c r="J93" s="158"/>
      <c r="K93" s="159"/>
      <c r="L93" s="55"/>
      <c r="M93" s="206" t="s">
        <v>128</v>
      </c>
      <c r="N93" s="57">
        <f>IF(N116="YES",((N91+N92)-K120),(N91+N92))</f>
        <v>13843.767648245261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</f>
        <v>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1055.3160436555961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1055.3160436555961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750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5">
        <v>20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750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1055.3160436555961</v>
      </c>
      <c r="B134" s="232">
        <f>IF(A111="YES",B95,0)</f>
        <v>0</v>
      </c>
      <c r="C134" s="237"/>
      <c r="D134" s="232">
        <f>B97</f>
        <v>1055.3160436555961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1055.3160436555961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1055.3160436555961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</v>
      </c>
      <c r="H142" s="34">
        <f>IF(G111="YES",E15*0.000002,0)</f>
        <v>0</v>
      </c>
      <c r="I142" s="34"/>
      <c r="J142" s="34">
        <f>G142+H142</f>
        <v>0</v>
      </c>
      <c r="K142" s="90"/>
      <c r="L142" s="55"/>
      <c r="M142" s="94">
        <f>E15*0.000006</f>
        <v>0</v>
      </c>
      <c r="N142" s="34">
        <f>IF(M111="YES",E15*0.000002,0)</f>
        <v>0</v>
      </c>
      <c r="O142" s="34"/>
      <c r="P142" s="34">
        <f>M142+N142</f>
        <v>0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1055.3160436555961</v>
      </c>
      <c r="B143" s="34">
        <f>IF(A111="YES",B95,0)</f>
        <v>0</v>
      </c>
      <c r="C143" s="158"/>
      <c r="D143" s="34">
        <f>B97</f>
        <v>1055.3160436555961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155.85000000000002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155.85000000000002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>
        <f>(G18*0.000006)*100</f>
        <v>22.442400000000003</v>
      </c>
      <c r="B146" s="254">
        <f>G18*0.000002*100</f>
        <v>7.4808000000000003</v>
      </c>
      <c r="C146" s="158"/>
      <c r="D146" s="254">
        <f>A146+B146</f>
        <v>29.923200000000001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0</v>
      </c>
      <c r="H148" s="34">
        <f>G108-100</f>
        <v>139.988</v>
      </c>
      <c r="I148" s="34"/>
      <c r="J148" s="34">
        <f>(H145+J145+G148+H148)-H151</f>
        <v>1375.838</v>
      </c>
      <c r="K148" s="90"/>
      <c r="L148" s="55"/>
      <c r="M148" s="94">
        <f>IF(M111="YES",((A41*N111)*0.1)*(M133),0)</f>
        <v>0</v>
      </c>
      <c r="N148" s="34">
        <f>M108-100</f>
        <v>99.990000000000009</v>
      </c>
      <c r="O148" s="34"/>
      <c r="P148" s="34">
        <f>(N145+P145+M148+N148)-N151</f>
        <v>1335.84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750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1055.3160436555961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1055.3160436555961</v>
      </c>
      <c r="B177" s="232">
        <f>IF(A111="YES",B95,0)</f>
        <v>0</v>
      </c>
      <c r="C177" s="237"/>
      <c r="D177" s="232">
        <f>B91</f>
        <v>12557.416666666668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1055.3160436555961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1055.3160436555961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1055.3160436555961</v>
      </c>
      <c r="B186" s="34">
        <f>IF(A111="YES",B95,0)</f>
        <v>0</v>
      </c>
      <c r="C186" s="158"/>
      <c r="D186" s="34">
        <f>B97</f>
        <v>1055.3160436555961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3">
        <f>(G18*0.000006)*100</f>
        <v>22.442400000000003</v>
      </c>
      <c r="B189" s="254">
        <f>G18*0.000002*100</f>
        <v>7.4808000000000003</v>
      </c>
      <c r="C189" s="158"/>
      <c r="D189" s="254">
        <f>A189+B189</f>
        <v>29.923200000000001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750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5040.0000000000009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465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5405.0000000000009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5040.0000000000009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5405.0000000000009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106.37585720048409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165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B58:C58"/>
    <mergeCell ref="A100:E100"/>
    <mergeCell ref="G100:K100"/>
    <mergeCell ref="M100:Q100"/>
    <mergeCell ref="A102:E102"/>
    <mergeCell ref="G102:K102"/>
    <mergeCell ref="M102:Q102"/>
    <mergeCell ref="B47:C47"/>
    <mergeCell ref="D47:E47"/>
    <mergeCell ref="A56:A57"/>
    <mergeCell ref="B56:C56"/>
    <mergeCell ref="B57:C57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H105 N105" xr:uid="{00000000-0002-0000-2600-000001000000}">
      <formula1>$Y$103:$Y$112</formula1>
      <formula2>0</formula2>
    </dataValidation>
    <dataValidation type="list" allowBlank="1" showErrorMessage="1" sqref="B38 A111 G111 M111 O113 B116 H116 N116" xr:uid="{00000000-0002-0000-2600-000003000000}">
      <formula1>$Z$19:$Z$20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600-000000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  <x14:dataValidation type="list" allowBlank="1" showErrorMessage="1" xr:uid="{00000000-0002-0000-2600-000002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P272"/>
  <sheetViews>
    <sheetView topLeftCell="A252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91" t="s">
        <v>14</v>
      </c>
      <c r="B1" s="391"/>
      <c r="C1" s="391"/>
      <c r="D1" s="391"/>
      <c r="E1" s="391"/>
      <c r="F1" s="391"/>
      <c r="G1" s="86"/>
      <c r="H1" s="86"/>
      <c r="I1" s="5"/>
      <c r="J1" s="5"/>
    </row>
    <row r="2" spans="1:25" ht="2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286"/>
      <c r="H2" s="287"/>
      <c r="I2" s="5"/>
      <c r="J2" s="5"/>
    </row>
    <row r="3" spans="1:25">
      <c r="A3" s="191"/>
      <c r="B3" s="192"/>
      <c r="C3" s="192"/>
      <c r="D3" s="192"/>
      <c r="E3" s="192"/>
      <c r="F3" s="193" t="s">
        <v>10</v>
      </c>
      <c r="G3" s="288"/>
      <c r="H3" s="289"/>
      <c r="I3" s="5"/>
      <c r="J3" s="5"/>
    </row>
    <row r="4" spans="1:25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103"/>
      <c r="H4" s="105"/>
      <c r="I4" s="5"/>
      <c r="J4" s="5"/>
    </row>
    <row r="5" spans="1:25">
      <c r="A5" s="55"/>
      <c r="B5" s="55"/>
      <c r="C5" s="55"/>
      <c r="D5" s="55"/>
      <c r="E5" s="55"/>
      <c r="F5" s="55" t="s">
        <v>10</v>
      </c>
      <c r="G5" s="288"/>
      <c r="H5" s="29"/>
      <c r="I5" s="5"/>
      <c r="J5" s="5"/>
    </row>
    <row r="6" spans="1:25">
      <c r="A6" s="55"/>
      <c r="B6" s="55"/>
      <c r="C6" s="55"/>
      <c r="D6" s="55"/>
      <c r="E6" s="55"/>
      <c r="F6" s="55"/>
      <c r="G6" s="121"/>
      <c r="H6" s="29"/>
      <c r="I6" s="5"/>
      <c r="J6" s="5"/>
    </row>
    <row r="7" spans="1:25">
      <c r="A7" s="12" t="s">
        <v>19</v>
      </c>
      <c r="B7" s="12" t="s">
        <v>20</v>
      </c>
      <c r="C7" s="12" t="s">
        <v>16</v>
      </c>
      <c r="D7" s="392"/>
      <c r="E7" s="392"/>
      <c r="F7" s="55"/>
      <c r="G7" s="121"/>
      <c r="H7" s="29"/>
      <c r="I7" s="5"/>
      <c r="J7" s="5"/>
    </row>
    <row r="8" spans="1:25">
      <c r="A8" s="196"/>
      <c r="B8" s="55"/>
      <c r="C8" s="55"/>
      <c r="D8" s="392"/>
      <c r="E8" s="392"/>
      <c r="F8" s="55"/>
      <c r="G8" s="28"/>
      <c r="H8" s="29"/>
      <c r="I8" s="5"/>
      <c r="J8" s="5"/>
      <c r="L8" s="14" t="s">
        <v>17</v>
      </c>
      <c r="M8" s="11">
        <f>H13+H14</f>
        <v>0</v>
      </c>
    </row>
    <row r="9" spans="1:25" ht="21">
      <c r="A9" s="12" t="s">
        <v>21</v>
      </c>
      <c r="B9" s="15">
        <v>18500</v>
      </c>
      <c r="C9" s="11">
        <f>B9*0.2</f>
        <v>3700</v>
      </c>
      <c r="D9" s="392"/>
      <c r="E9" s="392"/>
      <c r="F9" s="55"/>
      <c r="G9" s="109"/>
      <c r="H9" s="290"/>
      <c r="I9" s="5"/>
      <c r="J9" s="5"/>
      <c r="K9" s="4" t="s">
        <v>31</v>
      </c>
      <c r="L9" s="11"/>
      <c r="M9" s="11"/>
    </row>
    <row r="10" spans="1:25">
      <c r="A10" s="197"/>
      <c r="B10" s="55"/>
      <c r="C10" s="55"/>
      <c r="D10" s="392"/>
      <c r="E10" s="392"/>
      <c r="F10" s="55"/>
      <c r="G10" s="121"/>
      <c r="H10" s="289"/>
      <c r="I10" s="5"/>
      <c r="J10" s="5"/>
      <c r="K10" s="4" t="s">
        <v>32</v>
      </c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121"/>
      <c r="H11" s="29"/>
      <c r="I11" s="5"/>
      <c r="J11" s="5"/>
      <c r="L11" s="11"/>
      <c r="M11" s="11"/>
    </row>
    <row r="12" spans="1:25">
      <c r="A12" s="197"/>
      <c r="B12" s="55"/>
      <c r="C12" s="55"/>
      <c r="D12" s="392"/>
      <c r="E12" s="392"/>
      <c r="F12" s="55"/>
      <c r="G12" s="121"/>
      <c r="H12" s="289"/>
      <c r="I12" s="5"/>
      <c r="J12" s="5"/>
    </row>
    <row r="13" spans="1:25">
      <c r="A13" s="12" t="s">
        <v>23</v>
      </c>
      <c r="B13" s="15">
        <v>0</v>
      </c>
      <c r="C13" s="11"/>
      <c r="D13" s="392"/>
      <c r="E13" s="392"/>
      <c r="F13" s="55"/>
      <c r="G13" s="121"/>
      <c r="H13" s="289"/>
      <c r="I13" s="5"/>
      <c r="J13" s="5"/>
    </row>
    <row r="14" spans="1:25">
      <c r="A14" s="197"/>
      <c r="B14" s="55"/>
      <c r="C14" s="55"/>
      <c r="D14" s="392"/>
      <c r="E14" s="392"/>
      <c r="F14" s="55"/>
      <c r="G14" s="121"/>
      <c r="H14" s="289"/>
      <c r="I14" s="5"/>
      <c r="J14" s="5" t="s">
        <v>24</v>
      </c>
    </row>
    <row r="15" spans="1:25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21"/>
      <c r="H15" s="291"/>
      <c r="I15" s="5"/>
      <c r="J15" s="17">
        <f>H15</f>
        <v>0</v>
      </c>
    </row>
    <row r="16" spans="1:25">
      <c r="A16" s="393"/>
      <c r="B16" s="393"/>
      <c r="C16" s="393"/>
      <c r="D16" s="392"/>
      <c r="E16" s="392"/>
      <c r="F16" s="55"/>
      <c r="G16" s="121"/>
      <c r="H16" s="289"/>
      <c r="I16" s="5"/>
      <c r="J16" s="5"/>
      <c r="Y16" s="18" t="s">
        <v>26</v>
      </c>
    </row>
    <row r="17" spans="1:26">
      <c r="A17" s="393"/>
      <c r="B17" s="393"/>
      <c r="C17" s="393"/>
      <c r="D17" s="392"/>
      <c r="E17" s="392"/>
      <c r="F17" s="55"/>
      <c r="G17" s="34"/>
      <c r="H17" s="29"/>
      <c r="I17" s="5"/>
      <c r="J17" s="5" t="s">
        <v>27</v>
      </c>
      <c r="Y17" s="18" t="s">
        <v>28</v>
      </c>
    </row>
    <row r="18" spans="1:26">
      <c r="A18" s="393"/>
      <c r="B18" s="393"/>
      <c r="C18" s="393"/>
      <c r="D18" s="392"/>
      <c r="E18" s="392"/>
      <c r="F18" s="55"/>
      <c r="G18" s="35"/>
      <c r="H18" s="292"/>
      <c r="I18" s="5"/>
      <c r="J18" s="17">
        <v>37405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35"/>
      <c r="H19" s="292"/>
      <c r="I19" s="5"/>
      <c r="J19" s="5"/>
      <c r="Z19" s="5" t="s">
        <v>31</v>
      </c>
    </row>
    <row r="20" spans="1:26">
      <c r="A20" s="199"/>
      <c r="B20" s="55"/>
      <c r="C20" s="55"/>
      <c r="D20" s="55"/>
      <c r="E20" s="200"/>
      <c r="F20" s="55"/>
      <c r="G20" s="35"/>
      <c r="H20" s="292"/>
      <c r="I20" s="5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293"/>
      <c r="H21" s="294"/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354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>
      <c r="A26" s="32" t="s">
        <v>138</v>
      </c>
      <c r="B26" s="36" t="s">
        <v>386</v>
      </c>
      <c r="C26" s="28"/>
      <c r="D26" s="28"/>
      <c r="E26" s="28"/>
      <c r="F26" s="28"/>
      <c r="G26" s="28"/>
      <c r="H26" s="29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 ht="23.25">
      <c r="A28" s="335" t="s">
        <v>136</v>
      </c>
      <c r="B28" s="335"/>
      <c r="C28" s="335"/>
      <c r="D28" s="335"/>
      <c r="E28" s="335"/>
      <c r="F28" s="335"/>
      <c r="G28" s="335"/>
      <c r="H28" s="335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>
        <v>36</v>
      </c>
      <c r="I29" s="28"/>
      <c r="J29" s="25" t="s">
        <v>94</v>
      </c>
      <c r="K29" s="295">
        <v>36</v>
      </c>
    </row>
    <row r="30" spans="1:26">
      <c r="A30" s="27" t="s">
        <v>193</v>
      </c>
      <c r="B30" s="346" t="s">
        <v>387</v>
      </c>
      <c r="C30" s="346"/>
      <c r="D30" s="346"/>
      <c r="E30" s="28"/>
      <c r="F30" s="28"/>
      <c r="G30" s="28"/>
      <c r="H30" s="29">
        <v>10000</v>
      </c>
      <c r="I30" s="28"/>
      <c r="J30" s="25" t="s">
        <v>45</v>
      </c>
      <c r="K30" s="33">
        <v>10000</v>
      </c>
    </row>
    <row r="31" spans="1:26">
      <c r="A31" s="27"/>
      <c r="B31" s="28"/>
      <c r="C31" s="28"/>
      <c r="D31" s="28"/>
      <c r="E31" s="28"/>
      <c r="F31" s="28"/>
      <c r="G31" s="28"/>
      <c r="H31" s="29">
        <v>27500</v>
      </c>
      <c r="I31" s="28"/>
      <c r="J31" s="25" t="s">
        <v>48</v>
      </c>
      <c r="K31" s="37">
        <v>0</v>
      </c>
    </row>
    <row r="32" spans="1:26" ht="36">
      <c r="A32" s="27" t="s">
        <v>94</v>
      </c>
      <c r="B32" s="28" t="s">
        <v>95</v>
      </c>
      <c r="C32" s="28"/>
      <c r="D32" s="28"/>
      <c r="E32" s="28" t="s">
        <v>355</v>
      </c>
      <c r="F32" s="28"/>
      <c r="G32" s="28"/>
      <c r="H32" s="29"/>
      <c r="I32" s="5"/>
      <c r="J32" s="25" t="s">
        <v>49</v>
      </c>
      <c r="K32" s="37">
        <v>0</v>
      </c>
    </row>
    <row r="33" spans="1:16" ht="36">
      <c r="A33" s="134">
        <f>A52</f>
        <v>36</v>
      </c>
      <c r="B33" s="173">
        <f>B51</f>
        <v>10000</v>
      </c>
      <c r="C33" s="28"/>
      <c r="D33" s="28"/>
      <c r="E33" s="402">
        <f>K48</f>
        <v>567.00655321543638</v>
      </c>
      <c r="F33" s="402"/>
      <c r="G33" s="402"/>
      <c r="H33" s="42"/>
      <c r="I33" s="5"/>
      <c r="J33" s="30" t="s">
        <v>356</v>
      </c>
      <c r="K33" s="43">
        <f>E21</f>
        <v>18500</v>
      </c>
      <c r="L33" s="4">
        <f>H21-H11+(H16*20%)</f>
        <v>0</v>
      </c>
    </row>
    <row r="34" spans="1:16">
      <c r="A34" s="27"/>
      <c r="B34" s="28"/>
      <c r="C34" s="28"/>
      <c r="D34" s="28"/>
      <c r="E34" s="38"/>
      <c r="F34" s="38"/>
      <c r="G34" s="38"/>
      <c r="H34" s="42"/>
      <c r="I34" s="5"/>
      <c r="J34" s="5"/>
      <c r="K34" s="5"/>
    </row>
    <row r="35" spans="1:16">
      <c r="A35" s="27" t="s">
        <v>357</v>
      </c>
      <c r="B35" s="28" t="s">
        <v>358</v>
      </c>
      <c r="C35" s="28"/>
      <c r="E35" s="28" t="s">
        <v>359</v>
      </c>
      <c r="F35" s="38"/>
      <c r="G35" s="38"/>
      <c r="H35" s="42"/>
      <c r="I35" s="5"/>
      <c r="J35" s="45" t="s">
        <v>59</v>
      </c>
      <c r="K35" s="4">
        <v>6.5000000000000002E-2</v>
      </c>
    </row>
    <row r="36" spans="1:16">
      <c r="A36" s="138">
        <f>K47</f>
        <v>567.00655321543638</v>
      </c>
      <c r="B36" s="173" t="str">
        <f>IF(B26="YES",K42,"0.00")</f>
        <v>0.00</v>
      </c>
      <c r="C36" s="173"/>
      <c r="D36" s="173"/>
      <c r="E36" s="402">
        <f>K31</f>
        <v>0</v>
      </c>
      <c r="F36" s="402"/>
      <c r="G36" s="402"/>
      <c r="H36" s="42"/>
      <c r="I36" s="5"/>
      <c r="J36" s="5" t="s">
        <v>63</v>
      </c>
      <c r="K36" s="5">
        <f>K29</f>
        <v>36</v>
      </c>
    </row>
    <row r="37" spans="1:16">
      <c r="A37" s="94"/>
      <c r="B37" s="34"/>
      <c r="C37" s="38"/>
      <c r="D37" s="38"/>
      <c r="E37" s="38"/>
      <c r="F37" s="38"/>
      <c r="G37" s="38"/>
      <c r="H37" s="42"/>
      <c r="I37" s="5"/>
      <c r="J37" s="5"/>
      <c r="K37" s="5"/>
    </row>
    <row r="38" spans="1:16">
      <c r="A38" s="27"/>
      <c r="B38" s="28"/>
      <c r="C38" s="38"/>
      <c r="D38" s="38"/>
      <c r="E38" s="38"/>
      <c r="F38" s="38"/>
      <c r="G38" s="38"/>
      <c r="H38" s="42"/>
      <c r="J38" s="337" t="s">
        <v>65</v>
      </c>
      <c r="K38" s="337"/>
      <c r="L38" s="5">
        <v>42030.76</v>
      </c>
      <c r="N38" s="4">
        <f>80.88*36</f>
        <v>2911.68</v>
      </c>
    </row>
    <row r="39" spans="1:16">
      <c r="A39" s="27" t="s">
        <v>360</v>
      </c>
      <c r="B39" s="28" t="s">
        <v>361</v>
      </c>
      <c r="C39" s="28"/>
      <c r="E39" s="28" t="s">
        <v>362</v>
      </c>
      <c r="F39" s="38"/>
      <c r="G39" s="38"/>
      <c r="H39" s="42"/>
      <c r="J39" s="5" t="s">
        <v>96</v>
      </c>
      <c r="K39" s="5">
        <f>K33</f>
        <v>18500</v>
      </c>
      <c r="L39" s="5">
        <f>(L47*K46)+K44</f>
        <v>26101.991089998359</v>
      </c>
      <c r="N39" s="4">
        <f>K39-L39</f>
        <v>-7601.9910899983588</v>
      </c>
    </row>
    <row r="40" spans="1:16">
      <c r="A40" s="92">
        <f>E36*A45/100</f>
        <v>0</v>
      </c>
      <c r="B40" s="348" t="str">
        <f>IF(B26="YES",K42,"0.00")</f>
        <v>0.00</v>
      </c>
      <c r="C40" s="348"/>
      <c r="D40" s="348"/>
      <c r="E40" s="137">
        <f>K32</f>
        <v>0</v>
      </c>
      <c r="F40" s="38"/>
      <c r="G40" s="38"/>
      <c r="H40" s="42"/>
      <c r="J40" s="5" t="s">
        <v>118</v>
      </c>
      <c r="K40" s="5">
        <f>(A40)/1.2</f>
        <v>0</v>
      </c>
      <c r="L40" s="5">
        <f>K39-L39</f>
        <v>-7601.9910899983588</v>
      </c>
      <c r="N40" s="4">
        <f>N38-N39</f>
        <v>10513.671089998359</v>
      </c>
    </row>
    <row r="41" spans="1:16">
      <c r="A41" s="27"/>
      <c r="B41" s="28"/>
      <c r="C41" s="28"/>
      <c r="D41" s="28"/>
      <c r="E41" s="28"/>
      <c r="F41" s="38"/>
      <c r="G41" s="38"/>
      <c r="H41" s="42"/>
      <c r="J41" s="5" t="s">
        <v>363</v>
      </c>
      <c r="K41" s="5">
        <f>K35/12</f>
        <v>5.4166666666666669E-3</v>
      </c>
      <c r="L41" s="5"/>
    </row>
    <row r="42" spans="1:16">
      <c r="A42" s="49"/>
      <c r="B42" s="50"/>
      <c r="C42" s="50"/>
      <c r="D42" s="50"/>
      <c r="E42" s="50"/>
      <c r="F42" s="50"/>
      <c r="G42" s="51"/>
      <c r="H42" s="52"/>
      <c r="J42" s="5" t="s">
        <v>364</v>
      </c>
      <c r="K42" s="5">
        <f>(K32/K36)*C45/100</f>
        <v>0</v>
      </c>
      <c r="L42" s="5"/>
    </row>
    <row r="43" spans="1:16">
      <c r="A43" s="22"/>
      <c r="B43" s="23"/>
      <c r="C43" s="23"/>
      <c r="D43" s="23"/>
      <c r="E43" s="23"/>
      <c r="F43" s="23"/>
      <c r="G43" s="23"/>
      <c r="H43" s="24"/>
      <c r="J43" s="5" t="s">
        <v>365</v>
      </c>
      <c r="K43" s="5"/>
      <c r="L43" s="5"/>
    </row>
    <row r="44" spans="1:16">
      <c r="A44" s="53" t="s">
        <v>89</v>
      </c>
      <c r="B44" s="28"/>
      <c r="C44" s="28" t="s">
        <v>90</v>
      </c>
      <c r="D44" s="28"/>
      <c r="E44" s="28"/>
      <c r="F44" s="28"/>
      <c r="G44" s="28"/>
      <c r="H44" s="29"/>
      <c r="J44" s="5" t="s">
        <v>366</v>
      </c>
      <c r="K44" s="5">
        <f>(K40/(1+K41)^(K36+1))</f>
        <v>0</v>
      </c>
      <c r="L44" s="5"/>
    </row>
    <row r="45" spans="1:16">
      <c r="A45" s="54">
        <v>100</v>
      </c>
      <c r="B45" s="28"/>
      <c r="C45" s="339">
        <v>60</v>
      </c>
      <c r="D45" s="339"/>
      <c r="E45" s="339"/>
      <c r="F45" s="28"/>
      <c r="G45" s="28"/>
      <c r="H45" s="29"/>
      <c r="J45" s="5" t="s">
        <v>367</v>
      </c>
      <c r="K45" s="5">
        <f>(K39-K44)</f>
        <v>18500</v>
      </c>
      <c r="L45" s="5"/>
    </row>
    <row r="46" spans="1:16">
      <c r="A46" s="49"/>
      <c r="B46" s="50"/>
      <c r="C46" s="50"/>
      <c r="D46" s="50"/>
      <c r="E46" s="50"/>
      <c r="F46" s="50"/>
      <c r="G46" s="50"/>
      <c r="H46" s="57"/>
      <c r="J46" s="5" t="s">
        <v>368</v>
      </c>
      <c r="K46" s="5">
        <f>((1-(1/((1+K41)^K36)))/K41)</f>
        <v>32.627488862497948</v>
      </c>
      <c r="L46" s="5"/>
    </row>
    <row r="47" spans="1:16">
      <c r="A47" s="22"/>
      <c r="B47" s="23"/>
      <c r="C47" s="23"/>
      <c r="D47" s="23"/>
      <c r="E47" s="23"/>
      <c r="F47" s="23"/>
      <c r="G47" s="23"/>
      <c r="H47" s="24"/>
      <c r="J47" s="5" t="s">
        <v>369</v>
      </c>
      <c r="K47" s="5">
        <f>K45/K46</f>
        <v>567.00655321543638</v>
      </c>
      <c r="L47" s="5">
        <f>L49-K42</f>
        <v>800</v>
      </c>
      <c r="M47" s="4">
        <f>K47-L47</f>
        <v>-232.99344678456362</v>
      </c>
    </row>
    <row r="48" spans="1:16" ht="37.5">
      <c r="A48" s="58" t="s">
        <v>93</v>
      </c>
      <c r="B48" s="28"/>
      <c r="C48" s="28"/>
      <c r="D48" s="59"/>
      <c r="E48" s="59"/>
      <c r="F48" s="59"/>
      <c r="G48" s="59"/>
      <c r="H48" s="60"/>
      <c r="J48" s="48" t="s">
        <v>370</v>
      </c>
      <c r="K48" s="5">
        <f>IF(B26="YES",K47+K42,K47)</f>
        <v>567.00655321543638</v>
      </c>
      <c r="L48" s="5"/>
    </row>
    <row r="49" spans="1:35">
      <c r="A49" s="27"/>
      <c r="B49" s="61"/>
      <c r="C49" s="61"/>
      <c r="D49" s="28"/>
      <c r="E49" s="28"/>
      <c r="F49" s="28"/>
      <c r="G49" s="28"/>
      <c r="H49" s="29"/>
      <c r="J49" s="5" t="s">
        <v>371</v>
      </c>
      <c r="K49" s="5"/>
      <c r="L49" s="5">
        <v>800</v>
      </c>
    </row>
    <row r="50" spans="1:35" ht="21">
      <c r="A50" s="369" t="s">
        <v>94</v>
      </c>
      <c r="B50" s="341" t="s">
        <v>95</v>
      </c>
      <c r="C50" s="341"/>
      <c r="D50" s="341"/>
      <c r="E50" s="28"/>
      <c r="F50" s="28"/>
      <c r="G50" s="28"/>
      <c r="H50" s="29"/>
      <c r="I50" s="5"/>
      <c r="J50" s="5"/>
      <c r="K50" s="5"/>
    </row>
    <row r="51" spans="1:35" ht="19.5" customHeight="1">
      <c r="A51" s="369"/>
      <c r="B51" s="342">
        <f>K30</f>
        <v>10000</v>
      </c>
      <c r="C51" s="342"/>
      <c r="D51" s="342"/>
      <c r="E51" s="28"/>
      <c r="F51" s="28"/>
      <c r="G51" s="28"/>
      <c r="H51" s="29"/>
      <c r="I51" s="5"/>
      <c r="J51" s="5"/>
      <c r="K51" s="5"/>
    </row>
    <row r="52" spans="1:35">
      <c r="A52" s="62">
        <f>K29</f>
        <v>36</v>
      </c>
      <c r="B52" s="343">
        <f>K48</f>
        <v>567.00655321543638</v>
      </c>
      <c r="C52" s="343"/>
      <c r="D52" s="343"/>
      <c r="E52" s="28"/>
      <c r="F52" s="28"/>
      <c r="G52" s="28"/>
      <c r="H52" s="29"/>
      <c r="I52" s="5"/>
      <c r="J52" s="5"/>
      <c r="K52" s="5"/>
    </row>
    <row r="53" spans="1:35">
      <c r="A53" s="27"/>
      <c r="B53" s="28"/>
      <c r="C53" s="28"/>
      <c r="D53" s="28"/>
      <c r="E53" s="28"/>
      <c r="F53" s="28"/>
      <c r="G53" s="28"/>
      <c r="H53" s="29"/>
      <c r="I53" s="5"/>
      <c r="J53" s="5"/>
      <c r="K53" s="5"/>
    </row>
    <row r="54" spans="1:35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35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35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35">
      <c r="A57" s="22"/>
      <c r="B57" s="23"/>
      <c r="C57" s="23"/>
      <c r="D57" s="23"/>
      <c r="E57" s="63"/>
      <c r="F57" s="63"/>
      <c r="G57" s="63"/>
      <c r="H57" s="24"/>
      <c r="J57" s="22"/>
      <c r="K57" s="23"/>
      <c r="L57" s="23"/>
      <c r="M57" s="23"/>
      <c r="N57" s="63"/>
      <c r="O57" s="63"/>
      <c r="P57" s="63"/>
      <c r="Q57" s="24"/>
      <c r="S57" s="22"/>
      <c r="T57" s="23"/>
      <c r="U57" s="23"/>
      <c r="V57" s="23"/>
      <c r="W57" s="63"/>
      <c r="X57" s="63"/>
      <c r="Y57" s="63"/>
      <c r="Z57" s="24"/>
      <c r="AB57" s="22"/>
      <c r="AC57" s="23"/>
      <c r="AD57" s="23"/>
      <c r="AE57" s="23"/>
      <c r="AF57" s="63"/>
      <c r="AG57" s="63"/>
      <c r="AH57" s="63"/>
      <c r="AI57" s="24"/>
    </row>
    <row r="58" spans="1:35">
      <c r="A58" s="27" t="s">
        <v>96</v>
      </c>
      <c r="B58" s="28">
        <v>1</v>
      </c>
      <c r="C58" s="28"/>
      <c r="D58" s="28"/>
      <c r="E58" s="21"/>
      <c r="F58" s="21"/>
      <c r="G58" s="21"/>
      <c r="H58" s="29"/>
      <c r="J58" s="27" t="s">
        <v>96</v>
      </c>
      <c r="K58" s="28">
        <v>1</v>
      </c>
      <c r="L58" s="28"/>
      <c r="M58" s="28"/>
      <c r="N58" s="21"/>
      <c r="O58" s="21"/>
      <c r="P58" s="21"/>
      <c r="Q58" s="29"/>
      <c r="S58" s="27" t="s">
        <v>96</v>
      </c>
      <c r="T58" s="28">
        <v>1</v>
      </c>
      <c r="U58" s="28"/>
      <c r="V58" s="28"/>
      <c r="W58" s="21"/>
      <c r="X58" s="21"/>
      <c r="Y58" s="21"/>
      <c r="Z58" s="29"/>
      <c r="AB58" s="27" t="s">
        <v>96</v>
      </c>
      <c r="AC58" s="28">
        <v>1</v>
      </c>
      <c r="AD58" s="28"/>
      <c r="AE58" s="28"/>
      <c r="AF58" s="21"/>
      <c r="AG58" s="21"/>
      <c r="AH58" s="21"/>
      <c r="AI58" s="29"/>
    </row>
    <row r="59" spans="1:35">
      <c r="A59" s="27" t="s">
        <v>97</v>
      </c>
      <c r="B59" s="28">
        <f>K29-B58</f>
        <v>35</v>
      </c>
      <c r="C59" s="28"/>
      <c r="D59" s="28"/>
      <c r="E59" s="21"/>
      <c r="F59" s="21"/>
      <c r="G59" s="21"/>
      <c r="H59" s="29"/>
      <c r="J59" s="27" t="s">
        <v>97</v>
      </c>
      <c r="K59" s="28">
        <f>K29-K58</f>
        <v>35</v>
      </c>
      <c r="L59" s="28"/>
      <c r="M59" s="28"/>
      <c r="N59" s="21"/>
      <c r="O59" s="21"/>
      <c r="P59" s="21"/>
      <c r="Q59" s="29"/>
      <c r="S59" s="27" t="s">
        <v>97</v>
      </c>
      <c r="T59" s="28">
        <f>K29-T58</f>
        <v>35</v>
      </c>
      <c r="U59" s="28"/>
      <c r="V59" s="28"/>
      <c r="W59" s="21"/>
      <c r="X59" s="21"/>
      <c r="Y59" s="21"/>
      <c r="Z59" s="29"/>
      <c r="AB59" s="27" t="s">
        <v>97</v>
      </c>
      <c r="AC59" s="28">
        <f>K29-AC58</f>
        <v>35</v>
      </c>
      <c r="AD59" s="28"/>
      <c r="AE59" s="28"/>
      <c r="AF59" s="21"/>
      <c r="AG59" s="21"/>
      <c r="AH59" s="21"/>
      <c r="AI59" s="29"/>
    </row>
    <row r="60" spans="1:35">
      <c r="A60" s="64" t="s">
        <v>98</v>
      </c>
      <c r="B60" s="65">
        <v>10</v>
      </c>
      <c r="C60" s="28"/>
      <c r="D60" s="28"/>
      <c r="E60" s="21"/>
      <c r="F60" s="21"/>
      <c r="G60" s="21"/>
      <c r="H60" s="29"/>
      <c r="J60" s="64" t="s">
        <v>98</v>
      </c>
      <c r="K60" s="65">
        <v>20</v>
      </c>
      <c r="L60" s="28"/>
      <c r="M60" s="28"/>
      <c r="N60" s="21"/>
      <c r="O60" s="21"/>
      <c r="P60" s="21"/>
      <c r="Q60" s="29"/>
      <c r="S60" s="64" t="s">
        <v>98</v>
      </c>
      <c r="T60" s="65">
        <v>10</v>
      </c>
      <c r="U60" s="28"/>
      <c r="V60" s="28"/>
      <c r="W60" s="21"/>
      <c r="X60" s="21"/>
      <c r="Y60" s="21"/>
      <c r="Z60" s="29"/>
      <c r="AB60" s="64" t="s">
        <v>98</v>
      </c>
      <c r="AC60" s="65">
        <v>10</v>
      </c>
      <c r="AD60" s="28"/>
      <c r="AE60" s="28"/>
      <c r="AF60" s="21"/>
      <c r="AG60" s="21"/>
      <c r="AH60" s="21"/>
      <c r="AI60" s="29"/>
    </row>
    <row r="61" spans="1:35">
      <c r="A61" s="27" t="s">
        <v>27</v>
      </c>
      <c r="B61" s="28">
        <f>J18</f>
        <v>37405</v>
      </c>
      <c r="C61" s="28"/>
      <c r="D61" s="28"/>
      <c r="E61" s="21"/>
      <c r="F61" s="21"/>
      <c r="G61" s="21"/>
      <c r="H61" s="29"/>
      <c r="J61" s="27" t="s">
        <v>27</v>
      </c>
      <c r="K61" s="28">
        <f>J18</f>
        <v>37405</v>
      </c>
      <c r="L61" s="28"/>
      <c r="M61" s="28"/>
      <c r="N61" s="21"/>
      <c r="O61" s="21"/>
      <c r="P61" s="21"/>
      <c r="Q61" s="29"/>
      <c r="S61" s="27" t="s">
        <v>27</v>
      </c>
      <c r="T61" s="28">
        <f>J18</f>
        <v>37405</v>
      </c>
      <c r="U61" s="28"/>
      <c r="V61" s="28"/>
      <c r="W61" s="21"/>
      <c r="X61" s="21"/>
      <c r="Y61" s="21"/>
      <c r="Z61" s="29"/>
      <c r="AB61" s="27" t="s">
        <v>27</v>
      </c>
      <c r="AC61" s="28">
        <f>J18</f>
        <v>37405</v>
      </c>
      <c r="AD61" s="28"/>
      <c r="AE61" s="28"/>
      <c r="AF61" s="21"/>
      <c r="AG61" s="21"/>
      <c r="AH61" s="21"/>
      <c r="AI61" s="29"/>
    </row>
    <row r="62" spans="1:35">
      <c r="A62" s="66" t="s">
        <v>99</v>
      </c>
      <c r="B62" s="67">
        <v>0</v>
      </c>
      <c r="C62" s="28"/>
      <c r="D62" s="28"/>
      <c r="E62" s="21"/>
      <c r="F62" s="21"/>
      <c r="G62" s="21"/>
      <c r="H62" s="29"/>
      <c r="J62" s="66" t="s">
        <v>99</v>
      </c>
      <c r="K62" s="67">
        <v>0.06</v>
      </c>
      <c r="L62" s="28"/>
      <c r="M62" s="28"/>
      <c r="N62" s="21"/>
      <c r="O62" s="21"/>
      <c r="P62" s="21"/>
      <c r="Q62" s="29"/>
      <c r="S62" s="66" t="s">
        <v>99</v>
      </c>
      <c r="T62" s="67">
        <f>IF(AND(K29&gt;=12,K29&lt;=24),0.0105,IF(AND(K29&gt;=48),-0.0075,0))</f>
        <v>0</v>
      </c>
      <c r="U62" s="28"/>
      <c r="V62" s="28"/>
      <c r="W62" s="21"/>
      <c r="X62" s="21"/>
      <c r="Y62" s="21"/>
      <c r="Z62" s="29"/>
      <c r="AB62" s="66" t="s">
        <v>99</v>
      </c>
      <c r="AC62" s="67">
        <f>IF(AND(K29&gt;=12,K29&lt;=24),0.0105,IF(AND(K29&gt;=48),-0.0075,0))</f>
        <v>0</v>
      </c>
      <c r="AD62" s="28"/>
      <c r="AE62" s="28"/>
      <c r="AF62" s="21"/>
      <c r="AG62" s="21"/>
      <c r="AH62" s="21"/>
      <c r="AI62" s="29"/>
    </row>
    <row r="63" spans="1:35">
      <c r="A63" s="68" t="s">
        <v>100</v>
      </c>
      <c r="B63" s="69">
        <v>6.5000000000000002E-2</v>
      </c>
      <c r="C63" s="28"/>
      <c r="D63" s="28"/>
      <c r="E63" s="21"/>
      <c r="F63" s="21"/>
      <c r="G63" s="21"/>
      <c r="H63" s="29"/>
      <c r="J63" s="68" t="s">
        <v>100</v>
      </c>
      <c r="K63" s="69">
        <v>0.08</v>
      </c>
      <c r="L63" s="28"/>
      <c r="M63" s="28"/>
      <c r="N63" s="21"/>
      <c r="O63" s="21"/>
      <c r="P63" s="21"/>
      <c r="Q63" s="29"/>
      <c r="S63" s="68" t="s">
        <v>100</v>
      </c>
      <c r="T63" s="69">
        <v>5.8999999999999997E-2</v>
      </c>
      <c r="U63" s="28"/>
      <c r="V63" s="28"/>
      <c r="W63" s="21"/>
      <c r="X63" s="21"/>
      <c r="Y63" s="21"/>
      <c r="Z63" s="29"/>
      <c r="AB63" s="68" t="s">
        <v>100</v>
      </c>
      <c r="AC63" s="69">
        <v>5.8999999999999997E-2</v>
      </c>
      <c r="AD63" s="28"/>
      <c r="AE63" s="28"/>
      <c r="AF63" s="21"/>
      <c r="AG63" s="21"/>
      <c r="AH63" s="21"/>
      <c r="AI63" s="29"/>
    </row>
    <row r="64" spans="1:35">
      <c r="A64" s="70" t="s">
        <v>101</v>
      </c>
      <c r="B64" s="71">
        <v>7.1999999999999995E-2</v>
      </c>
      <c r="C64" s="28"/>
      <c r="D64" s="28"/>
      <c r="E64" s="21"/>
      <c r="F64" s="21"/>
      <c r="G64" s="21"/>
      <c r="H64" s="29"/>
      <c r="J64" s="70" t="s">
        <v>101</v>
      </c>
      <c r="K64" s="71">
        <v>0.1</v>
      </c>
      <c r="L64" s="28"/>
      <c r="M64" s="28"/>
      <c r="N64" s="21"/>
      <c r="O64" s="21"/>
      <c r="P64" s="21"/>
      <c r="Q64" s="29"/>
      <c r="S64" s="70" t="s">
        <v>101</v>
      </c>
      <c r="T64" s="71">
        <f>IF(T108=AP108,2.4%,7.2%)</f>
        <v>7.2000000000000008E-2</v>
      </c>
      <c r="U64" s="28"/>
      <c r="V64" s="28"/>
      <c r="W64" s="21"/>
      <c r="X64" s="21"/>
      <c r="Y64" s="21"/>
      <c r="Z64" s="29"/>
      <c r="AB64" s="70" t="s">
        <v>101</v>
      </c>
      <c r="AC64" s="71">
        <f>IF(AC108=AP108,2.4%,7.2%)</f>
        <v>7.2000000000000008E-2</v>
      </c>
      <c r="AD64" s="28"/>
      <c r="AE64" s="28"/>
      <c r="AF64" s="21"/>
      <c r="AG64" s="21"/>
      <c r="AH64" s="21"/>
      <c r="AI64" s="29"/>
    </row>
    <row r="65" spans="1:35">
      <c r="A65" s="49" t="s">
        <v>102</v>
      </c>
      <c r="B65" s="57">
        <f>(B89*B59)-(K47*K29)</f>
        <v>8738.7072580703862</v>
      </c>
      <c r="C65" s="28"/>
      <c r="D65" s="28"/>
      <c r="E65" s="21"/>
      <c r="F65" s="21"/>
      <c r="G65" s="21"/>
      <c r="H65" s="29"/>
      <c r="J65" s="49" t="s">
        <v>102</v>
      </c>
      <c r="K65" s="57" t="e">
        <f>(K89*K59)-(K47*K29)</f>
        <v>#VALUE!</v>
      </c>
      <c r="L65" s="28"/>
      <c r="M65" s="28"/>
      <c r="N65" s="21"/>
      <c r="O65" s="21"/>
      <c r="P65" s="21"/>
      <c r="Q65" s="29"/>
      <c r="S65" s="49" t="s">
        <v>102</v>
      </c>
      <c r="T65" s="57" t="e">
        <f>(T89*T59)-(K47*K29)</f>
        <v>#VALUE!</v>
      </c>
      <c r="U65" s="28"/>
      <c r="V65" s="28"/>
      <c r="W65" s="21"/>
      <c r="X65" s="21"/>
      <c r="Y65" s="21"/>
      <c r="Z65" s="29"/>
      <c r="AB65" s="49" t="s">
        <v>102</v>
      </c>
      <c r="AC65" s="57" t="e">
        <f>(AC89*AC59)-(K47*K29)</f>
        <v>#VALUE!</v>
      </c>
      <c r="AD65" s="28"/>
      <c r="AE65" s="28"/>
      <c r="AF65" s="21"/>
      <c r="AG65" s="21"/>
      <c r="AH65" s="21"/>
      <c r="AI65" s="29"/>
    </row>
    <row r="66" spans="1:35">
      <c r="A66" s="66" t="s">
        <v>103</v>
      </c>
      <c r="B66" s="67">
        <v>0.03</v>
      </c>
      <c r="C66" s="28"/>
      <c r="D66" s="28"/>
      <c r="E66" s="21"/>
      <c r="F66" s="21"/>
      <c r="G66" s="21"/>
      <c r="H66" s="29"/>
      <c r="J66" s="66" t="s">
        <v>103</v>
      </c>
      <c r="K66" s="67">
        <v>0.05</v>
      </c>
      <c r="L66" s="28"/>
      <c r="M66" s="28"/>
      <c r="N66" s="21"/>
      <c r="O66" s="21"/>
      <c r="P66" s="21"/>
      <c r="Q66" s="29"/>
      <c r="S66" s="66" t="s">
        <v>103</v>
      </c>
      <c r="T66" s="67">
        <v>5.0000000000000001E-3</v>
      </c>
      <c r="U66" s="28"/>
      <c r="V66" s="28"/>
      <c r="W66" s="21"/>
      <c r="X66" s="21"/>
      <c r="Y66" s="21"/>
      <c r="Z66" s="29"/>
      <c r="AB66" s="66" t="s">
        <v>103</v>
      </c>
      <c r="AC66" s="67">
        <v>5.0000000000000001E-3</v>
      </c>
      <c r="AD66" s="28"/>
      <c r="AE66" s="28"/>
      <c r="AF66" s="21"/>
      <c r="AG66" s="21"/>
      <c r="AH66" s="21"/>
      <c r="AI66" s="29"/>
    </row>
    <row r="67" spans="1:35">
      <c r="A67" s="27"/>
      <c r="B67" s="72">
        <f>B66</f>
        <v>0.03</v>
      </c>
      <c r="C67" s="28"/>
      <c r="D67" s="28"/>
      <c r="E67" s="21"/>
      <c r="F67" s="21"/>
      <c r="G67" s="21"/>
      <c r="H67" s="29"/>
      <c r="J67" s="27" t="s">
        <v>104</v>
      </c>
      <c r="K67" s="72">
        <f>K66+(K66*0.25*(K29/12-1))</f>
        <v>7.5000000000000011E-2</v>
      </c>
      <c r="L67" s="28"/>
      <c r="M67" s="28"/>
      <c r="N67" s="21"/>
      <c r="O67" s="21"/>
      <c r="P67" s="21"/>
      <c r="Q67" s="29"/>
      <c r="S67" s="27" t="s">
        <v>104</v>
      </c>
      <c r="T67" s="72">
        <f>T66+(T66*0.5*(K29/12-1))</f>
        <v>0.01</v>
      </c>
      <c r="U67" s="28"/>
      <c r="V67" s="28"/>
      <c r="W67" s="21"/>
      <c r="X67" s="21"/>
      <c r="Y67" s="21"/>
      <c r="Z67" s="29"/>
      <c r="AB67" s="27" t="s">
        <v>104</v>
      </c>
      <c r="AC67" s="72">
        <f>AC66+(AC66*0.5*(K29/12-1))</f>
        <v>0.01</v>
      </c>
      <c r="AD67" s="28"/>
      <c r="AE67" s="28"/>
      <c r="AF67" s="21"/>
      <c r="AG67" s="21"/>
      <c r="AH67" s="21"/>
      <c r="AI67" s="29"/>
    </row>
    <row r="68" spans="1:35">
      <c r="A68" s="49" t="s">
        <v>105</v>
      </c>
      <c r="B68" s="57">
        <f>(G158*B67)</f>
        <v>717.60011999999983</v>
      </c>
      <c r="C68" s="28"/>
      <c r="D68" s="28"/>
      <c r="E68" s="21"/>
      <c r="F68" s="21"/>
      <c r="G68" s="21"/>
      <c r="H68" s="29"/>
      <c r="J68" s="49" t="s">
        <v>105</v>
      </c>
      <c r="K68" s="57">
        <f>K61*K67</f>
        <v>2805.3750000000005</v>
      </c>
      <c r="L68" s="28"/>
      <c r="M68" s="28"/>
      <c r="N68" s="21"/>
      <c r="O68" s="21"/>
      <c r="P68" s="21"/>
      <c r="Q68" s="29"/>
      <c r="S68" s="49" t="s">
        <v>105</v>
      </c>
      <c r="T68" s="57">
        <f>T61*T67</f>
        <v>374.05</v>
      </c>
      <c r="U68" s="28"/>
      <c r="V68" s="28"/>
      <c r="W68" s="21"/>
      <c r="X68" s="21"/>
      <c r="Y68" s="21"/>
      <c r="Z68" s="29"/>
      <c r="AB68" s="49" t="s">
        <v>105</v>
      </c>
      <c r="AC68" s="57" t="e">
        <f>AH158*AC67</f>
        <v>#VALUE!</v>
      </c>
      <c r="AD68" s="28"/>
      <c r="AE68" s="28"/>
      <c r="AF68" s="21"/>
      <c r="AG68" s="21"/>
      <c r="AH68" s="21"/>
      <c r="AI68" s="29"/>
    </row>
    <row r="69" spans="1:35">
      <c r="A69" s="66" t="s">
        <v>106</v>
      </c>
      <c r="B69" s="67">
        <v>0</v>
      </c>
      <c r="C69" s="28"/>
      <c r="D69" s="28"/>
      <c r="E69" s="21"/>
      <c r="F69" s="21"/>
      <c r="G69" s="21"/>
      <c r="H69" s="29"/>
      <c r="J69" s="66" t="s">
        <v>106</v>
      </c>
      <c r="K69" s="67">
        <v>0</v>
      </c>
      <c r="L69" s="28"/>
      <c r="M69" s="28"/>
      <c r="N69" s="21"/>
      <c r="O69" s="21"/>
      <c r="P69" s="21"/>
      <c r="Q69" s="29"/>
      <c r="S69" s="66" t="s">
        <v>106</v>
      </c>
      <c r="T69" s="67">
        <v>0</v>
      </c>
      <c r="U69" s="28"/>
      <c r="V69" s="28"/>
      <c r="W69" s="21"/>
      <c r="X69" s="21"/>
      <c r="Y69" s="21"/>
      <c r="Z69" s="29"/>
      <c r="AB69" s="66" t="s">
        <v>106</v>
      </c>
      <c r="AC69" s="67">
        <v>0</v>
      </c>
      <c r="AD69" s="28"/>
      <c r="AE69" s="28"/>
      <c r="AF69" s="21"/>
      <c r="AG69" s="21"/>
      <c r="AH69" s="21"/>
      <c r="AI69" s="29"/>
    </row>
    <row r="70" spans="1:35">
      <c r="A70" s="68" t="s">
        <v>107</v>
      </c>
      <c r="B70" s="69">
        <v>0</v>
      </c>
      <c r="C70" s="28"/>
      <c r="D70" s="28"/>
      <c r="E70" s="21"/>
      <c r="F70" s="21"/>
      <c r="G70" s="21"/>
      <c r="H70" s="29"/>
      <c r="J70" s="68" t="s">
        <v>107</v>
      </c>
      <c r="K70" s="69">
        <v>0</v>
      </c>
      <c r="L70" s="28"/>
      <c r="M70" s="28"/>
      <c r="N70" s="21"/>
      <c r="O70" s="21"/>
      <c r="P70" s="21"/>
      <c r="Q70" s="29"/>
      <c r="S70" s="68" t="s">
        <v>107</v>
      </c>
      <c r="T70" s="69">
        <v>0</v>
      </c>
      <c r="U70" s="28"/>
      <c r="V70" s="28"/>
      <c r="W70" s="21"/>
      <c r="X70" s="21"/>
      <c r="Y70" s="21"/>
      <c r="Z70" s="29"/>
      <c r="AB70" s="68" t="s">
        <v>107</v>
      </c>
      <c r="AC70" s="69">
        <v>0</v>
      </c>
      <c r="AD70" s="28"/>
      <c r="AE70" s="28"/>
      <c r="AF70" s="21"/>
      <c r="AG70" s="21"/>
      <c r="AH70" s="21"/>
      <c r="AI70" s="29"/>
    </row>
    <row r="71" spans="1:35">
      <c r="A71" s="49" t="s">
        <v>108</v>
      </c>
      <c r="B71" s="73">
        <f>B69*(1+B70)</f>
        <v>0</v>
      </c>
      <c r="C71" s="28"/>
      <c r="D71" s="28"/>
      <c r="E71" s="21"/>
      <c r="F71" s="21"/>
      <c r="G71" s="21"/>
      <c r="H71" s="29"/>
      <c r="J71" s="49" t="s">
        <v>108</v>
      </c>
      <c r="K71" s="73">
        <f>K69*(1+K70)</f>
        <v>0</v>
      </c>
      <c r="L71" s="28"/>
      <c r="M71" s="28"/>
      <c r="N71" s="21"/>
      <c r="O71" s="21"/>
      <c r="P71" s="21"/>
      <c r="Q71" s="29"/>
      <c r="S71" s="49" t="s">
        <v>108</v>
      </c>
      <c r="T71" s="73">
        <f>T69*(1+T70)</f>
        <v>0</v>
      </c>
      <c r="U71" s="28"/>
      <c r="V71" s="28"/>
      <c r="W71" s="21"/>
      <c r="X71" s="21"/>
      <c r="Y71" s="21"/>
      <c r="Z71" s="29"/>
      <c r="AB71" s="49" t="s">
        <v>108</v>
      </c>
      <c r="AC71" s="73">
        <f>AC69*(1+AC70)</f>
        <v>0</v>
      </c>
      <c r="AD71" s="28"/>
      <c r="AE71" s="28"/>
      <c r="AF71" s="21"/>
      <c r="AG71" s="21"/>
      <c r="AH71" s="21"/>
      <c r="AI71" s="29"/>
    </row>
    <row r="72" spans="1:35">
      <c r="A72" s="66" t="s">
        <v>109</v>
      </c>
      <c r="B72" s="74">
        <v>0</v>
      </c>
      <c r="C72" s="28"/>
      <c r="D72" s="28"/>
      <c r="E72" s="21"/>
      <c r="F72" s="21"/>
      <c r="G72" s="21"/>
      <c r="H72" s="29"/>
      <c r="J72" s="66" t="s">
        <v>109</v>
      </c>
      <c r="K72" s="74">
        <v>0</v>
      </c>
      <c r="L72" s="28"/>
      <c r="M72" s="28"/>
      <c r="N72" s="21"/>
      <c r="O72" s="21"/>
      <c r="P72" s="21"/>
      <c r="Q72" s="29"/>
      <c r="S72" s="66" t="s">
        <v>109</v>
      </c>
      <c r="T72" s="74">
        <v>0</v>
      </c>
      <c r="U72" s="28"/>
      <c r="V72" s="28"/>
      <c r="W72" s="21"/>
      <c r="X72" s="21"/>
      <c r="Y72" s="21"/>
      <c r="Z72" s="29"/>
      <c r="AB72" s="66" t="s">
        <v>109</v>
      </c>
      <c r="AC72" s="74">
        <v>0</v>
      </c>
      <c r="AD72" s="28"/>
      <c r="AE72" s="28"/>
      <c r="AF72" s="21"/>
      <c r="AG72" s="21"/>
      <c r="AH72" s="21"/>
      <c r="AI72" s="29"/>
    </row>
    <row r="73" spans="1:35">
      <c r="A73" s="68" t="s">
        <v>110</v>
      </c>
      <c r="B73" s="65">
        <v>0</v>
      </c>
      <c r="C73" s="28"/>
      <c r="D73" s="28"/>
      <c r="E73" s="21"/>
      <c r="F73" s="21"/>
      <c r="G73" s="21"/>
      <c r="H73" s="29"/>
      <c r="J73" s="68" t="s">
        <v>110</v>
      </c>
      <c r="K73" s="65">
        <v>0</v>
      </c>
      <c r="L73" s="28"/>
      <c r="M73" s="28"/>
      <c r="N73" s="21"/>
      <c r="O73" s="21"/>
      <c r="P73" s="21"/>
      <c r="Q73" s="29"/>
      <c r="S73" s="68" t="s">
        <v>110</v>
      </c>
      <c r="T73" s="65">
        <v>0</v>
      </c>
      <c r="U73" s="28"/>
      <c r="V73" s="28"/>
      <c r="W73" s="21"/>
      <c r="X73" s="21"/>
      <c r="Y73" s="21"/>
      <c r="Z73" s="29"/>
      <c r="AB73" s="68" t="s">
        <v>110</v>
      </c>
      <c r="AC73" s="65">
        <v>0</v>
      </c>
      <c r="AD73" s="28"/>
      <c r="AE73" s="28"/>
      <c r="AF73" s="21"/>
      <c r="AG73" s="21"/>
      <c r="AH73" s="21"/>
      <c r="AI73" s="29"/>
    </row>
    <row r="74" spans="1:35">
      <c r="A74" s="49" t="s">
        <v>111</v>
      </c>
      <c r="B74" s="57">
        <f>B73*K29</f>
        <v>0</v>
      </c>
      <c r="C74" s="28"/>
      <c r="D74" s="28">
        <f>B74+B72</f>
        <v>0</v>
      </c>
      <c r="E74" s="21"/>
      <c r="F74" s="21"/>
      <c r="G74" s="21"/>
      <c r="H74" s="29"/>
      <c r="J74" s="49" t="s">
        <v>111</v>
      </c>
      <c r="K74" s="57">
        <f>K73*K29</f>
        <v>0</v>
      </c>
      <c r="L74" s="28"/>
      <c r="M74" s="28">
        <f>K74+K72</f>
        <v>0</v>
      </c>
      <c r="N74" s="21"/>
      <c r="O74" s="21"/>
      <c r="P74" s="21"/>
      <c r="Q74" s="29"/>
      <c r="S74" s="49" t="s">
        <v>111</v>
      </c>
      <c r="T74" s="57">
        <f>T73*K29</f>
        <v>0</v>
      </c>
      <c r="U74" s="28"/>
      <c r="V74" s="28">
        <f>T74+T72</f>
        <v>0</v>
      </c>
      <c r="W74" s="21"/>
      <c r="X74" s="21"/>
      <c r="Y74" s="21"/>
      <c r="Z74" s="29"/>
      <c r="AB74" s="49" t="s">
        <v>111</v>
      </c>
      <c r="AC74" s="57">
        <f>AC73*K29</f>
        <v>0</v>
      </c>
      <c r="AD74" s="28"/>
      <c r="AE74" s="28">
        <f>AC74+AC72</f>
        <v>0</v>
      </c>
      <c r="AF74" s="21"/>
      <c r="AG74" s="21"/>
      <c r="AH74" s="21"/>
      <c r="AI74" s="29"/>
    </row>
    <row r="75" spans="1:35">
      <c r="A75" s="68" t="s">
        <v>112</v>
      </c>
      <c r="B75" s="65">
        <v>0</v>
      </c>
      <c r="C75" s="28"/>
      <c r="D75" s="28">
        <f>B75</f>
        <v>0</v>
      </c>
      <c r="E75" s="21"/>
      <c r="F75" s="21"/>
      <c r="G75" s="21"/>
      <c r="H75" s="29"/>
      <c r="J75" s="68" t="s">
        <v>112</v>
      </c>
      <c r="K75" s="65">
        <v>0</v>
      </c>
      <c r="L75" s="28"/>
      <c r="M75" s="28">
        <f>K75</f>
        <v>0</v>
      </c>
      <c r="N75" s="21"/>
      <c r="O75" s="21"/>
      <c r="P75" s="21"/>
      <c r="Q75" s="29"/>
      <c r="S75" s="68" t="s">
        <v>112</v>
      </c>
      <c r="T75" s="65">
        <v>0</v>
      </c>
      <c r="U75" s="28"/>
      <c r="V75" s="28">
        <f>T75</f>
        <v>0</v>
      </c>
      <c r="W75" s="21"/>
      <c r="X75" s="21"/>
      <c r="Y75" s="21"/>
      <c r="Z75" s="29"/>
      <c r="AB75" s="68" t="s">
        <v>112</v>
      </c>
      <c r="AC75" s="65">
        <v>0</v>
      </c>
      <c r="AD75" s="28"/>
      <c r="AE75" s="28">
        <f>AC75</f>
        <v>0</v>
      </c>
      <c r="AF75" s="21"/>
      <c r="AG75" s="21"/>
      <c r="AH75" s="21"/>
      <c r="AI75" s="29"/>
    </row>
    <row r="76" spans="1:35">
      <c r="A76" s="70" t="s">
        <v>113</v>
      </c>
      <c r="B76" s="75">
        <v>0</v>
      </c>
      <c r="C76" s="28"/>
      <c r="D76" s="28">
        <f>B76</f>
        <v>0</v>
      </c>
      <c r="E76" s="21"/>
      <c r="F76" s="28"/>
      <c r="G76" s="21"/>
      <c r="H76" s="29"/>
      <c r="J76" s="70" t="s">
        <v>113</v>
      </c>
      <c r="K76" s="75">
        <v>0</v>
      </c>
      <c r="L76" s="28"/>
      <c r="M76" s="28">
        <f>K76</f>
        <v>0</v>
      </c>
      <c r="N76" s="21"/>
      <c r="O76" s="21"/>
      <c r="P76" s="21"/>
      <c r="Q76" s="29"/>
      <c r="S76" s="70" t="s">
        <v>113</v>
      </c>
      <c r="T76" s="75">
        <v>0</v>
      </c>
      <c r="U76" s="28"/>
      <c r="V76" s="28">
        <f>T76</f>
        <v>0</v>
      </c>
      <c r="W76" s="21"/>
      <c r="X76" s="21"/>
      <c r="Y76" s="21"/>
      <c r="Z76" s="29"/>
      <c r="AB76" s="70" t="s">
        <v>113</v>
      </c>
      <c r="AC76" s="75">
        <v>0</v>
      </c>
      <c r="AD76" s="28"/>
      <c r="AE76" s="28">
        <f>AC76</f>
        <v>0</v>
      </c>
      <c r="AF76" s="21"/>
      <c r="AG76" s="21"/>
      <c r="AH76" s="21"/>
      <c r="AI76" s="29"/>
    </row>
    <row r="77" spans="1:35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  <c r="J77" s="76" t="s">
        <v>114</v>
      </c>
      <c r="K77" s="77">
        <f>SUM(M65:M76)</f>
        <v>0</v>
      </c>
      <c r="L77" s="28"/>
      <c r="M77" s="28"/>
      <c r="N77" s="21"/>
      <c r="O77" s="21"/>
      <c r="P77" s="21"/>
      <c r="Q77" s="29"/>
      <c r="S77" s="76" t="s">
        <v>114</v>
      </c>
      <c r="T77" s="77">
        <f>SUM(V65:V76)</f>
        <v>0</v>
      </c>
      <c r="U77" s="28"/>
      <c r="V77" s="28"/>
      <c r="W77" s="21"/>
      <c r="X77" s="21"/>
      <c r="Y77" s="21"/>
      <c r="Z77" s="29"/>
      <c r="AB77" s="76" t="s">
        <v>114</v>
      </c>
      <c r="AC77" s="77">
        <f>SUM(AE65:AE76)</f>
        <v>0</v>
      </c>
      <c r="AD77" s="28"/>
      <c r="AE77" s="28"/>
      <c r="AF77" s="21"/>
      <c r="AG77" s="21"/>
      <c r="AH77" s="21"/>
      <c r="AI77" s="29"/>
    </row>
    <row r="78" spans="1:35">
      <c r="A78" s="27" t="s">
        <v>115</v>
      </c>
      <c r="B78" s="29">
        <f>B77/K29</f>
        <v>0</v>
      </c>
      <c r="C78" s="28"/>
      <c r="D78" s="28"/>
      <c r="E78" s="21"/>
      <c r="F78" s="21"/>
      <c r="G78" s="21"/>
      <c r="H78" s="29"/>
      <c r="J78" s="27" t="s">
        <v>115</v>
      </c>
      <c r="K78" s="29">
        <f>K77/K29</f>
        <v>0</v>
      </c>
      <c r="L78" s="28"/>
      <c r="M78" s="28"/>
      <c r="N78" s="21"/>
      <c r="O78" s="21"/>
      <c r="P78" s="21"/>
      <c r="Q78" s="29"/>
      <c r="S78" s="27" t="s">
        <v>115</v>
      </c>
      <c r="T78" s="29">
        <f>T77/K29</f>
        <v>0</v>
      </c>
      <c r="U78" s="28"/>
      <c r="V78" s="28"/>
      <c r="W78" s="21"/>
      <c r="X78" s="21"/>
      <c r="Y78" s="21"/>
      <c r="Z78" s="29"/>
      <c r="AB78" s="27" t="s">
        <v>115</v>
      </c>
      <c r="AC78" s="29">
        <f>AC77/K29</f>
        <v>0</v>
      </c>
      <c r="AD78" s="28"/>
      <c r="AE78" s="28"/>
      <c r="AF78" s="21"/>
      <c r="AG78" s="21"/>
      <c r="AH78" s="21"/>
      <c r="AI78" s="29"/>
    </row>
    <row r="79" spans="1:35">
      <c r="A79" s="78" t="s">
        <v>116</v>
      </c>
      <c r="B79" s="52">
        <f>K47</f>
        <v>567.00655321543638</v>
      </c>
      <c r="C79" s="28"/>
      <c r="D79" s="28"/>
      <c r="E79" s="21"/>
      <c r="F79" s="21"/>
      <c r="G79" s="21"/>
      <c r="H79" s="29"/>
      <c r="J79" s="78" t="s">
        <v>116</v>
      </c>
      <c r="K79" s="52">
        <f>K47</f>
        <v>567.00655321543638</v>
      </c>
      <c r="L79" s="28"/>
      <c r="M79" s="28"/>
      <c r="N79" s="21"/>
      <c r="O79" s="21"/>
      <c r="P79" s="21"/>
      <c r="Q79" s="29"/>
      <c r="S79" s="78" t="s">
        <v>116</v>
      </c>
      <c r="T79" s="52">
        <f>B52</f>
        <v>567.00655321543638</v>
      </c>
      <c r="U79" s="28"/>
      <c r="V79" s="28"/>
      <c r="W79" s="21"/>
      <c r="X79" s="21"/>
      <c r="Y79" s="21"/>
      <c r="Z79" s="29"/>
      <c r="AB79" s="78" t="s">
        <v>116</v>
      </c>
      <c r="AC79" s="52">
        <f>B52</f>
        <v>567.00655321543638</v>
      </c>
      <c r="AD79" s="28"/>
      <c r="AE79" s="28"/>
      <c r="AF79" s="21"/>
      <c r="AG79" s="21"/>
      <c r="AH79" s="21"/>
      <c r="AI79" s="29"/>
    </row>
    <row r="80" spans="1:35">
      <c r="A80" s="27"/>
      <c r="B80" s="28"/>
      <c r="C80" s="28"/>
      <c r="D80" s="28"/>
      <c r="E80" s="21"/>
      <c r="F80" s="21"/>
      <c r="G80" s="21"/>
      <c r="H80" s="29"/>
      <c r="J80" s="27"/>
      <c r="K80" s="28"/>
      <c r="L80" s="28"/>
      <c r="M80" s="28"/>
      <c r="N80" s="21"/>
      <c r="O80" s="21"/>
      <c r="P80" s="21"/>
      <c r="Q80" s="29"/>
      <c r="S80" s="27"/>
      <c r="T80" s="28"/>
      <c r="U80" s="28"/>
      <c r="V80" s="28"/>
      <c r="W80" s="21"/>
      <c r="X80" s="21"/>
      <c r="Y80" s="21"/>
      <c r="Z80" s="29"/>
      <c r="AB80" s="27"/>
      <c r="AC80" s="28"/>
      <c r="AD80" s="28"/>
      <c r="AE80" s="28"/>
      <c r="AF80" s="21"/>
      <c r="AG80" s="21"/>
      <c r="AH80" s="21"/>
      <c r="AI80" s="29"/>
    </row>
    <row r="81" spans="1:35">
      <c r="A81" s="22" t="s">
        <v>117</v>
      </c>
      <c r="B81" s="24">
        <f>G158</f>
        <v>23920.003999999997</v>
      </c>
      <c r="C81" s="28"/>
      <c r="D81" s="28"/>
      <c r="E81" s="21"/>
      <c r="F81" s="22" t="s">
        <v>117</v>
      </c>
      <c r="G81" s="24">
        <f>G158</f>
        <v>23920.003999999997</v>
      </c>
      <c r="H81" s="29"/>
      <c r="J81" s="22" t="s">
        <v>117</v>
      </c>
      <c r="K81" s="24" t="e">
        <f>P158</f>
        <v>#VALUE!</v>
      </c>
      <c r="L81" s="28"/>
      <c r="M81" s="28"/>
      <c r="N81" s="21"/>
      <c r="O81" s="21"/>
      <c r="P81" s="21"/>
      <c r="Q81" s="29"/>
      <c r="S81" s="22" t="s">
        <v>117</v>
      </c>
      <c r="T81" s="24" t="e">
        <f>Y158</f>
        <v>#VALUE!</v>
      </c>
      <c r="U81" s="28"/>
      <c r="V81" s="28"/>
      <c r="W81" s="21"/>
      <c r="X81" s="21"/>
      <c r="Y81" s="21"/>
      <c r="Z81" s="29"/>
      <c r="AB81" s="22" t="s">
        <v>117</v>
      </c>
      <c r="AC81" s="24" t="e">
        <f>AH158</f>
        <v>#VALUE!</v>
      </c>
      <c r="AD81" s="28"/>
      <c r="AE81" s="28"/>
      <c r="AF81" s="21"/>
      <c r="AG81" s="21"/>
      <c r="AH81" s="21"/>
      <c r="AI81" s="29"/>
    </row>
    <row r="82" spans="1:35">
      <c r="A82" s="27" t="s">
        <v>118</v>
      </c>
      <c r="B82" s="29">
        <f>IF(A111="YES",A40,0)</f>
        <v>0</v>
      </c>
      <c r="C82" s="28"/>
      <c r="D82" s="28"/>
      <c r="E82" s="21"/>
      <c r="F82" s="27" t="s">
        <v>118</v>
      </c>
      <c r="G82" s="29">
        <f>IF(A111="YES",A40,0)</f>
        <v>0</v>
      </c>
      <c r="H82" s="29"/>
      <c r="J82" s="27" t="s">
        <v>118</v>
      </c>
      <c r="K82" s="29">
        <f>IF(J111="YES",A40,0)</f>
        <v>0</v>
      </c>
      <c r="L82" s="28"/>
      <c r="M82" s="28"/>
      <c r="N82" s="21"/>
      <c r="O82" s="21"/>
      <c r="P82" s="21"/>
      <c r="Q82" s="29"/>
      <c r="S82" s="27" t="s">
        <v>118</v>
      </c>
      <c r="T82" s="29">
        <f>A40</f>
        <v>0</v>
      </c>
      <c r="U82" s="28"/>
      <c r="V82" s="28"/>
      <c r="W82" s="21"/>
      <c r="X82" s="21"/>
      <c r="Y82" s="21"/>
      <c r="Z82" s="29"/>
      <c r="AB82" s="27" t="s">
        <v>118</v>
      </c>
      <c r="AC82" s="29">
        <f>A40</f>
        <v>0</v>
      </c>
      <c r="AD82" s="28"/>
      <c r="AE82" s="28"/>
      <c r="AF82" s="21"/>
      <c r="AG82" s="21"/>
      <c r="AH82" s="21"/>
      <c r="AI82" s="29"/>
    </row>
    <row r="83" spans="1:35">
      <c r="A83" s="27" t="s">
        <v>119</v>
      </c>
      <c r="B83" s="79">
        <f>B62+B63+B64</f>
        <v>0.13700000000000001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J83" s="27" t="s">
        <v>119</v>
      </c>
      <c r="K83" s="72">
        <f>K62+K63+K64</f>
        <v>0.24000000000000002</v>
      </c>
      <c r="L83" s="28"/>
      <c r="M83" s="28"/>
      <c r="N83" s="21"/>
      <c r="O83" s="21"/>
      <c r="P83" s="21"/>
      <c r="Q83" s="29"/>
      <c r="S83" s="27" t="s">
        <v>119</v>
      </c>
      <c r="T83" s="72">
        <f>T62+T63+T64</f>
        <v>0.13100000000000001</v>
      </c>
      <c r="U83" s="28"/>
      <c r="V83" s="28"/>
      <c r="W83" s="21"/>
      <c r="X83" s="21"/>
      <c r="Y83" s="21"/>
      <c r="Z83" s="29"/>
      <c r="AB83" s="27" t="s">
        <v>119</v>
      </c>
      <c r="AC83" s="72">
        <f>AC62+AC63+AC64</f>
        <v>0.13100000000000001</v>
      </c>
      <c r="AD83" s="28"/>
      <c r="AE83" s="28"/>
      <c r="AF83" s="21"/>
      <c r="AG83" s="21"/>
      <c r="AH83" s="21"/>
      <c r="AI83" s="29"/>
    </row>
    <row r="84" spans="1:35">
      <c r="A84" s="27" t="s">
        <v>120</v>
      </c>
      <c r="B84" s="72">
        <f>B83/12</f>
        <v>1.1416666666666667E-2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J84" s="27" t="s">
        <v>120</v>
      </c>
      <c r="K84" s="72">
        <f>K83/12</f>
        <v>0.02</v>
      </c>
      <c r="L84" s="28"/>
      <c r="M84" s="28"/>
      <c r="N84" s="21"/>
      <c r="O84" s="21"/>
      <c r="P84" s="21"/>
      <c r="Q84" s="29"/>
      <c r="S84" s="27" t="s">
        <v>120</v>
      </c>
      <c r="T84" s="72">
        <f>T83/12</f>
        <v>1.0916666666666667E-2</v>
      </c>
      <c r="U84" s="28"/>
      <c r="V84" s="28"/>
      <c r="W84" s="21"/>
      <c r="X84" s="21"/>
      <c r="Y84" s="21"/>
      <c r="Z84" s="29"/>
      <c r="AB84" s="27" t="s">
        <v>120</v>
      </c>
      <c r="AC84" s="72">
        <f>AC83/12</f>
        <v>1.0916666666666667E-2</v>
      </c>
      <c r="AD84" s="28"/>
      <c r="AE84" s="28"/>
      <c r="AF84" s="21"/>
      <c r="AG84" s="21"/>
      <c r="AH84" s="21"/>
      <c r="AI84" s="29"/>
    </row>
    <row r="85" spans="1:35">
      <c r="A85" s="27" t="s">
        <v>121</v>
      </c>
      <c r="B85" s="29">
        <f>B59</f>
        <v>35</v>
      </c>
      <c r="C85" s="28"/>
      <c r="D85" s="28"/>
      <c r="E85" s="21"/>
      <c r="F85" s="27" t="s">
        <v>121</v>
      </c>
      <c r="G85" s="29">
        <f>IF(G82=0,(B59+B58),(B59))</f>
        <v>36</v>
      </c>
      <c r="H85" s="29"/>
      <c r="J85" s="27" t="s">
        <v>121</v>
      </c>
      <c r="K85" s="29">
        <f>IF(K82=0,(K59+K58),(K59))</f>
        <v>36</v>
      </c>
      <c r="L85" s="28"/>
      <c r="M85" s="28"/>
      <c r="N85" s="21"/>
      <c r="O85" s="21"/>
      <c r="P85" s="21"/>
      <c r="Q85" s="29"/>
      <c r="S85" s="27" t="s">
        <v>121</v>
      </c>
      <c r="T85" s="29">
        <f>T59</f>
        <v>35</v>
      </c>
      <c r="U85" s="28"/>
      <c r="V85" s="28"/>
      <c r="W85" s="21"/>
      <c r="X85" s="21"/>
      <c r="Y85" s="21"/>
      <c r="Z85" s="29"/>
      <c r="AB85" s="27" t="s">
        <v>121</v>
      </c>
      <c r="AC85" s="29">
        <f>AC59</f>
        <v>35</v>
      </c>
      <c r="AD85" s="28"/>
      <c r="AE85" s="28"/>
      <c r="AF85" s="21"/>
      <c r="AG85" s="21"/>
      <c r="AH85" s="21"/>
      <c r="AI85" s="29"/>
    </row>
    <row r="86" spans="1:35">
      <c r="A86" s="27" t="s">
        <v>122</v>
      </c>
      <c r="B86" s="29">
        <f>(B82/((1+B84)^(B85+1)))</f>
        <v>0</v>
      </c>
      <c r="C86" s="28"/>
      <c r="D86" s="28"/>
      <c r="E86" s="21"/>
      <c r="F86" s="27" t="s">
        <v>122</v>
      </c>
      <c r="G86" s="29">
        <f>(G82/((1+G84)^(G85+1)))</f>
        <v>0</v>
      </c>
      <c r="H86" s="29"/>
      <c r="J86" s="27" t="s">
        <v>122</v>
      </c>
      <c r="K86" s="29">
        <f>(K82/((1+K84)^(K85+1)))</f>
        <v>0</v>
      </c>
      <c r="L86" s="28"/>
      <c r="M86" s="28"/>
      <c r="N86" s="21"/>
      <c r="O86" s="21"/>
      <c r="P86" s="21"/>
      <c r="Q86" s="29"/>
      <c r="S86" s="27" t="s">
        <v>122</v>
      </c>
      <c r="T86" s="29">
        <f>(T82/((1+T84)^(T85+1)))</f>
        <v>0</v>
      </c>
      <c r="U86" s="28"/>
      <c r="V86" s="28"/>
      <c r="W86" s="21"/>
      <c r="X86" s="21"/>
      <c r="Y86" s="21"/>
      <c r="Z86" s="29"/>
      <c r="AB86" s="27" t="s">
        <v>122</v>
      </c>
      <c r="AC86" s="29">
        <f>(AC82/((1+AC84)^(AC85+1)))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123</v>
      </c>
      <c r="B87" s="29">
        <f>((1-(1/((1+B84)^B85)))/B84)</f>
        <v>28.719487222344867</v>
      </c>
      <c r="C87" s="28"/>
      <c r="D87" s="28"/>
      <c r="E87" s="21"/>
      <c r="F87" s="27" t="s">
        <v>123</v>
      </c>
      <c r="G87" s="29">
        <f>((1-(1/((1+G84)^G85)))/G84)</f>
        <v>32.627488862497948</v>
      </c>
      <c r="H87" s="29"/>
      <c r="J87" s="27" t="s">
        <v>123</v>
      </c>
      <c r="K87" s="29">
        <f>((1-(1/((1+K84)^K85)))/K84)</f>
        <v>25.488842482387387</v>
      </c>
      <c r="L87" s="28"/>
      <c r="M87" s="28"/>
      <c r="N87" s="21"/>
      <c r="O87" s="21"/>
      <c r="P87" s="21"/>
      <c r="Q87" s="29"/>
      <c r="S87" s="27" t="s">
        <v>123</v>
      </c>
      <c r="T87" s="29">
        <f>((1-(1/((1+T84)^T85)))/T84)</f>
        <v>28.960065194107752</v>
      </c>
      <c r="U87" s="28"/>
      <c r="V87" s="28"/>
      <c r="W87" s="21"/>
      <c r="X87" s="21"/>
      <c r="Y87" s="21"/>
      <c r="Z87" s="29"/>
      <c r="AB87" s="27" t="s">
        <v>123</v>
      </c>
      <c r="AC87" s="29">
        <f>((1-(1/((1+AC84)^AC85)))/AC84)</f>
        <v>28.960065194107752</v>
      </c>
      <c r="AD87" s="28"/>
      <c r="AE87" s="28"/>
      <c r="AF87" s="21"/>
      <c r="AG87" s="21"/>
      <c r="AH87" s="21"/>
      <c r="AI87" s="29"/>
    </row>
    <row r="88" spans="1:35">
      <c r="A88" s="27" t="s">
        <v>124</v>
      </c>
      <c r="B88" s="29">
        <f>B81-B86</f>
        <v>23920.003999999997</v>
      </c>
      <c r="C88" s="28"/>
      <c r="D88" s="28"/>
      <c r="E88" s="21"/>
      <c r="F88" s="27" t="s">
        <v>124</v>
      </c>
      <c r="G88" s="29">
        <f>G81-G86</f>
        <v>23920.003999999997</v>
      </c>
      <c r="H88" s="29"/>
      <c r="J88" s="27" t="s">
        <v>124</v>
      </c>
      <c r="K88" s="29" t="e">
        <f>K81-K86</f>
        <v>#VALUE!</v>
      </c>
      <c r="L88" s="28"/>
      <c r="M88" s="28"/>
      <c r="N88" s="21"/>
      <c r="O88" s="21"/>
      <c r="P88" s="21"/>
      <c r="Q88" s="29"/>
      <c r="S88" s="27" t="s">
        <v>124</v>
      </c>
      <c r="T88" s="29" t="e">
        <f>T81-T86</f>
        <v>#VALUE!</v>
      </c>
      <c r="U88" s="28"/>
      <c r="V88" s="28"/>
      <c r="W88" s="21"/>
      <c r="X88" s="21"/>
      <c r="Y88" s="21"/>
      <c r="Z88" s="29"/>
      <c r="AB88" s="27" t="s">
        <v>124</v>
      </c>
      <c r="AC88" s="29" t="e">
        <f>AC81-AC86</f>
        <v>#VALUE!</v>
      </c>
      <c r="AD88" s="28"/>
      <c r="AE88" s="28"/>
      <c r="AF88" s="21"/>
      <c r="AG88" s="21"/>
      <c r="AH88" s="21"/>
      <c r="AI88" s="29"/>
    </row>
    <row r="89" spans="1:35">
      <c r="A89" s="27" t="s">
        <v>125</v>
      </c>
      <c r="B89" s="29">
        <f>(B88/B87)</f>
        <v>832.88409068074566</v>
      </c>
      <c r="C89" s="28"/>
      <c r="D89" s="28"/>
      <c r="E89" s="21"/>
      <c r="F89" s="27" t="s">
        <v>125</v>
      </c>
      <c r="G89" s="29">
        <f>(G88/G87)</f>
        <v>733.12427140213242</v>
      </c>
      <c r="H89" s="29"/>
      <c r="J89" s="27" t="s">
        <v>125</v>
      </c>
      <c r="K89" s="29" t="e">
        <f>(K88/K87)</f>
        <v>#VALUE!</v>
      </c>
      <c r="L89" s="28"/>
      <c r="M89" s="28"/>
      <c r="N89" s="21"/>
      <c r="O89" s="21"/>
      <c r="P89" s="21"/>
      <c r="Q89" s="29"/>
      <c r="S89" s="27" t="s">
        <v>125</v>
      </c>
      <c r="T89" s="29" t="e">
        <f>(T88/T87)</f>
        <v>#VALUE!</v>
      </c>
      <c r="U89" s="28"/>
      <c r="V89" s="28"/>
      <c r="W89" s="21"/>
      <c r="X89" s="21"/>
      <c r="Y89" s="21"/>
      <c r="Z89" s="29"/>
      <c r="AB89" s="27" t="s">
        <v>125</v>
      </c>
      <c r="AC89" s="29" t="e">
        <f>(AC88/AC87)</f>
        <v>#VALUE!</v>
      </c>
      <c r="AD89" s="28"/>
      <c r="AE89" s="28"/>
      <c r="AF89" s="21"/>
      <c r="AG89" s="21"/>
      <c r="AH89" s="21"/>
      <c r="AI89" s="29"/>
    </row>
    <row r="90" spans="1:35">
      <c r="A90" s="27" t="s">
        <v>126</v>
      </c>
      <c r="B90" s="29">
        <f>((B89*(B85))+B77)</f>
        <v>29150.943173826097</v>
      </c>
      <c r="C90" s="28"/>
      <c r="D90" s="28"/>
      <c r="E90" s="21"/>
      <c r="F90" s="27" t="s">
        <v>126</v>
      </c>
      <c r="G90" s="29">
        <f>((G89*(G85))+G77)</f>
        <v>26392.473770476769</v>
      </c>
      <c r="H90" s="29"/>
      <c r="J90" s="27" t="s">
        <v>126</v>
      </c>
      <c r="K90" s="29" t="e">
        <f>((K89*(K85))+K77)</f>
        <v>#VALUE!</v>
      </c>
      <c r="L90" s="28"/>
      <c r="M90" s="28"/>
      <c r="N90" s="21"/>
      <c r="O90" s="21"/>
      <c r="P90" s="21"/>
      <c r="Q90" s="29"/>
      <c r="S90" s="27" t="s">
        <v>126</v>
      </c>
      <c r="T90" s="29" t="e">
        <f>(T89*(T85))+T77</f>
        <v>#VALUE!</v>
      </c>
      <c r="U90" s="28"/>
      <c r="V90" s="28"/>
      <c r="W90" s="21"/>
      <c r="X90" s="21"/>
      <c r="Y90" s="21"/>
      <c r="Z90" s="29"/>
      <c r="AB90" s="27" t="s">
        <v>126</v>
      </c>
      <c r="AC90" s="29" t="e">
        <f>(AC89*(AC59))+AC77</f>
        <v>#VALUE!</v>
      </c>
      <c r="AD90" s="28"/>
      <c r="AE90" s="28"/>
      <c r="AF90" s="21"/>
      <c r="AG90" s="21"/>
      <c r="AH90" s="21"/>
      <c r="AI90" s="29"/>
    </row>
    <row r="91" spans="1:35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  <c r="J91" s="27" t="s">
        <v>127</v>
      </c>
      <c r="K91" s="29" t="e">
        <f>(K90/(1-K71))*K71</f>
        <v>#VALUE!</v>
      </c>
      <c r="L91" s="28"/>
      <c r="M91" s="28"/>
      <c r="N91" s="21"/>
      <c r="O91" s="21"/>
      <c r="P91" s="21"/>
      <c r="Q91" s="29"/>
      <c r="S91" s="27" t="s">
        <v>127</v>
      </c>
      <c r="T91" s="29" t="e">
        <f>(T90/(1-T71))*T71</f>
        <v>#VALUE!</v>
      </c>
      <c r="U91" s="28"/>
      <c r="V91" s="28"/>
      <c r="W91" s="21"/>
      <c r="X91" s="21"/>
      <c r="Y91" s="21"/>
      <c r="Z91" s="29"/>
      <c r="AB91" s="27" t="s">
        <v>127</v>
      </c>
      <c r="AC91" s="29" t="e">
        <f>(AC90/(1-AC71))*AC71</f>
        <v>#VALUE!</v>
      </c>
      <c r="AD91" s="28"/>
      <c r="AE91" s="28"/>
      <c r="AF91" s="21"/>
      <c r="AG91" s="21"/>
      <c r="AH91" s="21"/>
      <c r="AI91" s="29"/>
    </row>
    <row r="92" spans="1:35">
      <c r="A92" s="49" t="s">
        <v>128</v>
      </c>
      <c r="B92" s="57">
        <f>(B90+B91)</f>
        <v>29150.943173826097</v>
      </c>
      <c r="C92" s="28"/>
      <c r="D92" s="28"/>
      <c r="E92" s="21"/>
      <c r="F92" s="49" t="s">
        <v>128</v>
      </c>
      <c r="G92" s="57">
        <f>(G90+G91)</f>
        <v>26392.473770476769</v>
      </c>
      <c r="H92" s="29"/>
      <c r="J92" s="49" t="s">
        <v>128</v>
      </c>
      <c r="K92" s="57" t="e">
        <f>(K90+K91)</f>
        <v>#VALUE!</v>
      </c>
      <c r="L92" s="28"/>
      <c r="M92" s="28"/>
      <c r="N92" s="21"/>
      <c r="O92" s="21"/>
      <c r="P92" s="21"/>
      <c r="Q92" s="29"/>
      <c r="S92" s="49" t="s">
        <v>128</v>
      </c>
      <c r="T92" s="57" t="e">
        <f>(T90+T91)</f>
        <v>#VALUE!</v>
      </c>
      <c r="U92" s="28"/>
      <c r="V92" s="28"/>
      <c r="W92" s="21"/>
      <c r="X92" s="21"/>
      <c r="Y92" s="21"/>
      <c r="Z92" s="29"/>
      <c r="AB92" s="49" t="s">
        <v>128</v>
      </c>
      <c r="AC92" s="57" t="e">
        <f>(AC90+AC91)</f>
        <v>#VALUE!</v>
      </c>
      <c r="AD92" s="28"/>
      <c r="AE92" s="28"/>
      <c r="AF92" s="21"/>
      <c r="AG92" s="21"/>
      <c r="AH92" s="21"/>
      <c r="AI92" s="29"/>
    </row>
    <row r="93" spans="1:35">
      <c r="A93" s="27"/>
      <c r="B93" s="28"/>
      <c r="C93" s="28"/>
      <c r="D93" s="28"/>
      <c r="E93" s="21"/>
      <c r="F93" s="27"/>
      <c r="G93" s="28"/>
      <c r="H93" s="29"/>
      <c r="J93" s="27"/>
      <c r="K93" s="28"/>
      <c r="L93" s="28"/>
      <c r="M93" s="28"/>
      <c r="N93" s="21"/>
      <c r="O93" s="21"/>
      <c r="P93" s="21"/>
      <c r="Q93" s="29"/>
      <c r="S93" s="27"/>
      <c r="T93" s="28"/>
      <c r="U93" s="28"/>
      <c r="V93" s="28"/>
      <c r="W93" s="21"/>
      <c r="X93" s="21"/>
      <c r="Y93" s="21"/>
      <c r="Z93" s="29"/>
      <c r="AB93" s="27"/>
      <c r="AC93" s="28"/>
      <c r="AD93" s="28"/>
      <c r="AE93" s="28"/>
      <c r="AF93" s="21"/>
      <c r="AG93" s="21"/>
      <c r="AH93" s="21"/>
      <c r="AI93" s="29"/>
    </row>
    <row r="94" spans="1:35">
      <c r="A94" s="76" t="s">
        <v>129</v>
      </c>
      <c r="B94" s="80" t="str">
        <f>IF(B26="YES",((E40/B85)*(1+A108)*1.2*(C45/100)),"0")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  <c r="J94" s="76" t="s">
        <v>129</v>
      </c>
      <c r="K94" s="77">
        <f>((E40/K85)*(1+J108))*1.2</f>
        <v>0</v>
      </c>
      <c r="L94" s="28"/>
      <c r="M94" s="28"/>
      <c r="N94" s="21"/>
      <c r="O94" s="21"/>
      <c r="P94" s="21"/>
      <c r="Q94" s="29"/>
      <c r="S94" s="76" t="s">
        <v>129</v>
      </c>
      <c r="T94" s="77">
        <f>((E40/T85)*(1+S108))</f>
        <v>0</v>
      </c>
      <c r="U94" s="28"/>
      <c r="V94" s="28"/>
      <c r="W94" s="21"/>
      <c r="X94" s="21"/>
      <c r="Y94" s="21"/>
      <c r="Z94" s="29"/>
      <c r="AB94" s="76" t="s">
        <v>129</v>
      </c>
      <c r="AC94" s="77">
        <f>((E40/AC85)*(1+AB108))*1.2</f>
        <v>0</v>
      </c>
      <c r="AD94" s="28"/>
      <c r="AE94" s="28"/>
      <c r="AF94" s="21"/>
      <c r="AG94" s="21"/>
      <c r="AH94" s="21"/>
      <c r="AI94" s="29"/>
    </row>
    <row r="95" spans="1:35">
      <c r="A95" s="81" t="s">
        <v>130</v>
      </c>
      <c r="B95" s="82">
        <f>(B92/B85)</f>
        <v>832.88409068074566</v>
      </c>
      <c r="C95" s="28"/>
      <c r="D95" s="28"/>
      <c r="E95" s="21"/>
      <c r="F95" s="81" t="s">
        <v>130</v>
      </c>
      <c r="G95" s="82">
        <f>G92/(G85)</f>
        <v>733.12427140213242</v>
      </c>
      <c r="H95" s="29"/>
      <c r="J95" s="81" t="s">
        <v>130</v>
      </c>
      <c r="K95" s="82" t="e">
        <f>K92/(K85)</f>
        <v>#VALUE!</v>
      </c>
      <c r="L95" s="28"/>
      <c r="M95" s="28"/>
      <c r="N95" s="21"/>
      <c r="O95" s="21"/>
      <c r="P95" s="21"/>
      <c r="Q95" s="29"/>
      <c r="S95" s="81" t="s">
        <v>130</v>
      </c>
      <c r="T95" s="82" t="e">
        <f>T92/(T85)</f>
        <v>#VALUE!</v>
      </c>
      <c r="U95" s="28"/>
      <c r="V95" s="28"/>
      <c r="W95" s="21"/>
      <c r="X95" s="21"/>
      <c r="Y95" s="21"/>
      <c r="Z95" s="29"/>
      <c r="AB95" s="81" t="s">
        <v>130</v>
      </c>
      <c r="AC95" s="82" t="e">
        <f>AC92/(AC59)</f>
        <v>#VALUE!</v>
      </c>
      <c r="AD95" s="28"/>
      <c r="AE95" s="28"/>
      <c r="AF95" s="21"/>
      <c r="AG95" s="21"/>
      <c r="AH95" s="21"/>
      <c r="AI95" s="29"/>
    </row>
    <row r="96" spans="1:35">
      <c r="A96" s="83" t="s">
        <v>131</v>
      </c>
      <c r="B96" s="84">
        <f>B94+B95</f>
        <v>832.88409068074566</v>
      </c>
      <c r="C96" s="28"/>
      <c r="D96" s="28"/>
      <c r="E96" s="21"/>
      <c r="F96" s="83" t="s">
        <v>131</v>
      </c>
      <c r="G96" s="84">
        <f>G94+G95</f>
        <v>733.12427140213242</v>
      </c>
      <c r="H96" s="29"/>
      <c r="J96" s="83" t="s">
        <v>131</v>
      </c>
      <c r="K96" s="84" t="e">
        <f>(K94+K95)</f>
        <v>#VALUE!</v>
      </c>
      <c r="L96" s="28"/>
      <c r="M96" s="28"/>
      <c r="N96" s="21"/>
      <c r="O96" s="21"/>
      <c r="P96" s="21"/>
      <c r="Q96" s="29"/>
      <c r="S96" s="83" t="s">
        <v>131</v>
      </c>
      <c r="T96" s="84" t="e">
        <f>T94+T95</f>
        <v>#VALUE!</v>
      </c>
      <c r="U96" s="28"/>
      <c r="V96" s="28"/>
      <c r="W96" s="21"/>
      <c r="X96" s="21"/>
      <c r="Y96" s="21"/>
      <c r="Z96" s="29"/>
      <c r="AB96" s="83" t="s">
        <v>131</v>
      </c>
      <c r="AC96" s="84" t="e">
        <f>AC94+AC95</f>
        <v>#VALUE!</v>
      </c>
      <c r="AD96" s="28"/>
      <c r="AE96" s="28"/>
      <c r="AF96" s="21"/>
      <c r="AG96" s="21"/>
      <c r="AH96" s="21"/>
      <c r="AI96" s="29"/>
    </row>
    <row r="97" spans="1:42">
      <c r="A97" s="49"/>
      <c r="B97" s="50"/>
      <c r="C97" s="50"/>
      <c r="D97" s="50"/>
      <c r="E97" s="85"/>
      <c r="F97" s="85"/>
      <c r="G97" s="85"/>
      <c r="H97" s="57"/>
      <c r="J97" s="49"/>
      <c r="K97" s="50"/>
      <c r="L97" s="50"/>
      <c r="M97" s="50"/>
      <c r="N97" s="85"/>
      <c r="O97" s="85"/>
      <c r="P97" s="85"/>
      <c r="Q97" s="57"/>
      <c r="S97" s="49"/>
      <c r="T97" s="50"/>
      <c r="U97" s="50"/>
      <c r="V97" s="50"/>
      <c r="W97" s="85"/>
      <c r="X97" s="85"/>
      <c r="Y97" s="85"/>
      <c r="Z97" s="57"/>
      <c r="AB97" s="49"/>
      <c r="AC97" s="50"/>
      <c r="AD97" s="50"/>
      <c r="AE97" s="50"/>
      <c r="AF97" s="85"/>
      <c r="AG97" s="85"/>
      <c r="AH97" s="85"/>
      <c r="AI97" s="57"/>
    </row>
    <row r="98" spans="1:42" ht="14.25">
      <c r="A98" s="21"/>
      <c r="B98" s="21"/>
      <c r="C98" s="21"/>
      <c r="D98" s="21"/>
      <c r="E98" s="21"/>
      <c r="F98" s="21"/>
      <c r="G98" s="21"/>
      <c r="H98" s="21"/>
      <c r="J98" s="21"/>
      <c r="K98" s="21"/>
      <c r="L98" s="21"/>
      <c r="M98" s="21"/>
      <c r="N98" s="21"/>
      <c r="O98" s="21"/>
      <c r="P98" s="21"/>
      <c r="Q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</row>
    <row r="99" spans="1:42" ht="14.25">
      <c r="A99" s="21"/>
      <c r="B99" s="21"/>
      <c r="C99" s="21"/>
      <c r="D99" s="21"/>
      <c r="E99" s="21"/>
      <c r="F99" s="21"/>
      <c r="G99" s="21"/>
      <c r="H99" s="21"/>
      <c r="J99" s="21"/>
      <c r="K99" s="21"/>
      <c r="L99" s="21"/>
      <c r="M99" s="21"/>
      <c r="N99" s="21"/>
      <c r="O99" s="21"/>
      <c r="P99" s="21"/>
      <c r="Q99" s="21"/>
      <c r="S99" s="21"/>
      <c r="T99" s="21"/>
      <c r="U99" s="21"/>
      <c r="V99" s="21"/>
      <c r="W99" s="21"/>
      <c r="X99" s="21"/>
      <c r="Y99" s="21"/>
      <c r="Z99" s="21"/>
      <c r="AB99" s="21"/>
      <c r="AC99" s="21"/>
      <c r="AD99" s="21"/>
      <c r="AE99" s="21"/>
      <c r="AF99" s="21"/>
      <c r="AG99" s="21"/>
      <c r="AH99" s="21"/>
      <c r="AI99" s="21"/>
    </row>
    <row r="100" spans="1:42" ht="47.25" customHeight="1">
      <c r="A100" s="344" t="s">
        <v>132</v>
      </c>
      <c r="B100" s="344"/>
      <c r="C100" s="344"/>
      <c r="D100" s="344"/>
      <c r="E100" s="344"/>
      <c r="F100" s="344"/>
      <c r="G100" s="344"/>
      <c r="H100" s="344"/>
      <c r="J100" s="344" t="s">
        <v>133</v>
      </c>
      <c r="K100" s="344"/>
      <c r="L100" s="344"/>
      <c r="M100" s="344"/>
      <c r="N100" s="344"/>
      <c r="O100" s="344"/>
      <c r="P100" s="344"/>
      <c r="Q100" s="344"/>
      <c r="S100" s="344" t="s">
        <v>134</v>
      </c>
      <c r="T100" s="344"/>
      <c r="U100" s="344"/>
      <c r="V100" s="344"/>
      <c r="W100" s="344"/>
      <c r="X100" s="344"/>
      <c r="Y100" s="344"/>
      <c r="Z100" s="344"/>
      <c r="AB100" s="344" t="s">
        <v>135</v>
      </c>
      <c r="AC100" s="344"/>
      <c r="AD100" s="344"/>
      <c r="AE100" s="344"/>
      <c r="AF100" s="344"/>
      <c r="AG100" s="344"/>
      <c r="AH100" s="344"/>
      <c r="AI100" s="344"/>
    </row>
    <row r="101" spans="1:42">
      <c r="A101" s="22"/>
      <c r="B101" s="23"/>
      <c r="C101" s="23"/>
      <c r="D101" s="23"/>
      <c r="E101" s="63"/>
      <c r="F101" s="63"/>
      <c r="G101" s="63"/>
      <c r="H101" s="87"/>
      <c r="J101" s="22"/>
      <c r="K101" s="23"/>
      <c r="L101" s="23"/>
      <c r="M101" s="23"/>
      <c r="N101" s="63"/>
      <c r="O101" s="63"/>
      <c r="P101" s="63"/>
      <c r="Q101" s="87"/>
      <c r="S101" s="22"/>
      <c r="T101" s="23"/>
      <c r="U101" s="23"/>
      <c r="V101" s="23"/>
      <c r="W101" s="63"/>
      <c r="X101" s="63"/>
      <c r="Y101" s="63"/>
      <c r="Z101" s="87"/>
      <c r="AB101" s="22"/>
      <c r="AC101" s="23"/>
      <c r="AD101" s="23"/>
      <c r="AE101" s="23"/>
      <c r="AF101" s="63"/>
      <c r="AG101" s="63"/>
      <c r="AH101" s="63"/>
      <c r="AI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35" t="s">
        <v>136</v>
      </c>
      <c r="K102" s="335"/>
      <c r="L102" s="335"/>
      <c r="M102" s="335"/>
      <c r="N102" s="335"/>
      <c r="O102" s="335"/>
      <c r="P102" s="335"/>
      <c r="Q102" s="335"/>
      <c r="S102" s="335" t="s">
        <v>136</v>
      </c>
      <c r="T102" s="335"/>
      <c r="U102" s="335"/>
      <c r="V102" s="335"/>
      <c r="W102" s="335"/>
      <c r="X102" s="335"/>
      <c r="Y102" s="335"/>
      <c r="Z102" s="335"/>
      <c r="AB102" s="335" t="s">
        <v>136</v>
      </c>
      <c r="AC102" s="335"/>
      <c r="AD102" s="335"/>
      <c r="AE102" s="335"/>
      <c r="AF102" s="335"/>
      <c r="AG102" s="335"/>
      <c r="AH102" s="335"/>
      <c r="AI102" s="335"/>
    </row>
    <row r="103" spans="1:42">
      <c r="A103" s="27"/>
      <c r="B103" s="28"/>
      <c r="C103" s="28"/>
      <c r="D103" s="28"/>
      <c r="E103" s="21"/>
      <c r="F103" s="21"/>
      <c r="G103" s="21"/>
      <c r="H103" s="88"/>
      <c r="J103" s="27"/>
      <c r="K103" s="28"/>
      <c r="L103" s="28"/>
      <c r="M103" s="28"/>
      <c r="N103" s="21"/>
      <c r="O103" s="21"/>
      <c r="P103" s="21"/>
      <c r="Q103" s="88"/>
      <c r="S103" s="27"/>
      <c r="T103" s="28"/>
      <c r="U103" s="28"/>
      <c r="V103" s="28"/>
      <c r="W103" s="21"/>
      <c r="X103" s="21"/>
      <c r="Y103" s="21"/>
      <c r="Z103" s="88"/>
      <c r="AB103" s="27"/>
      <c r="AC103" s="28"/>
      <c r="AD103" s="28"/>
      <c r="AE103" s="28"/>
      <c r="AF103" s="21"/>
      <c r="AG103" s="21"/>
      <c r="AH103" s="21"/>
      <c r="AI103" s="88"/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J104" s="27" t="s">
        <v>137</v>
      </c>
      <c r="K104" s="28" t="s">
        <v>36</v>
      </c>
      <c r="L104" s="28"/>
      <c r="M104" s="28"/>
      <c r="N104" s="28" t="s">
        <v>138</v>
      </c>
      <c r="O104" s="28"/>
      <c r="P104" s="28"/>
      <c r="Q104" s="29"/>
      <c r="S104" s="27" t="s">
        <v>137</v>
      </c>
      <c r="T104" s="28" t="s">
        <v>36</v>
      </c>
      <c r="U104" s="28"/>
      <c r="V104" s="28"/>
      <c r="W104" s="28" t="s">
        <v>138</v>
      </c>
      <c r="X104" s="28"/>
      <c r="Y104" s="28"/>
      <c r="Z104" s="29"/>
      <c r="AB104" s="27" t="s">
        <v>137</v>
      </c>
      <c r="AC104" s="28" t="s">
        <v>36</v>
      </c>
      <c r="AD104" s="28"/>
      <c r="AE104" s="28"/>
      <c r="AF104" s="28" t="s">
        <v>138</v>
      </c>
      <c r="AG104" s="28"/>
      <c r="AH104" s="28"/>
      <c r="AI104" s="29"/>
    </row>
    <row r="105" spans="1:42">
      <c r="A105" s="32" t="s">
        <v>139</v>
      </c>
      <c r="B105" s="345" t="s">
        <v>140</v>
      </c>
      <c r="C105" s="345"/>
      <c r="D105" s="345"/>
      <c r="E105" s="403" t="s">
        <v>386</v>
      </c>
      <c r="F105" s="403"/>
      <c r="G105" s="403"/>
      <c r="H105" s="88"/>
      <c r="J105" s="32" t="s">
        <v>139</v>
      </c>
      <c r="K105" s="345" t="s">
        <v>140</v>
      </c>
      <c r="L105" s="345"/>
      <c r="M105" s="345"/>
      <c r="N105" s="346" t="s">
        <v>31</v>
      </c>
      <c r="O105" s="346"/>
      <c r="P105" s="346"/>
      <c r="Q105" s="88"/>
      <c r="S105" s="32" t="s">
        <v>139</v>
      </c>
      <c r="T105" s="345" t="s">
        <v>140</v>
      </c>
      <c r="U105" s="345"/>
      <c r="V105" s="345"/>
      <c r="W105" s="346" t="s">
        <v>31</v>
      </c>
      <c r="X105" s="346"/>
      <c r="Y105" s="346"/>
      <c r="Z105" s="88"/>
      <c r="AB105" s="32" t="s">
        <v>139</v>
      </c>
      <c r="AC105" s="345" t="s">
        <v>140</v>
      </c>
      <c r="AD105" s="345"/>
      <c r="AE105" s="345"/>
      <c r="AF105" s="346" t="s">
        <v>31</v>
      </c>
      <c r="AG105" s="346"/>
      <c r="AH105" s="346"/>
      <c r="AI105" s="88"/>
    </row>
    <row r="106" spans="1:42">
      <c r="A106" s="27"/>
      <c r="B106" s="28"/>
      <c r="C106" s="28"/>
      <c r="D106" s="21"/>
      <c r="E106" s="28"/>
      <c r="F106" s="28"/>
      <c r="G106" s="21"/>
      <c r="H106" s="29"/>
      <c r="J106" s="27"/>
      <c r="K106" s="28"/>
      <c r="L106" s="28"/>
      <c r="M106" s="21"/>
      <c r="N106" s="28"/>
      <c r="O106" s="28"/>
      <c r="P106" s="21"/>
      <c r="Q106" s="29"/>
      <c r="S106" s="27"/>
      <c r="T106" s="28"/>
      <c r="U106" s="28"/>
      <c r="V106" s="21"/>
      <c r="W106" s="28"/>
      <c r="X106" s="28"/>
      <c r="Y106" s="21"/>
      <c r="Z106" s="29"/>
      <c r="AB106" s="27"/>
      <c r="AC106" s="28"/>
      <c r="AD106" s="28"/>
      <c r="AE106" s="21"/>
      <c r="AF106" s="28"/>
      <c r="AG106" s="28"/>
      <c r="AH106" s="21"/>
      <c r="AI106" s="29"/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J107" s="27" t="s">
        <v>141</v>
      </c>
      <c r="K107" s="28" t="s">
        <v>142</v>
      </c>
      <c r="L107" s="28"/>
      <c r="M107" s="21"/>
      <c r="N107" s="28" t="s">
        <v>143</v>
      </c>
      <c r="O107" s="28"/>
      <c r="P107" s="21"/>
      <c r="Q107" s="88"/>
      <c r="S107" s="27" t="s">
        <v>141</v>
      </c>
      <c r="T107" s="28" t="s">
        <v>142</v>
      </c>
      <c r="U107" s="28"/>
      <c r="V107" s="21"/>
      <c r="W107" s="28" t="s">
        <v>143</v>
      </c>
      <c r="X107" s="28"/>
      <c r="Y107" s="21"/>
      <c r="Z107" s="88"/>
      <c r="AB107" s="27" t="s">
        <v>141</v>
      </c>
      <c r="AC107" s="28" t="s">
        <v>142</v>
      </c>
      <c r="AD107" s="28"/>
      <c r="AE107" s="21"/>
      <c r="AF107" s="28" t="s">
        <v>143</v>
      </c>
      <c r="AG107" s="28"/>
      <c r="AH107" s="21"/>
      <c r="AI107" s="88"/>
    </row>
    <row r="108" spans="1:42">
      <c r="A108" s="91">
        <v>0.2</v>
      </c>
      <c r="B108" s="348">
        <v>0</v>
      </c>
      <c r="C108" s="348"/>
      <c r="D108" s="348">
        <v>0</v>
      </c>
      <c r="E108" s="349">
        <f>B83</f>
        <v>0.13700000000000001</v>
      </c>
      <c r="F108" s="349"/>
      <c r="G108" s="349"/>
      <c r="H108" s="42"/>
      <c r="J108" s="91">
        <v>0.3</v>
      </c>
      <c r="K108" s="348" t="s">
        <v>144</v>
      </c>
      <c r="L108" s="348"/>
      <c r="M108" s="348"/>
      <c r="N108" s="349">
        <f>K83</f>
        <v>0.24000000000000002</v>
      </c>
      <c r="O108" s="349"/>
      <c r="P108" s="349"/>
      <c r="Q108" s="42"/>
      <c r="S108" s="91">
        <v>0.2</v>
      </c>
      <c r="T108" s="348" t="s">
        <v>145</v>
      </c>
      <c r="U108" s="348"/>
      <c r="V108" s="348"/>
      <c r="W108" s="349">
        <f>T83</f>
        <v>0.13100000000000001</v>
      </c>
      <c r="X108" s="349"/>
      <c r="Y108" s="349"/>
      <c r="Z108" s="42"/>
      <c r="AB108" s="91">
        <v>0.2</v>
      </c>
      <c r="AC108" s="348" t="s">
        <v>145</v>
      </c>
      <c r="AD108" s="348"/>
      <c r="AE108" s="348"/>
      <c r="AF108" s="350">
        <f>AC83</f>
        <v>0.13100000000000001</v>
      </c>
      <c r="AG108" s="350"/>
      <c r="AH108" s="350"/>
      <c r="AI108" s="42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J109" s="27"/>
      <c r="K109" s="28"/>
      <c r="L109" s="28"/>
      <c r="M109" s="28"/>
      <c r="N109" s="28"/>
      <c r="O109" s="28"/>
      <c r="P109" s="28"/>
      <c r="Q109" s="29"/>
      <c r="S109" s="27"/>
      <c r="T109" s="28"/>
      <c r="U109" s="28"/>
      <c r="V109" s="28"/>
      <c r="W109" s="28"/>
      <c r="X109" s="28"/>
      <c r="Y109" s="28"/>
      <c r="Z109" s="29"/>
      <c r="AB109" s="27"/>
      <c r="AC109" s="28"/>
      <c r="AD109" s="28"/>
      <c r="AE109" s="28"/>
      <c r="AF109" s="28"/>
      <c r="AG109" s="28"/>
      <c r="AH109" s="28"/>
      <c r="AI109" s="29"/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J110" s="27" t="s">
        <v>147</v>
      </c>
      <c r="K110" s="28" t="s">
        <v>148</v>
      </c>
      <c r="L110" s="28"/>
      <c r="M110" s="28"/>
      <c r="N110" s="28" t="s">
        <v>149</v>
      </c>
      <c r="O110" s="28"/>
      <c r="P110" s="28"/>
      <c r="Q110" s="29"/>
      <c r="S110" s="27" t="s">
        <v>147</v>
      </c>
      <c r="T110" s="28" t="s">
        <v>148</v>
      </c>
      <c r="U110" s="28"/>
      <c r="V110" s="28"/>
      <c r="W110" s="28" t="s">
        <v>149</v>
      </c>
      <c r="X110" s="28"/>
      <c r="Y110" s="28"/>
      <c r="Z110" s="29"/>
      <c r="AB110" s="27" t="s">
        <v>147</v>
      </c>
      <c r="AC110" s="28" t="s">
        <v>148</v>
      </c>
      <c r="AD110" s="28"/>
      <c r="AE110" s="28"/>
      <c r="AF110" s="28" t="s">
        <v>149</v>
      </c>
      <c r="AG110" s="28"/>
      <c r="AH110" s="28"/>
      <c r="AI110" s="29"/>
    </row>
    <row r="111" spans="1:42">
      <c r="A111" s="36" t="s">
        <v>31</v>
      </c>
      <c r="B111" s="348">
        <v>1000</v>
      </c>
      <c r="C111" s="348"/>
      <c r="D111" s="348"/>
      <c r="E111" s="348">
        <v>1000</v>
      </c>
      <c r="F111" s="348"/>
      <c r="G111" s="348"/>
      <c r="H111" s="88"/>
      <c r="J111" s="36" t="s">
        <v>32</v>
      </c>
      <c r="K111" s="348">
        <v>1000</v>
      </c>
      <c r="L111" s="348"/>
      <c r="M111" s="348"/>
      <c r="N111" s="348">
        <v>0</v>
      </c>
      <c r="O111" s="348"/>
      <c r="P111" s="348"/>
      <c r="Q111" s="88"/>
      <c r="S111" s="36" t="s">
        <v>31</v>
      </c>
      <c r="T111" s="348">
        <v>1000</v>
      </c>
      <c r="U111" s="348"/>
      <c r="V111" s="348"/>
      <c r="W111" s="348">
        <v>0</v>
      </c>
      <c r="X111" s="348"/>
      <c r="Y111" s="348"/>
      <c r="Z111" s="88"/>
      <c r="AB111" s="36" t="s">
        <v>31</v>
      </c>
      <c r="AC111" s="348">
        <v>1000</v>
      </c>
      <c r="AD111" s="348"/>
      <c r="AE111" s="348"/>
      <c r="AF111" s="348">
        <v>0</v>
      </c>
      <c r="AG111" s="348"/>
      <c r="AH111" s="348"/>
      <c r="AI111" s="88"/>
    </row>
    <row r="112" spans="1:42">
      <c r="A112" s="27"/>
      <c r="B112" s="28"/>
      <c r="C112" s="28"/>
      <c r="D112" s="28"/>
      <c r="E112" s="28"/>
      <c r="F112" s="28"/>
      <c r="G112" s="21"/>
      <c r="H112" s="88"/>
      <c r="J112" s="27"/>
      <c r="K112" s="28"/>
      <c r="L112" s="28"/>
      <c r="M112" s="28"/>
      <c r="N112" s="28"/>
      <c r="O112" s="28"/>
      <c r="P112" s="21"/>
      <c r="Q112" s="88"/>
      <c r="S112" s="27"/>
      <c r="T112" s="28"/>
      <c r="U112" s="28"/>
      <c r="V112" s="28"/>
      <c r="W112" s="28"/>
      <c r="X112" s="28"/>
      <c r="Y112" s="21"/>
      <c r="Z112" s="88"/>
      <c r="AB112" s="27"/>
      <c r="AC112" s="28"/>
      <c r="AD112" s="28"/>
      <c r="AE112" s="28"/>
      <c r="AF112" s="28"/>
      <c r="AG112" s="28"/>
      <c r="AH112" s="21"/>
      <c r="AI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  <c r="J113" s="93" t="s">
        <v>150</v>
      </c>
      <c r="K113" s="28" t="s">
        <v>151</v>
      </c>
      <c r="L113" s="28"/>
      <c r="M113" s="28"/>
      <c r="N113" s="28" t="s">
        <v>152</v>
      </c>
      <c r="O113" s="28"/>
      <c r="P113" s="21"/>
      <c r="Q113" s="88"/>
      <c r="S113" s="93" t="s">
        <v>150</v>
      </c>
      <c r="T113" s="28" t="s">
        <v>151</v>
      </c>
      <c r="U113" s="28"/>
      <c r="V113" s="28"/>
      <c r="W113" s="28" t="s">
        <v>152</v>
      </c>
      <c r="X113" s="28"/>
      <c r="Y113" s="21"/>
      <c r="Z113" s="88"/>
      <c r="AB113" s="93" t="s">
        <v>150</v>
      </c>
      <c r="AC113" s="28" t="s">
        <v>151</v>
      </c>
      <c r="AD113" s="28"/>
      <c r="AE113" s="28"/>
      <c r="AF113" s="28" t="s">
        <v>152</v>
      </c>
      <c r="AG113" s="28"/>
      <c r="AH113" s="21"/>
      <c r="AI113" s="88"/>
    </row>
    <row r="114" spans="1:35">
      <c r="A114" s="94">
        <f>B111+E111</f>
        <v>2000</v>
      </c>
      <c r="B114" s="348">
        <v>1000</v>
      </c>
      <c r="C114" s="348"/>
      <c r="D114" s="348"/>
      <c r="E114" s="348">
        <v>0</v>
      </c>
      <c r="F114" s="348"/>
      <c r="G114" s="348"/>
      <c r="H114" s="88"/>
      <c r="J114" s="94">
        <f>K111+N111</f>
        <v>1000</v>
      </c>
      <c r="K114" s="348">
        <v>239.99</v>
      </c>
      <c r="L114" s="348"/>
      <c r="M114" s="348"/>
      <c r="N114" s="348">
        <v>0</v>
      </c>
      <c r="O114" s="348"/>
      <c r="P114" s="348"/>
      <c r="Q114" s="88"/>
      <c r="S114" s="94">
        <f>T111+W111</f>
        <v>1000</v>
      </c>
      <c r="T114" s="348">
        <v>199.99</v>
      </c>
      <c r="U114" s="348"/>
      <c r="V114" s="348"/>
      <c r="W114" s="348">
        <v>0</v>
      </c>
      <c r="X114" s="348"/>
      <c r="Y114" s="348"/>
      <c r="Z114" s="88"/>
      <c r="AB114" s="94">
        <f>AC111+AF111</f>
        <v>1000</v>
      </c>
      <c r="AC114" s="348">
        <v>239.99</v>
      </c>
      <c r="AD114" s="348"/>
      <c r="AE114" s="348"/>
      <c r="AF114" s="348">
        <v>0</v>
      </c>
      <c r="AG114" s="348"/>
      <c r="AH114" s="348"/>
      <c r="AI114" s="88"/>
    </row>
    <row r="115" spans="1:35" ht="14.25">
      <c r="A115" s="95"/>
      <c r="B115" s="21"/>
      <c r="C115" s="21"/>
      <c r="D115" s="21"/>
      <c r="E115" s="21"/>
      <c r="F115" s="21"/>
      <c r="G115" s="21"/>
      <c r="H115" s="88"/>
      <c r="J115" s="95"/>
      <c r="K115" s="21"/>
      <c r="L115" s="21"/>
      <c r="M115" s="21"/>
      <c r="N115" s="21"/>
      <c r="O115" s="21"/>
      <c r="P115" s="21"/>
      <c r="Q115" s="88"/>
      <c r="S115" s="95"/>
      <c r="T115" s="21"/>
      <c r="U115" s="21"/>
      <c r="V115" s="21"/>
      <c r="W115" s="21"/>
      <c r="X115" s="21"/>
      <c r="Y115" s="21"/>
      <c r="Z115" s="88"/>
      <c r="AB115" s="95"/>
      <c r="AC115" s="21"/>
      <c r="AD115" s="21"/>
      <c r="AE115" s="21"/>
      <c r="AF115" s="21"/>
      <c r="AG115" s="21"/>
      <c r="AH115" s="21"/>
      <c r="AI115" s="88"/>
    </row>
    <row r="116" spans="1:35" ht="14.25">
      <c r="A116" s="95"/>
      <c r="B116" s="21"/>
      <c r="C116" s="21"/>
      <c r="D116" s="21"/>
      <c r="E116" s="21"/>
      <c r="F116" s="21"/>
      <c r="G116" s="21"/>
      <c r="H116" s="88"/>
      <c r="J116" s="95"/>
      <c r="K116" s="21"/>
      <c r="L116" s="21"/>
      <c r="M116" s="21"/>
      <c r="N116" s="21"/>
      <c r="O116" s="21"/>
      <c r="P116" s="21"/>
      <c r="Q116" s="88"/>
      <c r="S116" s="95"/>
      <c r="T116" s="21"/>
      <c r="U116" s="21"/>
      <c r="V116" s="21"/>
      <c r="W116" s="21"/>
      <c r="X116" s="21"/>
      <c r="Y116" s="21"/>
      <c r="Z116" s="88"/>
      <c r="AB116" s="95"/>
      <c r="AC116" s="21"/>
      <c r="AD116" s="21"/>
      <c r="AE116" s="21"/>
      <c r="AF116" s="21"/>
      <c r="AG116" s="21"/>
      <c r="AH116" s="21"/>
      <c r="AI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35" t="s">
        <v>153</v>
      </c>
      <c r="K117" s="335"/>
      <c r="L117" s="335"/>
      <c r="M117" s="335"/>
      <c r="N117" s="335"/>
      <c r="O117" s="335"/>
      <c r="P117" s="335"/>
      <c r="Q117" s="335"/>
      <c r="S117" s="335" t="s">
        <v>153</v>
      </c>
      <c r="T117" s="335"/>
      <c r="U117" s="335"/>
      <c r="V117" s="335"/>
      <c r="W117" s="335"/>
      <c r="X117" s="335"/>
      <c r="Y117" s="335"/>
      <c r="Z117" s="335"/>
      <c r="AB117" s="335" t="s">
        <v>153</v>
      </c>
      <c r="AC117" s="335"/>
      <c r="AD117" s="335"/>
      <c r="AE117" s="335"/>
      <c r="AF117" s="335"/>
      <c r="AG117" s="335"/>
      <c r="AH117" s="335"/>
      <c r="AI117" s="335"/>
    </row>
    <row r="118" spans="1:35" ht="14.25">
      <c r="A118" s="95"/>
      <c r="B118" s="21"/>
      <c r="C118" s="21"/>
      <c r="D118" s="21"/>
      <c r="E118" s="21"/>
      <c r="F118" s="21"/>
      <c r="G118" s="21"/>
      <c r="H118" s="88"/>
      <c r="J118" s="95"/>
      <c r="K118" s="21"/>
      <c r="L118" s="21"/>
      <c r="M118" s="21"/>
      <c r="N118" s="21"/>
      <c r="O118" s="21"/>
      <c r="P118" s="21"/>
      <c r="Q118" s="88"/>
      <c r="S118" s="95"/>
      <c r="T118" s="21"/>
      <c r="U118" s="21"/>
      <c r="V118" s="21"/>
      <c r="W118" s="21"/>
      <c r="X118" s="21"/>
      <c r="Y118" s="21"/>
      <c r="Z118" s="88"/>
      <c r="AB118" s="95"/>
      <c r="AC118" s="21"/>
      <c r="AD118" s="21"/>
      <c r="AE118" s="21"/>
      <c r="AF118" s="21"/>
      <c r="AG118" s="21"/>
      <c r="AH118" s="21"/>
      <c r="AI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J119" s="66"/>
      <c r="K119" s="351" t="s">
        <v>154</v>
      </c>
      <c r="L119" s="351"/>
      <c r="M119" s="351" t="s">
        <v>155</v>
      </c>
      <c r="N119" s="351"/>
      <c r="O119" s="351" t="s">
        <v>156</v>
      </c>
      <c r="P119" s="351"/>
      <c r="Q119" s="96" t="s">
        <v>157</v>
      </c>
      <c r="S119" s="66"/>
      <c r="T119" s="351" t="s">
        <v>154</v>
      </c>
      <c r="U119" s="351"/>
      <c r="V119" s="351" t="s">
        <v>155</v>
      </c>
      <c r="W119" s="351"/>
      <c r="X119" s="351" t="s">
        <v>156</v>
      </c>
      <c r="Y119" s="351"/>
      <c r="Z119" s="96" t="s">
        <v>157</v>
      </c>
      <c r="AB119" s="66"/>
      <c r="AC119" s="351" t="s">
        <v>154</v>
      </c>
      <c r="AD119" s="351"/>
      <c r="AE119" s="351" t="s">
        <v>155</v>
      </c>
      <c r="AF119" s="351"/>
      <c r="AG119" s="351" t="s">
        <v>156</v>
      </c>
      <c r="AH119" s="351"/>
      <c r="AI119" s="96" t="s">
        <v>157</v>
      </c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  <c r="J120" s="68"/>
      <c r="K120" s="97" t="s">
        <v>158</v>
      </c>
      <c r="L120" s="98" t="s">
        <v>159</v>
      </c>
      <c r="M120" s="97" t="s">
        <v>158</v>
      </c>
      <c r="N120" s="99" t="s">
        <v>159</v>
      </c>
      <c r="O120" s="97" t="s">
        <v>158</v>
      </c>
      <c r="P120" s="99" t="s">
        <v>159</v>
      </c>
      <c r="Q120" s="100"/>
      <c r="S120" s="68"/>
      <c r="T120" s="97" t="s">
        <v>158</v>
      </c>
      <c r="U120" s="98" t="s">
        <v>159</v>
      </c>
      <c r="V120" s="97" t="s">
        <v>158</v>
      </c>
      <c r="W120" s="99" t="s">
        <v>159</v>
      </c>
      <c r="X120" s="97" t="s">
        <v>158</v>
      </c>
      <c r="Y120" s="99" t="s">
        <v>159</v>
      </c>
      <c r="Z120" s="100"/>
      <c r="AB120" s="68"/>
      <c r="AC120" s="97" t="s">
        <v>158</v>
      </c>
      <c r="AD120" s="98" t="s">
        <v>159</v>
      </c>
      <c r="AE120" s="97" t="s">
        <v>158</v>
      </c>
      <c r="AF120" s="99" t="s">
        <v>159</v>
      </c>
      <c r="AG120" s="97" t="s">
        <v>158</v>
      </c>
      <c r="AH120" s="99" t="s">
        <v>159</v>
      </c>
      <c r="AI120" s="100"/>
    </row>
    <row r="121" spans="1:35">
      <c r="A121" s="22" t="s">
        <v>160</v>
      </c>
      <c r="B121" s="22">
        <f>B9</f>
        <v>18500</v>
      </c>
      <c r="C121" s="36">
        <v>20416.669999999998</v>
      </c>
      <c r="D121" s="22">
        <f>D3</f>
        <v>0</v>
      </c>
      <c r="E121" s="36">
        <f>D121</f>
        <v>0</v>
      </c>
      <c r="F121" s="22">
        <f>B11</f>
        <v>0</v>
      </c>
      <c r="G121" s="36">
        <f>F121</f>
        <v>0</v>
      </c>
      <c r="H121" s="101">
        <f>H3</f>
        <v>0</v>
      </c>
      <c r="J121" s="22" t="s">
        <v>160</v>
      </c>
      <c r="K121" s="22">
        <f>B3</f>
        <v>0</v>
      </c>
      <c r="L121" s="36">
        <v>28629.17</v>
      </c>
      <c r="M121" s="22">
        <f>D3</f>
        <v>0</v>
      </c>
      <c r="N121" s="36">
        <f>M121</f>
        <v>0</v>
      </c>
      <c r="O121" s="22" t="str">
        <f>F3</f>
        <v xml:space="preserve"> </v>
      </c>
      <c r="P121" s="36" t="str">
        <f>O121</f>
        <v xml:space="preserve"> </v>
      </c>
      <c r="Q121" s="101">
        <f>H3</f>
        <v>0</v>
      </c>
      <c r="S121" s="22" t="s">
        <v>160</v>
      </c>
      <c r="T121" s="22">
        <f>B3</f>
        <v>0</v>
      </c>
      <c r="U121" s="36">
        <f>T121</f>
        <v>0</v>
      </c>
      <c r="V121" s="22">
        <f>D3</f>
        <v>0</v>
      </c>
      <c r="W121" s="36">
        <f>V121</f>
        <v>0</v>
      </c>
      <c r="X121" s="22" t="str">
        <f>F3</f>
        <v xml:space="preserve"> </v>
      </c>
      <c r="Y121" s="36" t="str">
        <f>X121</f>
        <v xml:space="preserve"> </v>
      </c>
      <c r="Z121" s="101">
        <f>H3</f>
        <v>0</v>
      </c>
      <c r="AB121" s="22" t="s">
        <v>160</v>
      </c>
      <c r="AC121" s="22">
        <f>B3</f>
        <v>0</v>
      </c>
      <c r="AD121" s="36">
        <f>AC121</f>
        <v>0</v>
      </c>
      <c r="AE121" s="22">
        <f>D3</f>
        <v>0</v>
      </c>
      <c r="AF121" s="36">
        <f>AE121</f>
        <v>0</v>
      </c>
      <c r="AG121" s="22" t="str">
        <f>F3</f>
        <v xml:space="preserve"> </v>
      </c>
      <c r="AH121" s="36" t="str">
        <f>AG121</f>
        <v xml:space="preserve"> </v>
      </c>
      <c r="AI121" s="101">
        <f>H3</f>
        <v>0</v>
      </c>
    </row>
    <row r="122" spans="1:35">
      <c r="A122" s="27" t="s">
        <v>161</v>
      </c>
      <c r="B122" s="102">
        <v>0</v>
      </c>
      <c r="C122" s="103">
        <v>0</v>
      </c>
      <c r="D122" s="102">
        <v>0</v>
      </c>
      <c r="E122" s="103">
        <v>0</v>
      </c>
      <c r="F122" s="102">
        <v>0</v>
      </c>
      <c r="G122" s="296">
        <v>0</v>
      </c>
      <c r="H122" s="105"/>
      <c r="J122" s="27" t="s">
        <v>161</v>
      </c>
      <c r="K122" s="102">
        <f>B4</f>
        <v>22200</v>
      </c>
      <c r="L122" s="103">
        <v>0</v>
      </c>
      <c r="M122" s="102">
        <f>D4</f>
        <v>0</v>
      </c>
      <c r="N122" s="103">
        <f>M122</f>
        <v>0</v>
      </c>
      <c r="O122" s="102" t="str">
        <f>F4</f>
        <v xml:space="preserve"> </v>
      </c>
      <c r="P122" s="296" t="str">
        <f>O122</f>
        <v xml:space="preserve"> </v>
      </c>
      <c r="Q122" s="105"/>
      <c r="S122" s="27" t="s">
        <v>161</v>
      </c>
      <c r="T122" s="102">
        <f>B4</f>
        <v>22200</v>
      </c>
      <c r="U122" s="103">
        <v>0.25</v>
      </c>
      <c r="V122" s="102">
        <f>D4</f>
        <v>0</v>
      </c>
      <c r="W122" s="103">
        <f>V122</f>
        <v>0</v>
      </c>
      <c r="X122" s="102" t="str">
        <f>F4</f>
        <v xml:space="preserve"> </v>
      </c>
      <c r="Y122" s="296" t="str">
        <f>X122</f>
        <v xml:space="preserve"> </v>
      </c>
      <c r="Z122" s="105"/>
      <c r="AB122" s="27" t="s">
        <v>161</v>
      </c>
      <c r="AC122" s="102">
        <f>B4</f>
        <v>22200</v>
      </c>
      <c r="AD122" s="103">
        <v>0.25</v>
      </c>
      <c r="AE122" s="102">
        <f>D4</f>
        <v>0</v>
      </c>
      <c r="AF122" s="103">
        <f>AE122</f>
        <v>0</v>
      </c>
      <c r="AG122" s="102" t="str">
        <f>F4</f>
        <v xml:space="preserve"> </v>
      </c>
      <c r="AH122" s="296" t="str">
        <f>AG122</f>
        <v xml:space="preserve"> </v>
      </c>
      <c r="AI122" s="105"/>
    </row>
    <row r="123" spans="1:35">
      <c r="A123" s="27" t="s">
        <v>162</v>
      </c>
      <c r="B123" s="27">
        <v>0</v>
      </c>
      <c r="C123" s="36">
        <v>0</v>
      </c>
      <c r="D123" s="27">
        <v>0</v>
      </c>
      <c r="E123" s="36">
        <v>0</v>
      </c>
      <c r="F123" s="27">
        <v>0</v>
      </c>
      <c r="G123" s="36">
        <v>0</v>
      </c>
      <c r="H123" s="29"/>
      <c r="J123" s="27" t="s">
        <v>162</v>
      </c>
      <c r="K123" s="27">
        <f>B5</f>
        <v>0</v>
      </c>
      <c r="L123" s="36">
        <v>0</v>
      </c>
      <c r="M123" s="27">
        <f>D5</f>
        <v>0</v>
      </c>
      <c r="N123" s="36">
        <f>M123</f>
        <v>0</v>
      </c>
      <c r="O123" s="27" t="str">
        <f>F5</f>
        <v xml:space="preserve"> </v>
      </c>
      <c r="P123" s="36" t="str">
        <f>O123</f>
        <v xml:space="preserve"> </v>
      </c>
      <c r="Q123" s="29"/>
      <c r="S123" s="27" t="s">
        <v>162</v>
      </c>
      <c r="T123" s="27">
        <f>B5</f>
        <v>0</v>
      </c>
      <c r="U123" s="36">
        <v>0</v>
      </c>
      <c r="V123" s="27">
        <f>D5</f>
        <v>0</v>
      </c>
      <c r="W123" s="36">
        <f>V123</f>
        <v>0</v>
      </c>
      <c r="X123" s="27" t="str">
        <f>F5</f>
        <v xml:space="preserve"> </v>
      </c>
      <c r="Y123" s="36" t="str">
        <f>X123</f>
        <v xml:space="preserve"> </v>
      </c>
      <c r="Z123" s="29"/>
      <c r="AB123" s="27" t="s">
        <v>162</v>
      </c>
      <c r="AC123" s="27">
        <f>B5</f>
        <v>0</v>
      </c>
      <c r="AD123" s="36">
        <v>0</v>
      </c>
      <c r="AE123" s="27">
        <f>D5</f>
        <v>0</v>
      </c>
      <c r="AF123" s="36">
        <f>AE123</f>
        <v>0</v>
      </c>
      <c r="AG123" s="27" t="str">
        <f>F5</f>
        <v xml:space="preserve"> </v>
      </c>
      <c r="AH123" s="36" t="str">
        <f>AG123</f>
        <v xml:space="preserve"> </v>
      </c>
      <c r="AI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  <c r="J124" s="27" t="s">
        <v>163</v>
      </c>
      <c r="K124" s="27">
        <f t="shared" ref="K124:P124" si="0">(K121*K122)+K123</f>
        <v>0</v>
      </c>
      <c r="L124" s="24">
        <f t="shared" si="0"/>
        <v>0</v>
      </c>
      <c r="M124" s="27">
        <f t="shared" si="0"/>
        <v>0</v>
      </c>
      <c r="N124" s="24">
        <f t="shared" si="0"/>
        <v>0</v>
      </c>
      <c r="O124" s="27" t="e">
        <f t="shared" si="0"/>
        <v>#VALUE!</v>
      </c>
      <c r="P124" s="24" t="e">
        <f t="shared" si="0"/>
        <v>#VALUE!</v>
      </c>
      <c r="Q124" s="29"/>
      <c r="S124" s="27" t="s">
        <v>163</v>
      </c>
      <c r="T124" s="27">
        <f t="shared" ref="T124:Y124" si="1">(T121*T122)+T123</f>
        <v>0</v>
      </c>
      <c r="U124" s="24">
        <f t="shared" si="1"/>
        <v>0</v>
      </c>
      <c r="V124" s="27">
        <f t="shared" si="1"/>
        <v>0</v>
      </c>
      <c r="W124" s="24">
        <f t="shared" si="1"/>
        <v>0</v>
      </c>
      <c r="X124" s="27" t="e">
        <f t="shared" si="1"/>
        <v>#VALUE!</v>
      </c>
      <c r="Y124" s="24" t="e">
        <f t="shared" si="1"/>
        <v>#VALUE!</v>
      </c>
      <c r="Z124" s="29"/>
      <c r="AB124" s="27" t="s">
        <v>163</v>
      </c>
      <c r="AC124" s="27">
        <f t="shared" ref="AC124:AH124" si="2">(AC121*AC122)+AC123</f>
        <v>0</v>
      </c>
      <c r="AD124" s="24">
        <f t="shared" si="2"/>
        <v>0</v>
      </c>
      <c r="AE124" s="27">
        <f t="shared" si="2"/>
        <v>0</v>
      </c>
      <c r="AF124" s="24">
        <f t="shared" si="2"/>
        <v>0</v>
      </c>
      <c r="AG124" s="27" t="e">
        <f t="shared" si="2"/>
        <v>#VALUE!</v>
      </c>
      <c r="AH124" s="24" t="e">
        <f t="shared" si="2"/>
        <v>#VALUE!</v>
      </c>
      <c r="AI124" s="29"/>
    </row>
    <row r="125" spans="1:35">
      <c r="A125" s="49" t="s">
        <v>164</v>
      </c>
      <c r="B125" s="49">
        <f t="shared" ref="B125:G125" si="3">B121-B124</f>
        <v>18500</v>
      </c>
      <c r="C125" s="57">
        <f t="shared" si="3"/>
        <v>20416.669999999998</v>
      </c>
      <c r="D125" s="49">
        <f t="shared" si="3"/>
        <v>0</v>
      </c>
      <c r="E125" s="57">
        <f t="shared" si="3"/>
        <v>0</v>
      </c>
      <c r="F125" s="49">
        <f t="shared" si="3"/>
        <v>0</v>
      </c>
      <c r="G125" s="57">
        <f t="shared" si="3"/>
        <v>0</v>
      </c>
      <c r="H125" s="57"/>
      <c r="J125" s="49" t="s">
        <v>164</v>
      </c>
      <c r="K125" s="49">
        <f t="shared" ref="K125:P125" si="4">K121-K124</f>
        <v>0</v>
      </c>
      <c r="L125" s="57">
        <f t="shared" si="4"/>
        <v>28629.17</v>
      </c>
      <c r="M125" s="49">
        <f t="shared" si="4"/>
        <v>0</v>
      </c>
      <c r="N125" s="57">
        <f t="shared" si="4"/>
        <v>0</v>
      </c>
      <c r="O125" s="49" t="e">
        <f t="shared" si="4"/>
        <v>#VALUE!</v>
      </c>
      <c r="P125" s="57" t="e">
        <f t="shared" si="4"/>
        <v>#VALUE!</v>
      </c>
      <c r="Q125" s="57"/>
      <c r="S125" s="49" t="s">
        <v>164</v>
      </c>
      <c r="T125" s="49">
        <f t="shared" ref="T125:Y125" si="5">T121-T124</f>
        <v>0</v>
      </c>
      <c r="U125" s="57">
        <f t="shared" si="5"/>
        <v>0</v>
      </c>
      <c r="V125" s="49">
        <f t="shared" si="5"/>
        <v>0</v>
      </c>
      <c r="W125" s="57">
        <f t="shared" si="5"/>
        <v>0</v>
      </c>
      <c r="X125" s="49" t="e">
        <f t="shared" si="5"/>
        <v>#VALUE!</v>
      </c>
      <c r="Y125" s="57" t="e">
        <f t="shared" si="5"/>
        <v>#VALUE!</v>
      </c>
      <c r="Z125" s="57"/>
      <c r="AB125" s="49" t="s">
        <v>164</v>
      </c>
      <c r="AC125" s="49">
        <f t="shared" ref="AC125:AH125" si="6">AC121-AC124</f>
        <v>0</v>
      </c>
      <c r="AD125" s="57">
        <f t="shared" si="6"/>
        <v>0</v>
      </c>
      <c r="AE125" s="49">
        <f t="shared" si="6"/>
        <v>0</v>
      </c>
      <c r="AF125" s="57">
        <f t="shared" si="6"/>
        <v>0</v>
      </c>
      <c r="AG125" s="49" t="e">
        <f t="shared" si="6"/>
        <v>#VALUE!</v>
      </c>
      <c r="AH125" s="57" t="e">
        <f t="shared" si="6"/>
        <v>#VALUE!</v>
      </c>
      <c r="AI125" s="57"/>
    </row>
    <row r="126" spans="1:35">
      <c r="A126" s="27"/>
      <c r="B126" s="28"/>
      <c r="C126" s="28"/>
      <c r="D126" s="28"/>
      <c r="E126" s="28"/>
      <c r="F126" s="28"/>
      <c r="G126" s="28"/>
      <c r="H126" s="29"/>
      <c r="J126" s="27"/>
      <c r="K126" s="28"/>
      <c r="L126" s="28"/>
      <c r="M126" s="28"/>
      <c r="N126" s="28"/>
      <c r="O126" s="28"/>
      <c r="P126" s="28"/>
      <c r="Q126" s="29"/>
      <c r="S126" s="27"/>
      <c r="T126" s="28"/>
      <c r="U126" s="28"/>
      <c r="V126" s="28"/>
      <c r="W126" s="28"/>
      <c r="X126" s="28"/>
      <c r="Y126" s="28"/>
      <c r="Z126" s="29"/>
      <c r="AB126" s="27"/>
      <c r="AC126" s="28"/>
      <c r="AD126" s="28"/>
      <c r="AE126" s="28"/>
      <c r="AF126" s="28"/>
      <c r="AG126" s="28"/>
      <c r="AH126" s="28"/>
      <c r="AI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  <c r="J127" s="107"/>
      <c r="K127" s="108"/>
      <c r="L127" s="108"/>
      <c r="M127" s="108"/>
      <c r="N127" s="108"/>
      <c r="O127" s="108"/>
      <c r="P127" s="109" t="s">
        <v>158</v>
      </c>
      <c r="Q127" s="110" t="s">
        <v>159</v>
      </c>
      <c r="S127" s="107"/>
      <c r="T127" s="108"/>
      <c r="U127" s="108"/>
      <c r="V127" s="108"/>
      <c r="W127" s="108"/>
      <c r="X127" s="108"/>
      <c r="Y127" s="109" t="s">
        <v>158</v>
      </c>
      <c r="Z127" s="110" t="s">
        <v>159</v>
      </c>
      <c r="AB127" s="107"/>
      <c r="AC127" s="108"/>
      <c r="AD127" s="108"/>
      <c r="AE127" s="108"/>
      <c r="AF127" s="108"/>
      <c r="AG127" s="108"/>
      <c r="AH127" s="109" t="s">
        <v>158</v>
      </c>
      <c r="AI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  <c r="J128" s="111" t="s">
        <v>165</v>
      </c>
      <c r="K128" s="112"/>
      <c r="L128" s="112"/>
      <c r="M128" s="112"/>
      <c r="N128" s="112"/>
      <c r="O128" s="112"/>
      <c r="P128" s="113">
        <f>Q121</f>
        <v>0</v>
      </c>
      <c r="Q128" s="114">
        <f>SUM(Q131:Q133)</f>
        <v>0</v>
      </c>
      <c r="S128" s="111" t="s">
        <v>165</v>
      </c>
      <c r="T128" s="112"/>
      <c r="U128" s="112"/>
      <c r="V128" s="112"/>
      <c r="W128" s="112"/>
      <c r="X128" s="112"/>
      <c r="Y128" s="113">
        <f>Z121</f>
        <v>0</v>
      </c>
      <c r="Z128" s="114">
        <f>SUM(Z131:Z133)</f>
        <v>0</v>
      </c>
      <c r="AB128" s="111" t="s">
        <v>165</v>
      </c>
      <c r="AC128" s="112"/>
      <c r="AD128" s="112"/>
      <c r="AE128" s="112"/>
      <c r="AF128" s="112"/>
      <c r="AG128" s="112"/>
      <c r="AH128" s="113">
        <f>AI121</f>
        <v>0</v>
      </c>
      <c r="AI128" s="114">
        <f>SUM(AI131:AI133)</f>
        <v>0</v>
      </c>
    </row>
    <row r="129" spans="1:35">
      <c r="A129" s="27"/>
      <c r="B129" s="28"/>
      <c r="C129" s="28"/>
      <c r="D129" s="28"/>
      <c r="E129" s="28"/>
      <c r="F129" s="28"/>
      <c r="G129" s="115"/>
      <c r="H129" s="116"/>
      <c r="J129" s="27"/>
      <c r="K129" s="28"/>
      <c r="L129" s="28"/>
      <c r="M129" s="28"/>
      <c r="N129" s="28"/>
      <c r="O129" s="28"/>
      <c r="P129" s="115"/>
      <c r="Q129" s="116"/>
      <c r="S129" s="27"/>
      <c r="T129" s="28"/>
      <c r="U129" s="28"/>
      <c r="V129" s="28"/>
      <c r="W129" s="28"/>
      <c r="X129" s="28"/>
      <c r="Y129" s="115"/>
      <c r="Z129" s="116"/>
      <c r="AB129" s="27"/>
      <c r="AC129" s="28"/>
      <c r="AD129" s="28"/>
      <c r="AE129" s="28"/>
      <c r="AF129" s="28"/>
      <c r="AG129" s="28"/>
      <c r="AH129" s="115"/>
      <c r="AI129" s="116"/>
    </row>
    <row r="130" spans="1:35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J130" s="117" t="s">
        <v>166</v>
      </c>
      <c r="K130" s="352" t="s">
        <v>167</v>
      </c>
      <c r="L130" s="352"/>
      <c r="M130" s="352" t="s">
        <v>168</v>
      </c>
      <c r="N130" s="352"/>
      <c r="O130" s="352" t="s">
        <v>162</v>
      </c>
      <c r="P130" s="352"/>
      <c r="Q130" s="116" t="s">
        <v>159</v>
      </c>
      <c r="S130" s="117" t="s">
        <v>166</v>
      </c>
      <c r="T130" s="352" t="s">
        <v>167</v>
      </c>
      <c r="U130" s="352"/>
      <c r="V130" s="352" t="s">
        <v>168</v>
      </c>
      <c r="W130" s="352"/>
      <c r="X130" s="352" t="s">
        <v>162</v>
      </c>
      <c r="Y130" s="352"/>
      <c r="Z130" s="116" t="s">
        <v>159</v>
      </c>
      <c r="AB130" s="117" t="s">
        <v>166</v>
      </c>
      <c r="AC130" s="352" t="s">
        <v>167</v>
      </c>
      <c r="AD130" s="352"/>
      <c r="AE130" s="352" t="s">
        <v>168</v>
      </c>
      <c r="AF130" s="352"/>
      <c r="AG130" s="352" t="s">
        <v>162</v>
      </c>
      <c r="AH130" s="352"/>
      <c r="AI130" s="116" t="s">
        <v>159</v>
      </c>
    </row>
    <row r="131" spans="1:35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J131" s="27" t="s">
        <v>169</v>
      </c>
      <c r="K131" s="354">
        <f>P128</f>
        <v>0</v>
      </c>
      <c r="L131" s="354"/>
      <c r="M131" s="355">
        <v>0</v>
      </c>
      <c r="N131" s="355"/>
      <c r="O131" s="354">
        <v>0</v>
      </c>
      <c r="P131" s="354"/>
      <c r="Q131" s="119">
        <f>(K131-(K131*M131))-O131</f>
        <v>0</v>
      </c>
      <c r="S131" s="27" t="s">
        <v>169</v>
      </c>
      <c r="T131" s="354">
        <f>Y128</f>
        <v>0</v>
      </c>
      <c r="U131" s="354"/>
      <c r="V131" s="355">
        <v>0</v>
      </c>
      <c r="W131" s="355"/>
      <c r="X131" s="354">
        <v>0</v>
      </c>
      <c r="Y131" s="354"/>
      <c r="Z131" s="119">
        <f>(T131-(T131*V131))-X131</f>
        <v>0</v>
      </c>
      <c r="AB131" s="27" t="s">
        <v>169</v>
      </c>
      <c r="AC131" s="354">
        <f>AH128</f>
        <v>0</v>
      </c>
      <c r="AD131" s="354"/>
      <c r="AE131" s="355">
        <v>0</v>
      </c>
      <c r="AF131" s="355"/>
      <c r="AG131" s="354">
        <v>0</v>
      </c>
      <c r="AH131" s="354"/>
      <c r="AI131" s="119">
        <f>(AC131-(AC131*AE131))-AG131</f>
        <v>0</v>
      </c>
    </row>
    <row r="132" spans="1:35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J132" s="27" t="s">
        <v>170</v>
      </c>
      <c r="K132" s="354">
        <v>0</v>
      </c>
      <c r="L132" s="354"/>
      <c r="M132" s="355">
        <v>0</v>
      </c>
      <c r="N132" s="355"/>
      <c r="O132" s="354">
        <v>0</v>
      </c>
      <c r="P132" s="354"/>
      <c r="Q132" s="119">
        <f>(K132-(K132*M132))-O132</f>
        <v>0</v>
      </c>
      <c r="S132" s="27" t="s">
        <v>170</v>
      </c>
      <c r="T132" s="354">
        <v>0</v>
      </c>
      <c r="U132" s="354"/>
      <c r="V132" s="355">
        <v>0</v>
      </c>
      <c r="W132" s="355"/>
      <c r="X132" s="354">
        <v>0</v>
      </c>
      <c r="Y132" s="354"/>
      <c r="Z132" s="119">
        <f>(T132-(T132*V132))-X132</f>
        <v>0</v>
      </c>
      <c r="AB132" s="27" t="s">
        <v>170</v>
      </c>
      <c r="AC132" s="354">
        <v>0</v>
      </c>
      <c r="AD132" s="354"/>
      <c r="AE132" s="355">
        <v>0</v>
      </c>
      <c r="AF132" s="355"/>
      <c r="AG132" s="354">
        <v>0</v>
      </c>
      <c r="AH132" s="354"/>
      <c r="AI132" s="119">
        <f>(AC132-(AC132*AE132))-AG132</f>
        <v>0</v>
      </c>
    </row>
    <row r="133" spans="1:35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J133" s="27" t="s">
        <v>171</v>
      </c>
      <c r="K133" s="354">
        <v>0</v>
      </c>
      <c r="L133" s="354"/>
      <c r="M133" s="355">
        <v>0</v>
      </c>
      <c r="N133" s="355"/>
      <c r="O133" s="354">
        <v>0</v>
      </c>
      <c r="P133" s="354"/>
      <c r="Q133" s="119">
        <f>(K133-(K133*M133))-O133</f>
        <v>0</v>
      </c>
      <c r="S133" s="27" t="s">
        <v>171</v>
      </c>
      <c r="T133" s="354">
        <v>0</v>
      </c>
      <c r="U133" s="354"/>
      <c r="V133" s="355">
        <v>0</v>
      </c>
      <c r="W133" s="355"/>
      <c r="X133" s="354">
        <v>0</v>
      </c>
      <c r="Y133" s="354"/>
      <c r="Z133" s="119">
        <f>(T133-(T133*V133))-X133</f>
        <v>0</v>
      </c>
      <c r="AB133" s="27" t="s">
        <v>171</v>
      </c>
      <c r="AC133" s="354">
        <v>0</v>
      </c>
      <c r="AD133" s="354"/>
      <c r="AE133" s="355">
        <v>0</v>
      </c>
      <c r="AF133" s="355"/>
      <c r="AG133" s="354">
        <v>0</v>
      </c>
      <c r="AH133" s="354"/>
      <c r="AI133" s="119">
        <f>(AC133-(AC133*AE133))-AG133</f>
        <v>0</v>
      </c>
    </row>
    <row r="134" spans="1:35">
      <c r="A134" s="27"/>
      <c r="B134" s="28"/>
      <c r="C134" s="28"/>
      <c r="D134" s="28"/>
      <c r="E134" s="28"/>
      <c r="F134" s="28"/>
      <c r="G134" s="115"/>
      <c r="H134" s="116"/>
      <c r="J134" s="27"/>
      <c r="K134" s="28"/>
      <c r="L134" s="28"/>
      <c r="M134" s="28"/>
      <c r="N134" s="28"/>
      <c r="O134" s="28"/>
      <c r="P134" s="115"/>
      <c r="Q134" s="116"/>
      <c r="S134" s="27"/>
      <c r="T134" s="28"/>
      <c r="U134" s="28"/>
      <c r="V134" s="28"/>
      <c r="W134" s="28"/>
      <c r="X134" s="28"/>
      <c r="Y134" s="115"/>
      <c r="Z134" s="116"/>
      <c r="AB134" s="27"/>
      <c r="AC134" s="28"/>
      <c r="AD134" s="28"/>
      <c r="AE134" s="28"/>
      <c r="AF134" s="28"/>
      <c r="AG134" s="28"/>
      <c r="AH134" s="115"/>
      <c r="AI134" s="116"/>
    </row>
    <row r="135" spans="1:35" ht="21">
      <c r="A135" s="356" t="s">
        <v>172</v>
      </c>
      <c r="B135" s="356"/>
      <c r="C135" s="356"/>
      <c r="D135" s="356"/>
      <c r="E135" s="356"/>
      <c r="F135" s="356"/>
      <c r="G135" s="109">
        <f>B121</f>
        <v>18500</v>
      </c>
      <c r="H135" s="120">
        <f>C125+E125+G125+H128</f>
        <v>20416.669999999998</v>
      </c>
      <c r="J135" s="356" t="s">
        <v>172</v>
      </c>
      <c r="K135" s="356"/>
      <c r="L135" s="356"/>
      <c r="M135" s="356"/>
      <c r="N135" s="356"/>
      <c r="O135" s="356"/>
      <c r="P135" s="109">
        <f t="shared" ref="P135:P142" si="7">H9</f>
        <v>0</v>
      </c>
      <c r="Q135" s="120" t="e">
        <f>L125+N125+P125+Q128</f>
        <v>#VALUE!</v>
      </c>
      <c r="S135" s="356" t="s">
        <v>172</v>
      </c>
      <c r="T135" s="356"/>
      <c r="U135" s="356"/>
      <c r="V135" s="356"/>
      <c r="W135" s="356"/>
      <c r="X135" s="356"/>
      <c r="Y135" s="109">
        <f t="shared" ref="Y135:Y142" si="8">H9</f>
        <v>0</v>
      </c>
      <c r="Z135" s="120" t="e">
        <f>U125+W125+Y125+Z128</f>
        <v>#VALUE!</v>
      </c>
      <c r="AB135" s="356" t="s">
        <v>172</v>
      </c>
      <c r="AC135" s="356"/>
      <c r="AD135" s="356"/>
      <c r="AE135" s="356"/>
      <c r="AF135" s="356"/>
      <c r="AG135" s="356"/>
      <c r="AH135" s="109">
        <f t="shared" ref="AH135:AH142" si="9">H9</f>
        <v>0</v>
      </c>
      <c r="AI135" s="120" t="e">
        <f>AD125+AF125+AH125+AI128</f>
        <v>#VALUE!</v>
      </c>
    </row>
    <row r="136" spans="1:35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57" t="s">
        <v>173</v>
      </c>
      <c r="K136" s="357"/>
      <c r="L136" s="357"/>
      <c r="M136" s="357"/>
      <c r="N136" s="357"/>
      <c r="O136" s="357"/>
      <c r="P136" s="121">
        <f t="shared" si="7"/>
        <v>0</v>
      </c>
      <c r="Q136" s="29">
        <f>P136</f>
        <v>0</v>
      </c>
      <c r="S136" s="357" t="s">
        <v>173</v>
      </c>
      <c r="T136" s="357"/>
      <c r="U136" s="357"/>
      <c r="V136" s="357"/>
      <c r="W136" s="357"/>
      <c r="X136" s="357"/>
      <c r="Y136" s="121">
        <f t="shared" si="8"/>
        <v>0</v>
      </c>
      <c r="Z136" s="29">
        <f>Y136</f>
        <v>0</v>
      </c>
      <c r="AB136" s="357" t="s">
        <v>173</v>
      </c>
      <c r="AC136" s="357"/>
      <c r="AD136" s="357"/>
      <c r="AE136" s="357"/>
      <c r="AF136" s="357"/>
      <c r="AG136" s="357"/>
      <c r="AH136" s="121">
        <f t="shared" si="9"/>
        <v>0</v>
      </c>
      <c r="AI136" s="29">
        <f>AH136</f>
        <v>0</v>
      </c>
    </row>
    <row r="137" spans="1:35">
      <c r="A137" s="357" t="s">
        <v>174</v>
      </c>
      <c r="B137" s="357"/>
      <c r="C137" s="357"/>
      <c r="D137" s="357"/>
      <c r="E137" s="357"/>
      <c r="F137" s="357"/>
      <c r="G137" s="29">
        <f>(G135+G136)*20%</f>
        <v>3700</v>
      </c>
      <c r="H137" s="29">
        <f>(H135+H136)*20%</f>
        <v>4083.3339999999998</v>
      </c>
      <c r="J137" s="357" t="s">
        <v>174</v>
      </c>
      <c r="K137" s="357"/>
      <c r="L137" s="357"/>
      <c r="M137" s="357"/>
      <c r="N137" s="357"/>
      <c r="O137" s="357"/>
      <c r="P137" s="121">
        <f t="shared" si="7"/>
        <v>0</v>
      </c>
      <c r="Q137" s="29" t="e">
        <f>(Q135+Q136)*20%</f>
        <v>#VALUE!</v>
      </c>
      <c r="S137" s="357" t="s">
        <v>174</v>
      </c>
      <c r="T137" s="357"/>
      <c r="U137" s="357"/>
      <c r="V137" s="357"/>
      <c r="W137" s="357"/>
      <c r="X137" s="357"/>
      <c r="Y137" s="121">
        <f t="shared" si="8"/>
        <v>0</v>
      </c>
      <c r="Z137" s="29" t="e">
        <f>(Z135+Z136)*20%</f>
        <v>#VALUE!</v>
      </c>
      <c r="AB137" s="357" t="s">
        <v>174</v>
      </c>
      <c r="AC137" s="357"/>
      <c r="AD137" s="357"/>
      <c r="AE137" s="357"/>
      <c r="AF137" s="357"/>
      <c r="AG137" s="357"/>
      <c r="AH137" s="121">
        <f t="shared" si="9"/>
        <v>0</v>
      </c>
      <c r="AI137" s="29" t="e">
        <f>(AI135+AI136)*20%</f>
        <v>#VALUE!</v>
      </c>
    </row>
    <row r="138" spans="1:35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57" t="s">
        <v>175</v>
      </c>
      <c r="K138" s="357"/>
      <c r="L138" s="357"/>
      <c r="M138" s="357"/>
      <c r="N138" s="357"/>
      <c r="O138" s="357"/>
      <c r="P138" s="121">
        <f t="shared" si="7"/>
        <v>0</v>
      </c>
      <c r="Q138" s="29">
        <f>P138</f>
        <v>0</v>
      </c>
      <c r="S138" s="357" t="s">
        <v>175</v>
      </c>
      <c r="T138" s="357"/>
      <c r="U138" s="357"/>
      <c r="V138" s="357"/>
      <c r="W138" s="357"/>
      <c r="X138" s="357"/>
      <c r="Y138" s="121">
        <f t="shared" si="8"/>
        <v>0</v>
      </c>
      <c r="Z138" s="29">
        <f>Y138</f>
        <v>0</v>
      </c>
      <c r="AB138" s="357" t="s">
        <v>175</v>
      </c>
      <c r="AC138" s="357"/>
      <c r="AD138" s="357"/>
      <c r="AE138" s="357"/>
      <c r="AF138" s="357"/>
      <c r="AG138" s="357"/>
      <c r="AH138" s="121">
        <f t="shared" si="9"/>
        <v>0</v>
      </c>
      <c r="AI138" s="29">
        <f>AH138</f>
        <v>0</v>
      </c>
    </row>
    <row r="139" spans="1:35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57" t="s">
        <v>176</v>
      </c>
      <c r="K139" s="357"/>
      <c r="L139" s="357"/>
      <c r="M139" s="357"/>
      <c r="N139" s="357"/>
      <c r="O139" s="357"/>
      <c r="P139" s="121">
        <f t="shared" si="7"/>
        <v>0</v>
      </c>
      <c r="Q139" s="29">
        <f>P139</f>
        <v>0</v>
      </c>
      <c r="S139" s="357" t="s">
        <v>176</v>
      </c>
      <c r="T139" s="357"/>
      <c r="U139" s="357"/>
      <c r="V139" s="357"/>
      <c r="W139" s="357"/>
      <c r="X139" s="357"/>
      <c r="Y139" s="121">
        <f t="shared" si="8"/>
        <v>0</v>
      </c>
      <c r="Z139" s="29">
        <f>Y139</f>
        <v>0</v>
      </c>
      <c r="AB139" s="357" t="s">
        <v>176</v>
      </c>
      <c r="AC139" s="357"/>
      <c r="AD139" s="357"/>
      <c r="AE139" s="357"/>
      <c r="AF139" s="357"/>
      <c r="AG139" s="357"/>
      <c r="AH139" s="121">
        <f t="shared" si="9"/>
        <v>0</v>
      </c>
      <c r="AI139" s="29">
        <f>AH139</f>
        <v>0</v>
      </c>
    </row>
    <row r="140" spans="1:35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57" t="s">
        <v>177</v>
      </c>
      <c r="K140" s="357"/>
      <c r="L140" s="357"/>
      <c r="M140" s="357"/>
      <c r="N140" s="357"/>
      <c r="O140" s="357"/>
      <c r="P140" s="121">
        <f t="shared" si="7"/>
        <v>0</v>
      </c>
      <c r="Q140" s="29">
        <v>55</v>
      </c>
      <c r="S140" s="357" t="s">
        <v>177</v>
      </c>
      <c r="T140" s="357"/>
      <c r="U140" s="357"/>
      <c r="V140" s="357"/>
      <c r="W140" s="357"/>
      <c r="X140" s="357"/>
      <c r="Y140" s="121">
        <f t="shared" si="8"/>
        <v>0</v>
      </c>
      <c r="Z140" s="29">
        <v>55</v>
      </c>
      <c r="AB140" s="357" t="s">
        <v>177</v>
      </c>
      <c r="AC140" s="357"/>
      <c r="AD140" s="357"/>
      <c r="AE140" s="357"/>
      <c r="AF140" s="357"/>
      <c r="AG140" s="357"/>
      <c r="AH140" s="121">
        <f t="shared" si="9"/>
        <v>0</v>
      </c>
      <c r="AI140" s="29">
        <v>55</v>
      </c>
    </row>
    <row r="141" spans="1:35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22200</v>
      </c>
      <c r="H141" s="122">
        <f>(H135+H136+H139+H140+H137)-H138</f>
        <v>24500.003999999997</v>
      </c>
      <c r="J141" s="357" t="s">
        <v>178</v>
      </c>
      <c r="K141" s="357"/>
      <c r="L141" s="357"/>
      <c r="M141" s="357"/>
      <c r="N141" s="357"/>
      <c r="O141" s="357"/>
      <c r="P141" s="123">
        <f t="shared" si="7"/>
        <v>0</v>
      </c>
      <c r="Q141" s="122" t="e">
        <f>(Q135+Q136+Q139+Q140+Q137)-Q138</f>
        <v>#VALUE!</v>
      </c>
      <c r="S141" s="357" t="s">
        <v>178</v>
      </c>
      <c r="T141" s="357"/>
      <c r="U141" s="357"/>
      <c r="V141" s="357"/>
      <c r="W141" s="357"/>
      <c r="X141" s="357"/>
      <c r="Y141" s="123">
        <f t="shared" si="8"/>
        <v>0</v>
      </c>
      <c r="Z141" s="122" t="e">
        <f>(Z135+Z136+Z139+Z140+Z137)-Z138</f>
        <v>#VALUE!</v>
      </c>
      <c r="AB141" s="357" t="s">
        <v>178</v>
      </c>
      <c r="AC141" s="357"/>
      <c r="AD141" s="357"/>
      <c r="AE141" s="357"/>
      <c r="AF141" s="357"/>
      <c r="AG141" s="357"/>
      <c r="AH141" s="123">
        <f t="shared" si="9"/>
        <v>0</v>
      </c>
      <c r="AI141" s="122" t="e">
        <f>(AI135+AI136+AI139+AI140+AI137)-AI138</f>
        <v>#VALUE!</v>
      </c>
    </row>
    <row r="142" spans="1:35">
      <c r="A142" s="357" t="s">
        <v>179</v>
      </c>
      <c r="B142" s="357"/>
      <c r="C142" s="357"/>
      <c r="D142" s="357"/>
      <c r="E142" s="357"/>
      <c r="F142" s="357"/>
      <c r="G142" s="121">
        <f>H16</f>
        <v>0</v>
      </c>
      <c r="H142" s="36">
        <f>G142</f>
        <v>0</v>
      </c>
      <c r="J142" s="357" t="s">
        <v>179</v>
      </c>
      <c r="K142" s="357"/>
      <c r="L142" s="357"/>
      <c r="M142" s="357"/>
      <c r="N142" s="357"/>
      <c r="O142" s="357"/>
      <c r="P142" s="121">
        <f t="shared" si="7"/>
        <v>0</v>
      </c>
      <c r="Q142" s="36">
        <f>P142</f>
        <v>0</v>
      </c>
      <c r="S142" s="357" t="s">
        <v>179</v>
      </c>
      <c r="T142" s="357"/>
      <c r="U142" s="357"/>
      <c r="V142" s="357"/>
      <c r="W142" s="357"/>
      <c r="X142" s="357"/>
      <c r="Y142" s="121">
        <f t="shared" si="8"/>
        <v>0</v>
      </c>
      <c r="Z142" s="36">
        <f>Y142</f>
        <v>0</v>
      </c>
      <c r="AB142" s="357" t="s">
        <v>179</v>
      </c>
      <c r="AC142" s="357"/>
      <c r="AD142" s="357"/>
      <c r="AE142" s="357"/>
      <c r="AF142" s="357"/>
      <c r="AG142" s="357"/>
      <c r="AH142" s="121">
        <f t="shared" si="9"/>
        <v>0</v>
      </c>
      <c r="AI142" s="36">
        <f>AH142</f>
        <v>0</v>
      </c>
    </row>
    <row r="143" spans="1:35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58" t="s">
        <v>180</v>
      </c>
      <c r="K143" s="358"/>
      <c r="L143" s="358"/>
      <c r="M143" s="358"/>
      <c r="N143" s="358"/>
      <c r="O143" s="358"/>
      <c r="P143" s="34"/>
      <c r="Q143" s="29"/>
      <c r="S143" s="358" t="s">
        <v>180</v>
      </c>
      <c r="T143" s="358"/>
      <c r="U143" s="358"/>
      <c r="V143" s="358"/>
      <c r="W143" s="358"/>
      <c r="X143" s="358"/>
      <c r="Y143" s="34"/>
      <c r="Z143" s="29"/>
      <c r="AB143" s="358" t="s">
        <v>180</v>
      </c>
      <c r="AC143" s="358"/>
      <c r="AD143" s="358"/>
      <c r="AE143" s="358"/>
      <c r="AF143" s="358"/>
      <c r="AG143" s="358"/>
      <c r="AH143" s="34"/>
      <c r="AI143" s="29"/>
    </row>
    <row r="144" spans="1:35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J144" s="124" t="s">
        <v>26</v>
      </c>
      <c r="K144" s="360" t="s">
        <v>181</v>
      </c>
      <c r="L144" s="360"/>
      <c r="M144" s="360"/>
      <c r="N144" s="360"/>
      <c r="O144" s="360"/>
      <c r="P144" s="121">
        <f>H18</f>
        <v>0</v>
      </c>
      <c r="Q144" s="36">
        <f>P144</f>
        <v>0</v>
      </c>
      <c r="S144" s="124" t="s">
        <v>26</v>
      </c>
      <c r="T144" s="360" t="s">
        <v>181</v>
      </c>
      <c r="U144" s="360"/>
      <c r="V144" s="360"/>
      <c r="W144" s="360"/>
      <c r="X144" s="360"/>
      <c r="Y144" s="121">
        <f>H18</f>
        <v>0</v>
      </c>
      <c r="Z144" s="36">
        <f>Y144</f>
        <v>0</v>
      </c>
      <c r="AB144" s="124" t="s">
        <v>26</v>
      </c>
      <c r="AC144" s="360" t="s">
        <v>181</v>
      </c>
      <c r="AD144" s="360"/>
      <c r="AE144" s="360"/>
      <c r="AF144" s="360"/>
      <c r="AG144" s="360"/>
      <c r="AH144" s="121">
        <f>H18</f>
        <v>0</v>
      </c>
      <c r="AI144" s="36">
        <f>AH144</f>
        <v>0</v>
      </c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J145" s="124" t="s">
        <v>28</v>
      </c>
      <c r="K145" s="360" t="s">
        <v>181</v>
      </c>
      <c r="L145" s="360"/>
      <c r="M145" s="360"/>
      <c r="N145" s="360"/>
      <c r="O145" s="360"/>
      <c r="P145" s="121">
        <f>H19</f>
        <v>0</v>
      </c>
      <c r="Q145" s="36">
        <f>P145</f>
        <v>0</v>
      </c>
      <c r="S145" s="124" t="s">
        <v>28</v>
      </c>
      <c r="T145" s="360" t="s">
        <v>181</v>
      </c>
      <c r="U145" s="360"/>
      <c r="V145" s="360"/>
      <c r="W145" s="360"/>
      <c r="X145" s="360"/>
      <c r="Y145" s="121">
        <f>H19</f>
        <v>0</v>
      </c>
      <c r="Z145" s="36">
        <f>Y145</f>
        <v>0</v>
      </c>
      <c r="AB145" s="124" t="s">
        <v>28</v>
      </c>
      <c r="AC145" s="360" t="s">
        <v>181</v>
      </c>
      <c r="AD145" s="360"/>
      <c r="AE145" s="360"/>
      <c r="AF145" s="360"/>
      <c r="AG145" s="360"/>
      <c r="AH145" s="121">
        <f>H19</f>
        <v>0</v>
      </c>
      <c r="AI145" s="36">
        <f>AH145</f>
        <v>0</v>
      </c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J146" s="125" t="s">
        <v>29</v>
      </c>
      <c r="K146" s="361" t="s">
        <v>181</v>
      </c>
      <c r="L146" s="361"/>
      <c r="M146" s="361"/>
      <c r="N146" s="361"/>
      <c r="O146" s="361"/>
      <c r="P146" s="121">
        <f>H20</f>
        <v>0</v>
      </c>
      <c r="Q146" s="36">
        <f>P146</f>
        <v>0</v>
      </c>
      <c r="S146" s="125" t="s">
        <v>29</v>
      </c>
      <c r="T146" s="361" t="s">
        <v>181</v>
      </c>
      <c r="U146" s="361"/>
      <c r="V146" s="361"/>
      <c r="W146" s="361"/>
      <c r="X146" s="361"/>
      <c r="Y146" s="121">
        <f>H20</f>
        <v>0</v>
      </c>
      <c r="Z146" s="36">
        <f>Y146</f>
        <v>0</v>
      </c>
      <c r="AB146" s="125" t="s">
        <v>29</v>
      </c>
      <c r="AC146" s="361" t="s">
        <v>181</v>
      </c>
      <c r="AD146" s="361"/>
      <c r="AE146" s="361"/>
      <c r="AF146" s="361"/>
      <c r="AG146" s="361"/>
      <c r="AH146" s="121">
        <f>H20</f>
        <v>0</v>
      </c>
      <c r="AI146" s="36">
        <f>AH146</f>
        <v>0</v>
      </c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22200</v>
      </c>
      <c r="H147" s="126">
        <f>H141-((H144*1.2)+(H145*1.2)+(H146*1.2)+(H142*1.2))</f>
        <v>24500.003999999997</v>
      </c>
      <c r="J147" s="357" t="s">
        <v>182</v>
      </c>
      <c r="K147" s="357"/>
      <c r="L147" s="357"/>
      <c r="M147" s="357"/>
      <c r="N147" s="357"/>
      <c r="O147" s="357"/>
      <c r="P147" s="123">
        <f>P141-((P144*1.2)+(P145*1.2)+(P146*1.2)+(P142*1.2))</f>
        <v>0</v>
      </c>
      <c r="Q147" s="126" t="e">
        <f>Q141-((Q144*1.2)+(Q145*1.2)+(Q146*1.2)+(Q142*1.2))</f>
        <v>#VALUE!</v>
      </c>
      <c r="S147" s="357" t="s">
        <v>182</v>
      </c>
      <c r="T147" s="357"/>
      <c r="U147" s="357"/>
      <c r="V147" s="357"/>
      <c r="W147" s="357"/>
      <c r="X147" s="357"/>
      <c r="Y147" s="123">
        <f>Y141-((Y144*1.2)+(Y145*1.2)+(Y146*1.2)+(Y142*1.2))</f>
        <v>0</v>
      </c>
      <c r="Z147" s="126" t="e">
        <f>Z141-((Z144*1.2)+(Z145*1.2)+(Z146*1.2)+(Z142*1.2))</f>
        <v>#VALUE!</v>
      </c>
      <c r="AB147" s="357" t="s">
        <v>182</v>
      </c>
      <c r="AC147" s="357"/>
      <c r="AD147" s="357"/>
      <c r="AE147" s="357"/>
      <c r="AF147" s="357"/>
      <c r="AG147" s="357"/>
      <c r="AH147" s="123">
        <f>AH141-((AH144*1.2)+(AH145*1.2)+(AH146*1.2)+(AH142*1.2))</f>
        <v>0</v>
      </c>
      <c r="AI147" s="126" t="e">
        <f>AI141-((AI144*1.2)+(AI145*1.2)+(AI146*1.2)+(AI142*1.2))</f>
        <v>#VALUE!</v>
      </c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1916.6699999999973</v>
      </c>
      <c r="I148" s="4">
        <f>(H148-G81)/1.2</f>
        <v>-18336.111666666668</v>
      </c>
      <c r="J148" s="357" t="s">
        <v>183</v>
      </c>
      <c r="K148" s="357"/>
      <c r="L148" s="357"/>
      <c r="M148" s="357"/>
      <c r="N148" s="357"/>
      <c r="O148" s="357"/>
      <c r="P148" s="121"/>
      <c r="Q148" s="36" t="e">
        <f>Q147-P147</f>
        <v>#VALUE!</v>
      </c>
      <c r="S148" s="357" t="s">
        <v>183</v>
      </c>
      <c r="T148" s="357"/>
      <c r="U148" s="357"/>
      <c r="V148" s="357"/>
      <c r="W148" s="357"/>
      <c r="X148" s="357"/>
      <c r="Y148" s="121"/>
      <c r="Z148" s="36" t="e">
        <f>Z147-Y147</f>
        <v>#VALUE!</v>
      </c>
      <c r="AB148" s="357" t="s">
        <v>183</v>
      </c>
      <c r="AC148" s="357"/>
      <c r="AD148" s="357"/>
      <c r="AE148" s="357"/>
      <c r="AF148" s="357"/>
      <c r="AG148" s="357"/>
      <c r="AH148" s="121"/>
      <c r="AI148" s="36" t="e">
        <f>AI147-AH147</f>
        <v>#VALUE!</v>
      </c>
    </row>
    <row r="149" spans="1:35">
      <c r="A149" s="27"/>
      <c r="B149" s="28"/>
      <c r="C149" s="28"/>
      <c r="D149" s="28"/>
      <c r="E149" s="21"/>
      <c r="F149" s="21"/>
      <c r="G149" s="21"/>
      <c r="H149" s="29"/>
      <c r="J149" s="27"/>
      <c r="K149" s="28"/>
      <c r="L149" s="28"/>
      <c r="M149" s="28"/>
      <c r="N149" s="21"/>
      <c r="O149" s="21"/>
      <c r="P149" s="21"/>
      <c r="Q149" s="29"/>
      <c r="S149" s="27"/>
      <c r="T149" s="28"/>
      <c r="U149" s="28"/>
      <c r="V149" s="28"/>
      <c r="W149" s="21"/>
      <c r="X149" s="21"/>
      <c r="Y149" s="21"/>
      <c r="Z149" s="29"/>
      <c r="AB149" s="27"/>
      <c r="AC149" s="28"/>
      <c r="AD149" s="28"/>
      <c r="AE149" s="28"/>
      <c r="AF149" s="21"/>
      <c r="AG149" s="21"/>
      <c r="AH149" s="21"/>
      <c r="AI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35" t="s">
        <v>184</v>
      </c>
      <c r="K150" s="335"/>
      <c r="L150" s="335"/>
      <c r="M150" s="335"/>
      <c r="N150" s="335"/>
      <c r="O150" s="335"/>
      <c r="P150" s="335"/>
      <c r="Q150" s="335"/>
      <c r="S150" s="335" t="s">
        <v>184</v>
      </c>
      <c r="T150" s="335"/>
      <c r="U150" s="335"/>
      <c r="V150" s="335"/>
      <c r="W150" s="335"/>
      <c r="X150" s="335"/>
      <c r="Y150" s="335"/>
      <c r="Z150" s="335"/>
      <c r="AB150" s="335" t="s">
        <v>184</v>
      </c>
      <c r="AC150" s="335"/>
      <c r="AD150" s="335"/>
      <c r="AE150" s="335"/>
      <c r="AF150" s="335"/>
      <c r="AG150" s="335"/>
      <c r="AH150" s="335"/>
      <c r="AI150" s="335"/>
    </row>
    <row r="151" spans="1:35">
      <c r="A151" s="27"/>
      <c r="B151" s="28"/>
      <c r="C151" s="28"/>
      <c r="D151" s="28"/>
      <c r="E151" s="21"/>
      <c r="F151" s="21"/>
      <c r="G151" s="21"/>
      <c r="H151" s="29"/>
      <c r="J151" s="27"/>
      <c r="K151" s="28"/>
      <c r="L151" s="28"/>
      <c r="M151" s="28"/>
      <c r="N151" s="21"/>
      <c r="O151" s="21"/>
      <c r="P151" s="21"/>
      <c r="Q151" s="29"/>
      <c r="S151" s="27"/>
      <c r="T151" s="28"/>
      <c r="U151" s="28"/>
      <c r="V151" s="28"/>
      <c r="W151" s="21"/>
      <c r="X151" s="21"/>
      <c r="Y151" s="21"/>
      <c r="Z151" s="29"/>
      <c r="AB151" s="27"/>
      <c r="AC151" s="28"/>
      <c r="AD151" s="28"/>
      <c r="AE151" s="28"/>
      <c r="AF151" s="21"/>
      <c r="AG151" s="21"/>
      <c r="AH151" s="21"/>
      <c r="AI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J152" s="27" t="s">
        <v>185</v>
      </c>
      <c r="K152" s="28"/>
      <c r="L152" s="28"/>
      <c r="M152" s="21"/>
      <c r="N152" s="348">
        <v>10000</v>
      </c>
      <c r="O152" s="348"/>
      <c r="P152" s="348">
        <v>5000</v>
      </c>
      <c r="Q152" s="348"/>
      <c r="S152" s="27" t="s">
        <v>185</v>
      </c>
      <c r="T152" s="28"/>
      <c r="U152" s="28"/>
      <c r="V152" s="21"/>
      <c r="W152" s="348">
        <v>10000</v>
      </c>
      <c r="X152" s="348"/>
      <c r="Y152" s="348">
        <v>5000</v>
      </c>
      <c r="Z152" s="348"/>
      <c r="AB152" s="27" t="s">
        <v>185</v>
      </c>
      <c r="AC152" s="28"/>
      <c r="AD152" s="28"/>
      <c r="AE152" s="21"/>
      <c r="AF152" s="348">
        <v>10000</v>
      </c>
      <c r="AG152" s="348"/>
      <c r="AH152" s="348">
        <v>5000</v>
      </c>
      <c r="AI152" s="348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J153" s="27" t="s">
        <v>186</v>
      </c>
      <c r="K153" s="28"/>
      <c r="L153" s="28"/>
      <c r="M153" s="21"/>
      <c r="N153" s="363">
        <f>P153</f>
        <v>7000</v>
      </c>
      <c r="O153" s="363"/>
      <c r="P153" s="348">
        <v>7000</v>
      </c>
      <c r="Q153" s="348"/>
      <c r="S153" s="27" t="s">
        <v>186</v>
      </c>
      <c r="T153" s="28"/>
      <c r="U153" s="28"/>
      <c r="V153" s="21"/>
      <c r="W153" s="363">
        <f>Y153</f>
        <v>7000</v>
      </c>
      <c r="X153" s="363"/>
      <c r="Y153" s="348">
        <v>7000</v>
      </c>
      <c r="Z153" s="348"/>
      <c r="AB153" s="27" t="s">
        <v>186</v>
      </c>
      <c r="AC153" s="28"/>
      <c r="AD153" s="28"/>
      <c r="AE153" s="21"/>
      <c r="AF153" s="363">
        <f>AH153</f>
        <v>7000</v>
      </c>
      <c r="AG153" s="363"/>
      <c r="AH153" s="348">
        <v>7000</v>
      </c>
      <c r="AI153" s="348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J154" s="27" t="s">
        <v>187</v>
      </c>
      <c r="K154" s="28"/>
      <c r="L154" s="28"/>
      <c r="M154" s="21"/>
      <c r="N154" s="363">
        <f>N152-N153</f>
        <v>3000</v>
      </c>
      <c r="O154" s="363"/>
      <c r="P154" s="364">
        <f>P152-P153</f>
        <v>-2000</v>
      </c>
      <c r="Q154" s="364"/>
      <c r="S154" s="27" t="s">
        <v>187</v>
      </c>
      <c r="T154" s="28"/>
      <c r="U154" s="28"/>
      <c r="V154" s="21"/>
      <c r="W154" s="363">
        <f>W152-W153</f>
        <v>3000</v>
      </c>
      <c r="X154" s="363"/>
      <c r="Y154" s="364">
        <f>Y152-Y153</f>
        <v>-2000</v>
      </c>
      <c r="Z154" s="364"/>
      <c r="AB154" s="27" t="s">
        <v>187</v>
      </c>
      <c r="AC154" s="28"/>
      <c r="AD154" s="28"/>
      <c r="AE154" s="21"/>
      <c r="AF154" s="363">
        <f>AF152-AF153</f>
        <v>3000</v>
      </c>
      <c r="AG154" s="363"/>
      <c r="AH154" s="364">
        <f>AH152-AH153</f>
        <v>-2000</v>
      </c>
      <c r="AI154" s="364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J155" s="27" t="s">
        <v>188</v>
      </c>
      <c r="K155" s="28"/>
      <c r="L155" s="28"/>
      <c r="M155" s="21"/>
      <c r="N155" s="363">
        <f>N154-P154</f>
        <v>5000</v>
      </c>
      <c r="O155" s="363"/>
      <c r="P155" s="21"/>
      <c r="Q155" s="29"/>
      <c r="S155" s="27" t="s">
        <v>188</v>
      </c>
      <c r="T155" s="28"/>
      <c r="U155" s="28"/>
      <c r="V155" s="21"/>
      <c r="W155" s="363">
        <f>W154-Y154</f>
        <v>5000</v>
      </c>
      <c r="X155" s="363"/>
      <c r="Y155" s="21"/>
      <c r="Z155" s="29"/>
      <c r="AB155" s="27" t="s">
        <v>188</v>
      </c>
      <c r="AC155" s="28"/>
      <c r="AD155" s="28"/>
      <c r="AE155" s="21"/>
      <c r="AF155" s="363">
        <f>AF154-AH154</f>
        <v>5000</v>
      </c>
      <c r="AG155" s="363"/>
      <c r="AH155" s="21"/>
      <c r="AI155" s="29"/>
    </row>
    <row r="156" spans="1:35">
      <c r="A156" s="27" t="s">
        <v>189</v>
      </c>
      <c r="B156" s="28"/>
      <c r="C156" s="28"/>
      <c r="D156" s="21"/>
      <c r="E156" s="28"/>
      <c r="F156" s="21"/>
      <c r="G156" s="21"/>
      <c r="H156" s="36">
        <v>1420</v>
      </c>
      <c r="J156" s="27"/>
      <c r="K156" s="28"/>
      <c r="L156" s="28"/>
      <c r="M156" s="21"/>
      <c r="N156" s="28"/>
      <c r="O156" s="21"/>
      <c r="P156" s="21"/>
      <c r="Q156" s="29"/>
      <c r="S156" s="27"/>
      <c r="T156" s="28"/>
      <c r="U156" s="28"/>
      <c r="V156" s="21"/>
      <c r="W156" s="28"/>
      <c r="X156" s="21"/>
      <c r="Y156" s="21"/>
      <c r="Z156" s="29"/>
      <c r="AB156" s="27"/>
      <c r="AC156" s="28"/>
      <c r="AD156" s="28"/>
      <c r="AE156" s="21"/>
      <c r="AF156" s="28"/>
      <c r="AG156" s="21"/>
      <c r="AH156" s="21"/>
      <c r="AI156" s="29"/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2000</v>
      </c>
      <c r="H157" s="365"/>
      <c r="J157" s="22" t="s">
        <v>190</v>
      </c>
      <c r="K157" s="23"/>
      <c r="L157" s="23"/>
      <c r="M157" s="63"/>
      <c r="N157" s="23"/>
      <c r="O157" s="63"/>
      <c r="P157" s="365">
        <f>J114</f>
        <v>1000</v>
      </c>
      <c r="Q157" s="365"/>
      <c r="S157" s="22" t="s">
        <v>190</v>
      </c>
      <c r="T157" s="23"/>
      <c r="U157" s="23"/>
      <c r="V157" s="63"/>
      <c r="W157" s="23"/>
      <c r="X157" s="63"/>
      <c r="Y157" s="365">
        <f>S114</f>
        <v>1000</v>
      </c>
      <c r="Z157" s="365"/>
      <c r="AB157" s="22" t="s">
        <v>190</v>
      </c>
      <c r="AC157" s="23"/>
      <c r="AD157" s="23"/>
      <c r="AE157" s="63"/>
      <c r="AF157" s="23"/>
      <c r="AG157" s="63"/>
      <c r="AH157" s="365">
        <f>AB114</f>
        <v>1000</v>
      </c>
      <c r="AI157" s="365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23920.003999999997</v>
      </c>
      <c r="H158" s="366"/>
      <c r="J158" s="129" t="s">
        <v>191</v>
      </c>
      <c r="K158" s="28"/>
      <c r="L158" s="28"/>
      <c r="M158" s="21"/>
      <c r="N158" s="28"/>
      <c r="O158" s="21"/>
      <c r="P158" s="366" t="e">
        <f>Q147-P154-P157</f>
        <v>#VALUE!</v>
      </c>
      <c r="Q158" s="366"/>
      <c r="S158" s="129" t="s">
        <v>191</v>
      </c>
      <c r="T158" s="28"/>
      <c r="U158" s="28"/>
      <c r="V158" s="21"/>
      <c r="W158" s="28"/>
      <c r="X158" s="21"/>
      <c r="Y158" s="366" t="e">
        <f>Z147-Y154-Y157</f>
        <v>#VALUE!</v>
      </c>
      <c r="Z158" s="366"/>
      <c r="AB158" s="129" t="s">
        <v>191</v>
      </c>
      <c r="AC158" s="28"/>
      <c r="AD158" s="28"/>
      <c r="AE158" s="21"/>
      <c r="AF158" s="28"/>
      <c r="AG158" s="21"/>
      <c r="AH158" s="366" t="e">
        <f>AI147-AH154-AH157</f>
        <v>#VALUE!</v>
      </c>
      <c r="AI158" s="366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1000</v>
      </c>
      <c r="H159" s="367"/>
      <c r="J159" s="49" t="s">
        <v>66</v>
      </c>
      <c r="K159" s="50"/>
      <c r="L159" s="50"/>
      <c r="M159" s="85"/>
      <c r="N159" s="50"/>
      <c r="O159" s="85"/>
      <c r="P159" s="367">
        <f>K114</f>
        <v>239.99</v>
      </c>
      <c r="Q159" s="367"/>
      <c r="S159" s="49" t="s">
        <v>66</v>
      </c>
      <c r="T159" s="50"/>
      <c r="U159" s="50"/>
      <c r="V159" s="85"/>
      <c r="W159" s="50"/>
      <c r="X159" s="85"/>
      <c r="Y159" s="367">
        <f>T114</f>
        <v>199.99</v>
      </c>
      <c r="Z159" s="367"/>
      <c r="AB159" s="49" t="s">
        <v>66</v>
      </c>
      <c r="AC159" s="50"/>
      <c r="AD159" s="50"/>
      <c r="AE159" s="85"/>
      <c r="AF159" s="50"/>
      <c r="AG159" s="85"/>
      <c r="AH159" s="367">
        <f>AC114</f>
        <v>239.99</v>
      </c>
      <c r="AI159" s="367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/>
      <c r="B161" s="28"/>
      <c r="C161" s="28"/>
      <c r="D161" s="28"/>
      <c r="E161" s="21"/>
      <c r="F161" s="21"/>
      <c r="G161" s="21"/>
      <c r="H161" s="29"/>
      <c r="J161" s="27"/>
      <c r="K161" s="28"/>
      <c r="L161" s="28"/>
      <c r="M161" s="28"/>
      <c r="N161" s="21"/>
      <c r="O161" s="21"/>
      <c r="P161" s="21"/>
      <c r="Q161" s="29"/>
      <c r="S161" s="27"/>
      <c r="T161" s="28"/>
      <c r="U161" s="28"/>
      <c r="V161" s="28"/>
      <c r="W161" s="21"/>
      <c r="X161" s="21"/>
      <c r="Y161" s="21"/>
      <c r="Z161" s="29"/>
      <c r="AB161" s="27"/>
      <c r="AC161" s="28"/>
      <c r="AD161" s="28"/>
      <c r="AE161" s="28"/>
      <c r="AF161" s="21"/>
      <c r="AG161" s="21"/>
      <c r="AH161" s="21"/>
      <c r="AI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35" t="s">
        <v>192</v>
      </c>
      <c r="K162" s="335"/>
      <c r="L162" s="335"/>
      <c r="M162" s="335"/>
      <c r="N162" s="335"/>
      <c r="O162" s="335"/>
      <c r="P162" s="335"/>
      <c r="Q162" s="335"/>
      <c r="S162" s="335" t="s">
        <v>192</v>
      </c>
      <c r="T162" s="335"/>
      <c r="U162" s="335"/>
      <c r="V162" s="335"/>
      <c r="W162" s="335"/>
      <c r="X162" s="335"/>
      <c r="Y162" s="335"/>
      <c r="Z162" s="335"/>
      <c r="AB162" s="335" t="s">
        <v>192</v>
      </c>
      <c r="AC162" s="335"/>
      <c r="AD162" s="335"/>
      <c r="AE162" s="335"/>
      <c r="AF162" s="335"/>
      <c r="AG162" s="335"/>
      <c r="AH162" s="335"/>
      <c r="AI162" s="335"/>
    </row>
    <row r="163" spans="1:35">
      <c r="A163" s="27"/>
      <c r="B163" s="28"/>
      <c r="C163" s="28"/>
      <c r="D163" s="28"/>
      <c r="E163" s="21"/>
      <c r="F163" s="21"/>
      <c r="G163" s="21"/>
      <c r="H163" s="29"/>
      <c r="J163" s="27"/>
      <c r="K163" s="28"/>
      <c r="L163" s="28"/>
      <c r="M163" s="28"/>
      <c r="N163" s="21"/>
      <c r="O163" s="21"/>
      <c r="P163" s="21"/>
      <c r="Q163" s="29"/>
      <c r="S163" s="27"/>
      <c r="T163" s="28"/>
      <c r="U163" s="28"/>
      <c r="V163" s="28"/>
      <c r="W163" s="21"/>
      <c r="X163" s="21"/>
      <c r="Y163" s="21"/>
      <c r="Z163" s="29"/>
      <c r="AB163" s="27"/>
      <c r="AC163" s="28"/>
      <c r="AD163" s="28"/>
      <c r="AE163" s="28"/>
      <c r="AF163" s="21"/>
      <c r="AG163" s="21"/>
      <c r="AH163" s="21"/>
      <c r="AI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J164" s="27" t="s">
        <v>193</v>
      </c>
      <c r="K164" s="368">
        <v>0</v>
      </c>
      <c r="L164" s="368"/>
      <c r="M164" s="28"/>
      <c r="N164" s="21"/>
      <c r="O164" s="21"/>
      <c r="P164" s="21"/>
      <c r="Q164" s="29"/>
      <c r="S164" s="27" t="s">
        <v>193</v>
      </c>
      <c r="T164" s="368">
        <v>0</v>
      </c>
      <c r="U164" s="368"/>
      <c r="V164" s="28"/>
      <c r="W164" s="21"/>
      <c r="X164" s="21"/>
      <c r="Y164" s="21"/>
      <c r="Z164" s="29"/>
      <c r="AB164" s="27" t="s">
        <v>193</v>
      </c>
      <c r="AC164" s="368">
        <v>0</v>
      </c>
      <c r="AD164" s="368"/>
      <c r="AE164" s="28"/>
      <c r="AF164" s="21"/>
      <c r="AG164" s="21"/>
      <c r="AH164" s="21"/>
      <c r="AI164" s="29"/>
    </row>
    <row r="165" spans="1:35">
      <c r="A165" s="27"/>
      <c r="B165" s="28"/>
      <c r="C165" s="28"/>
      <c r="D165" s="28"/>
      <c r="E165" s="21"/>
      <c r="F165" s="21"/>
      <c r="G165" s="21"/>
      <c r="H165" s="29"/>
      <c r="J165" s="27"/>
      <c r="K165" s="28"/>
      <c r="L165" s="28"/>
      <c r="M165" s="28"/>
      <c r="N165" s="21"/>
      <c r="O165" s="21"/>
      <c r="P165" s="21"/>
      <c r="Q165" s="29"/>
      <c r="S165" s="27"/>
      <c r="T165" s="28"/>
      <c r="U165" s="28"/>
      <c r="V165" s="28"/>
      <c r="W165" s="21"/>
      <c r="X165" s="21"/>
      <c r="Y165" s="21"/>
      <c r="Z165" s="29"/>
      <c r="AB165" s="27"/>
      <c r="AC165" s="28"/>
      <c r="AD165" s="28"/>
      <c r="AE165" s="28"/>
      <c r="AF165" s="21"/>
      <c r="AG165" s="21"/>
      <c r="AH165" s="21"/>
      <c r="AI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  <c r="J166" s="130" t="s">
        <v>194</v>
      </c>
      <c r="K166" s="131" t="s">
        <v>195</v>
      </c>
      <c r="L166" s="131"/>
      <c r="M166" s="131"/>
      <c r="N166" s="131" t="s">
        <v>196</v>
      </c>
      <c r="O166" s="21"/>
      <c r="P166" s="21"/>
      <c r="Q166" s="29"/>
      <c r="S166" s="130" t="s">
        <v>194</v>
      </c>
      <c r="T166" s="131" t="s">
        <v>195</v>
      </c>
      <c r="U166" s="131"/>
      <c r="V166" s="131"/>
      <c r="W166" s="131" t="s">
        <v>196</v>
      </c>
      <c r="X166" s="21"/>
      <c r="Y166" s="21"/>
      <c r="Z166" s="29"/>
      <c r="AB166" s="130" t="s">
        <v>194</v>
      </c>
      <c r="AC166" s="131" t="s">
        <v>195</v>
      </c>
      <c r="AD166" s="131"/>
      <c r="AE166" s="131"/>
      <c r="AF166" s="131" t="s">
        <v>196</v>
      </c>
      <c r="AG166" s="21"/>
      <c r="AH166" s="21"/>
      <c r="AI166" s="29"/>
    </row>
    <row r="167" spans="1:35">
      <c r="A167" s="189">
        <f>B95</f>
        <v>832.88409068074566</v>
      </c>
      <c r="B167" s="133" t="str">
        <f>B94</f>
        <v>0</v>
      </c>
      <c r="C167" s="131"/>
      <c r="D167" s="131"/>
      <c r="E167" s="133">
        <f>B96</f>
        <v>832.88409068074566</v>
      </c>
      <c r="F167" s="21"/>
      <c r="G167" s="21">
        <f>ROUND(G95,2)</f>
        <v>733.12</v>
      </c>
      <c r="H167" s="29"/>
      <c r="J167" s="132" t="e">
        <f>K95</f>
        <v>#VALUE!</v>
      </c>
      <c r="K167" s="133">
        <f>K94</f>
        <v>0</v>
      </c>
      <c r="L167" s="131"/>
      <c r="M167" s="131"/>
      <c r="N167" s="133" t="e">
        <f>K96</f>
        <v>#VALUE!</v>
      </c>
      <c r="O167" s="21"/>
      <c r="P167" s="21"/>
      <c r="Q167" s="29"/>
      <c r="S167" s="132" t="e">
        <f>T95</f>
        <v>#VALUE!</v>
      </c>
      <c r="T167" s="133">
        <f>T94</f>
        <v>0</v>
      </c>
      <c r="U167" s="131"/>
      <c r="V167" s="131"/>
      <c r="W167" s="133" t="e">
        <f>T96</f>
        <v>#VALUE!</v>
      </c>
      <c r="X167" s="21"/>
      <c r="Y167" s="21"/>
      <c r="Z167" s="29"/>
      <c r="AB167" s="132" t="e">
        <f>AC95</f>
        <v>#VALUE!</v>
      </c>
      <c r="AC167" s="133">
        <f>AC94</f>
        <v>0</v>
      </c>
      <c r="AD167" s="131"/>
      <c r="AE167" s="131"/>
      <c r="AF167" s="133" t="e">
        <f>AC96</f>
        <v>#VALUE!</v>
      </c>
      <c r="AG167" s="21"/>
      <c r="AH167" s="21"/>
      <c r="AI167" s="29"/>
    </row>
    <row r="168" spans="1:35">
      <c r="A168" s="27"/>
      <c r="B168" s="28"/>
      <c r="C168" s="28"/>
      <c r="D168" s="28"/>
      <c r="E168" s="21"/>
      <c r="F168" s="21"/>
      <c r="G168" s="21"/>
      <c r="H168" s="29"/>
      <c r="J168" s="27"/>
      <c r="K168" s="28"/>
      <c r="L168" s="28"/>
      <c r="M168" s="28"/>
      <c r="N168" s="21"/>
      <c r="O168" s="21"/>
      <c r="P168" s="21"/>
      <c r="Q168" s="29"/>
      <c r="S168" s="27"/>
      <c r="T168" s="28"/>
      <c r="U168" s="28"/>
      <c r="V168" s="28"/>
      <c r="W168" s="21"/>
      <c r="X168" s="21"/>
      <c r="Y168" s="21"/>
      <c r="Z168" s="29"/>
      <c r="AB168" s="27"/>
      <c r="AC168" s="28"/>
      <c r="AD168" s="28"/>
      <c r="AE168" s="28"/>
      <c r="AF168" s="21"/>
      <c r="AG168" s="21"/>
      <c r="AH168" s="21"/>
      <c r="AI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  <c r="J169" s="27" t="s">
        <v>94</v>
      </c>
      <c r="K169" s="28" t="s">
        <v>95</v>
      </c>
      <c r="L169" s="28"/>
      <c r="M169" s="21"/>
      <c r="N169" s="28" t="s">
        <v>198</v>
      </c>
      <c r="O169" s="21"/>
      <c r="P169" s="21"/>
      <c r="Q169" s="29"/>
      <c r="S169" s="27" t="s">
        <v>94</v>
      </c>
      <c r="T169" s="28" t="s">
        <v>95</v>
      </c>
      <c r="U169" s="28"/>
      <c r="V169" s="21"/>
      <c r="W169" s="28" t="s">
        <v>198</v>
      </c>
      <c r="X169" s="21"/>
      <c r="Y169" s="21"/>
      <c r="Z169" s="29"/>
      <c r="AB169" s="27" t="s">
        <v>94</v>
      </c>
      <c r="AC169" s="28" t="s">
        <v>95</v>
      </c>
      <c r="AD169" s="28"/>
      <c r="AE169" s="21"/>
      <c r="AF169" s="28" t="s">
        <v>198</v>
      </c>
      <c r="AG169" s="21"/>
      <c r="AH169" s="21"/>
      <c r="AI169" s="29"/>
    </row>
    <row r="170" spans="1:35">
      <c r="A170" s="134">
        <f>K29</f>
        <v>36</v>
      </c>
      <c r="B170" s="170">
        <f>K30</f>
        <v>10000</v>
      </c>
      <c r="C170" s="136"/>
      <c r="D170" s="21"/>
      <c r="E170" s="137">
        <f>IF(A111="YES",A40,0)</f>
        <v>0</v>
      </c>
      <c r="F170" s="21"/>
      <c r="G170" s="21"/>
      <c r="H170" s="29"/>
      <c r="J170" s="134">
        <f>K29</f>
        <v>36</v>
      </c>
      <c r="K170" s="135">
        <f>K30</f>
        <v>10000</v>
      </c>
      <c r="L170" s="136"/>
      <c r="M170" s="21"/>
      <c r="N170" s="137">
        <f>IF(A111="YES",A40,0)</f>
        <v>0</v>
      </c>
      <c r="O170" s="21"/>
      <c r="P170" s="21"/>
      <c r="Q170" s="29"/>
      <c r="S170" s="134">
        <f>K29</f>
        <v>36</v>
      </c>
      <c r="T170" s="135">
        <f>K30</f>
        <v>10000</v>
      </c>
      <c r="U170" s="136"/>
      <c r="V170" s="21"/>
      <c r="W170" s="137">
        <f>IF(A111="YES",A40,0)</f>
        <v>0</v>
      </c>
      <c r="X170" s="21"/>
      <c r="Y170" s="21"/>
      <c r="Z170" s="29"/>
      <c r="AB170" s="134">
        <f>K29</f>
        <v>36</v>
      </c>
      <c r="AC170" s="135">
        <f>K30</f>
        <v>10000</v>
      </c>
      <c r="AD170" s="136"/>
      <c r="AE170" s="21"/>
      <c r="AF170" s="137">
        <f>IF(A111="YES",A40,0)</f>
        <v>0</v>
      </c>
      <c r="AG170" s="21"/>
      <c r="AH170" s="21"/>
      <c r="AI170" s="29"/>
    </row>
    <row r="171" spans="1:35">
      <c r="A171" s="27"/>
      <c r="B171" s="28"/>
      <c r="C171" s="28"/>
      <c r="D171" s="21"/>
      <c r="E171" s="28"/>
      <c r="F171" s="21"/>
      <c r="G171" s="21"/>
      <c r="H171" s="29"/>
      <c r="J171" s="27"/>
      <c r="K171" s="28"/>
      <c r="L171" s="28"/>
      <c r="M171" s="21"/>
      <c r="N171" s="28"/>
      <c r="O171" s="21"/>
      <c r="P171" s="21"/>
      <c r="Q171" s="29"/>
      <c r="S171" s="27"/>
      <c r="T171" s="28"/>
      <c r="U171" s="28"/>
      <c r="V171" s="21"/>
      <c r="W171" s="28"/>
      <c r="X171" s="21"/>
      <c r="Y171" s="21"/>
      <c r="Z171" s="29"/>
      <c r="AB171" s="27"/>
      <c r="AC171" s="28"/>
      <c r="AD171" s="28"/>
      <c r="AE171" s="21"/>
      <c r="AF171" s="28"/>
      <c r="AG171" s="21"/>
      <c r="AH171" s="21"/>
      <c r="AI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  <c r="J172" s="27" t="s">
        <v>199</v>
      </c>
      <c r="K172" s="28" t="s">
        <v>200</v>
      </c>
      <c r="L172" s="28"/>
      <c r="M172" s="21"/>
      <c r="N172" s="28" t="s">
        <v>201</v>
      </c>
      <c r="O172" s="21"/>
      <c r="P172" s="21"/>
      <c r="Q172" s="29"/>
      <c r="S172" s="27" t="s">
        <v>199</v>
      </c>
      <c r="T172" s="28" t="s">
        <v>200</v>
      </c>
      <c r="U172" s="28"/>
      <c r="V172" s="21"/>
      <c r="W172" s="28" t="s">
        <v>201</v>
      </c>
      <c r="X172" s="21"/>
      <c r="Y172" s="21"/>
      <c r="Z172" s="29"/>
      <c r="AB172" s="27" t="s">
        <v>199</v>
      </c>
      <c r="AC172" s="28" t="s">
        <v>200</v>
      </c>
      <c r="AD172" s="28"/>
      <c r="AE172" s="21"/>
      <c r="AF172" s="28" t="s">
        <v>201</v>
      </c>
      <c r="AG172" s="21"/>
      <c r="AH172" s="21"/>
      <c r="AI172" s="29"/>
    </row>
    <row r="173" spans="1:35">
      <c r="A173" s="138">
        <f>H141-H137-H139-H140</f>
        <v>20416.669999999998</v>
      </c>
      <c r="B173" s="34">
        <f>H137</f>
        <v>4083.3339999999998</v>
      </c>
      <c r="C173" s="38"/>
      <c r="D173" s="21"/>
      <c r="E173" s="137">
        <f>H139+H140</f>
        <v>0</v>
      </c>
      <c r="F173" s="21"/>
      <c r="G173" s="21"/>
      <c r="H173" s="29"/>
      <c r="J173" s="138" t="e">
        <f>Q141-Q137-Q139-Q140</f>
        <v>#VALUE!</v>
      </c>
      <c r="K173" s="34" t="e">
        <f>Q137</f>
        <v>#VALUE!</v>
      </c>
      <c r="L173" s="38"/>
      <c r="M173" s="21"/>
      <c r="N173" s="137">
        <f>Q139+Q140</f>
        <v>55</v>
      </c>
      <c r="O173" s="21"/>
      <c r="P173" s="21"/>
      <c r="Q173" s="29"/>
      <c r="S173" s="138" t="e">
        <f>Z141-Z137-Z139-Z140</f>
        <v>#VALUE!</v>
      </c>
      <c r="T173" s="34" t="e">
        <f>Z137</f>
        <v>#VALUE!</v>
      </c>
      <c r="U173" s="38"/>
      <c r="V173" s="21"/>
      <c r="W173" s="137">
        <f>Z139+Z140</f>
        <v>55</v>
      </c>
      <c r="X173" s="21"/>
      <c r="Y173" s="21"/>
      <c r="Z173" s="29"/>
      <c r="AB173" s="138" t="e">
        <f>AI141-AI137-AI139-AI140</f>
        <v>#VALUE!</v>
      </c>
      <c r="AC173" s="34" t="e">
        <f>AI137</f>
        <v>#VALUE!</v>
      </c>
      <c r="AD173" s="38"/>
      <c r="AE173" s="21"/>
      <c r="AF173" s="137">
        <f>AI139+AI140</f>
        <v>55</v>
      </c>
      <c r="AG173" s="21"/>
      <c r="AH173" s="21"/>
      <c r="AI173" s="29"/>
    </row>
    <row r="174" spans="1:35">
      <c r="A174" s="27"/>
      <c r="B174" s="28"/>
      <c r="C174" s="28"/>
      <c r="D174" s="21"/>
      <c r="E174" s="28"/>
      <c r="F174" s="21"/>
      <c r="G174" s="21"/>
      <c r="H174" s="29"/>
      <c r="J174" s="27"/>
      <c r="K174" s="28"/>
      <c r="L174" s="28"/>
      <c r="M174" s="21"/>
      <c r="N174" s="28"/>
      <c r="O174" s="21"/>
      <c r="P174" s="21"/>
      <c r="Q174" s="29"/>
      <c r="S174" s="27"/>
      <c r="T174" s="28"/>
      <c r="U174" s="28"/>
      <c r="V174" s="21"/>
      <c r="W174" s="28"/>
      <c r="X174" s="21"/>
      <c r="Y174" s="21"/>
      <c r="Z174" s="29"/>
      <c r="AB174" s="27"/>
      <c r="AC174" s="28"/>
      <c r="AD174" s="28"/>
      <c r="AE174" s="21"/>
      <c r="AF174" s="28"/>
      <c r="AG174" s="21"/>
      <c r="AH174" s="21"/>
      <c r="AI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  <c r="J175" s="27" t="s">
        <v>202</v>
      </c>
      <c r="K175" s="28" t="s">
        <v>148</v>
      </c>
      <c r="L175" s="28"/>
      <c r="M175" s="21"/>
      <c r="N175" s="28" t="s">
        <v>149</v>
      </c>
      <c r="O175" s="21"/>
      <c r="P175" s="21"/>
      <c r="Q175" s="29"/>
      <c r="S175" s="27" t="s">
        <v>202</v>
      </c>
      <c r="T175" s="28" t="s">
        <v>148</v>
      </c>
      <c r="U175" s="28"/>
      <c r="V175" s="21"/>
      <c r="W175" s="28" t="s">
        <v>149</v>
      </c>
      <c r="X175" s="21"/>
      <c r="Y175" s="21"/>
      <c r="Z175" s="29"/>
      <c r="AB175" s="27" t="s">
        <v>202</v>
      </c>
      <c r="AC175" s="28" t="s">
        <v>148</v>
      </c>
      <c r="AD175" s="28"/>
      <c r="AE175" s="21"/>
      <c r="AF175" s="28" t="s">
        <v>149</v>
      </c>
      <c r="AG175" s="21"/>
      <c r="AH175" s="21"/>
      <c r="AI175" s="29"/>
    </row>
    <row r="176" spans="1:35">
      <c r="A176" s="138">
        <f>H147</f>
        <v>24500.003999999997</v>
      </c>
      <c r="B176" s="34">
        <f>B111</f>
        <v>1000</v>
      </c>
      <c r="C176" s="34"/>
      <c r="D176" s="21"/>
      <c r="E176" s="34">
        <f>E111</f>
        <v>1000</v>
      </c>
      <c r="F176" s="21"/>
      <c r="G176" s="21"/>
      <c r="H176" s="90"/>
      <c r="J176" s="138" t="e">
        <f>Q141</f>
        <v>#VALUE!</v>
      </c>
      <c r="K176" s="34">
        <f>K111</f>
        <v>1000</v>
      </c>
      <c r="L176" s="34"/>
      <c r="M176" s="21"/>
      <c r="N176" s="34">
        <f>N111</f>
        <v>0</v>
      </c>
      <c r="O176" s="21"/>
      <c r="P176" s="21"/>
      <c r="Q176" s="90"/>
      <c r="S176" s="138" t="e">
        <f>Z141</f>
        <v>#VALUE!</v>
      </c>
      <c r="T176" s="34">
        <f>T111</f>
        <v>1000</v>
      </c>
      <c r="U176" s="34"/>
      <c r="V176" s="21"/>
      <c r="W176" s="34">
        <f>W111</f>
        <v>0</v>
      </c>
      <c r="X176" s="21"/>
      <c r="Y176" s="21"/>
      <c r="Z176" s="90"/>
      <c r="AB176" s="138" t="e">
        <f>AI141</f>
        <v>#VALUE!</v>
      </c>
      <c r="AC176" s="34">
        <f>AC111</f>
        <v>1000</v>
      </c>
      <c r="AD176" s="34"/>
      <c r="AE176" s="21"/>
      <c r="AF176" s="34">
        <f>AF111</f>
        <v>0</v>
      </c>
      <c r="AG176" s="21"/>
      <c r="AH176" s="21"/>
      <c r="AI176" s="90"/>
    </row>
    <row r="177" spans="1:35">
      <c r="A177" s="27"/>
      <c r="B177" s="28"/>
      <c r="C177" s="28"/>
      <c r="D177" s="21"/>
      <c r="E177" s="28"/>
      <c r="F177" s="21"/>
      <c r="G177" s="21"/>
      <c r="H177" s="29"/>
      <c r="J177" s="27"/>
      <c r="K177" s="28"/>
      <c r="L177" s="28"/>
      <c r="M177" s="21"/>
      <c r="N177" s="28"/>
      <c r="O177" s="21"/>
      <c r="P177" s="21"/>
      <c r="Q177" s="29"/>
      <c r="S177" s="27"/>
      <c r="T177" s="28"/>
      <c r="U177" s="28"/>
      <c r="V177" s="21"/>
      <c r="W177" s="28"/>
      <c r="X177" s="21"/>
      <c r="Y177" s="21"/>
      <c r="Z177" s="29"/>
      <c r="AB177" s="27"/>
      <c r="AC177" s="28"/>
      <c r="AD177" s="28"/>
      <c r="AE177" s="21"/>
      <c r="AF177" s="28"/>
      <c r="AG177" s="21"/>
      <c r="AH177" s="21"/>
      <c r="AI177" s="29"/>
    </row>
    <row r="178" spans="1:35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  <c r="J178" s="27" t="s">
        <v>150</v>
      </c>
      <c r="K178" s="28" t="s">
        <v>185</v>
      </c>
      <c r="L178" s="28"/>
      <c r="M178" s="21"/>
      <c r="N178" s="28" t="s">
        <v>191</v>
      </c>
      <c r="O178" s="21"/>
      <c r="P178" s="21"/>
      <c r="Q178" s="29"/>
      <c r="S178" s="27" t="s">
        <v>150</v>
      </c>
      <c r="T178" s="28" t="s">
        <v>185</v>
      </c>
      <c r="U178" s="28"/>
      <c r="V178" s="21"/>
      <c r="W178" s="28" t="s">
        <v>191</v>
      </c>
      <c r="X178" s="21"/>
      <c r="Y178" s="21"/>
      <c r="Z178" s="29"/>
      <c r="AB178" s="27" t="s">
        <v>150</v>
      </c>
      <c r="AC178" s="28" t="s">
        <v>185</v>
      </c>
      <c r="AD178" s="28"/>
      <c r="AE178" s="21"/>
      <c r="AF178" s="28" t="s">
        <v>191</v>
      </c>
      <c r="AG178" s="21"/>
      <c r="AH178" s="21"/>
      <c r="AI178" s="29"/>
    </row>
    <row r="179" spans="1:35">
      <c r="A179" s="94">
        <f>B176+E176</f>
        <v>2000</v>
      </c>
      <c r="B179" s="34">
        <f>G154</f>
        <v>0</v>
      </c>
      <c r="C179" s="34"/>
      <c r="D179" s="21"/>
      <c r="E179" s="34">
        <f>G158</f>
        <v>23920.003999999997</v>
      </c>
      <c r="F179" s="21"/>
      <c r="G179" s="21"/>
      <c r="H179" s="90"/>
      <c r="J179" s="94">
        <f>K176+N176</f>
        <v>1000</v>
      </c>
      <c r="K179" s="34">
        <f>P154</f>
        <v>-2000</v>
      </c>
      <c r="L179" s="34"/>
      <c r="M179" s="21"/>
      <c r="N179" s="34" t="e">
        <f>J176-J179-K179</f>
        <v>#VALUE!</v>
      </c>
      <c r="O179" s="21"/>
      <c r="P179" s="21"/>
      <c r="Q179" s="90"/>
      <c r="S179" s="94">
        <f>T176+W176</f>
        <v>1000</v>
      </c>
      <c r="T179" s="34">
        <f>Y154</f>
        <v>-2000</v>
      </c>
      <c r="U179" s="34"/>
      <c r="V179" s="21"/>
      <c r="W179" s="34" t="e">
        <f>S176-S179-T179</f>
        <v>#VALUE!</v>
      </c>
      <c r="X179" s="21"/>
      <c r="Y179" s="21"/>
      <c r="Z179" s="90"/>
      <c r="AB179" s="94">
        <f>AC176+AF176</f>
        <v>1000</v>
      </c>
      <c r="AC179" s="34">
        <f>AH154</f>
        <v>-2000</v>
      </c>
      <c r="AD179" s="34"/>
      <c r="AE179" s="21"/>
      <c r="AF179" s="34" t="e">
        <f>AB176-AB179-AC179</f>
        <v>#VALUE!</v>
      </c>
      <c r="AG179" s="21"/>
      <c r="AH179" s="21"/>
      <c r="AI179" s="90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  <c r="J181" s="27" t="s">
        <v>203</v>
      </c>
      <c r="K181" s="28" t="s">
        <v>66</v>
      </c>
      <c r="L181" s="28"/>
      <c r="M181" s="21"/>
      <c r="N181" s="28" t="s">
        <v>204</v>
      </c>
      <c r="O181" s="21"/>
      <c r="P181" s="21"/>
      <c r="Q181" s="29"/>
      <c r="S181" s="27" t="s">
        <v>203</v>
      </c>
      <c r="T181" s="28" t="s">
        <v>66</v>
      </c>
      <c r="U181" s="28"/>
      <c r="V181" s="21"/>
      <c r="W181" s="28" t="s">
        <v>204</v>
      </c>
      <c r="X181" s="21"/>
      <c r="Y181" s="21"/>
      <c r="Z181" s="29"/>
      <c r="AB181" s="27" t="s">
        <v>203</v>
      </c>
      <c r="AC181" s="28" t="s">
        <v>66</v>
      </c>
      <c r="AD181" s="28"/>
      <c r="AE181" s="21"/>
      <c r="AF181" s="28" t="s">
        <v>204</v>
      </c>
      <c r="AG181" s="21"/>
      <c r="AH181" s="21"/>
      <c r="AI181" s="29"/>
    </row>
    <row r="182" spans="1:35">
      <c r="A182" s="94">
        <f>(A167*B59)+E185-E179-A185</f>
        <v>6063.8232645068456</v>
      </c>
      <c r="B182" s="34">
        <f>B114</f>
        <v>1000</v>
      </c>
      <c r="C182" s="34"/>
      <c r="D182" s="21"/>
      <c r="E182" s="34">
        <f>E179+A182+B182+A185</f>
        <v>30993.827264506843</v>
      </c>
      <c r="F182" s="21"/>
      <c r="G182" s="21"/>
      <c r="H182" s="90"/>
      <c r="J182" s="94" t="e">
        <f>(J167*K59)+N185-N179-J185</f>
        <v>#VALUE!</v>
      </c>
      <c r="K182" s="34">
        <f>K114</f>
        <v>239.99</v>
      </c>
      <c r="L182" s="34"/>
      <c r="M182" s="21"/>
      <c r="N182" s="34" t="e">
        <f>N179+J182+K182+J185</f>
        <v>#VALUE!</v>
      </c>
      <c r="O182" s="21"/>
      <c r="P182" s="21"/>
      <c r="Q182" s="90"/>
      <c r="S182" s="94" t="e">
        <f>(S167*T59)+W185-W179-S185</f>
        <v>#VALUE!</v>
      </c>
      <c r="T182" s="34">
        <f>T114</f>
        <v>199.99</v>
      </c>
      <c r="U182" s="34"/>
      <c r="V182" s="21"/>
      <c r="W182" s="34" t="e">
        <f>W179+S182+T182+S185</f>
        <v>#VALUE!</v>
      </c>
      <c r="X182" s="21"/>
      <c r="Y182" s="21"/>
      <c r="Z182" s="90"/>
      <c r="AB182" s="94" t="e">
        <f>(AB167*AC59)+AF185-AF179-AB185</f>
        <v>#VALUE!</v>
      </c>
      <c r="AC182" s="34">
        <f>AC114</f>
        <v>239.99</v>
      </c>
      <c r="AD182" s="34"/>
      <c r="AE182" s="21"/>
      <c r="AF182" s="34" t="e">
        <f>AF179+AB182+AC182+AB185</f>
        <v>#VALUE!</v>
      </c>
      <c r="AG182" s="21"/>
      <c r="AH182" s="21"/>
      <c r="AI182" s="90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  <c r="J184" s="27" t="s">
        <v>205</v>
      </c>
      <c r="K184" s="28" t="s">
        <v>206</v>
      </c>
      <c r="L184" s="28"/>
      <c r="M184" s="21"/>
      <c r="N184" s="28" t="s">
        <v>207</v>
      </c>
      <c r="O184" s="21"/>
      <c r="P184" s="21"/>
      <c r="Q184" s="29"/>
      <c r="S184" s="27" t="s">
        <v>205</v>
      </c>
      <c r="T184" s="28" t="s">
        <v>206</v>
      </c>
      <c r="U184" s="28"/>
      <c r="V184" s="21"/>
      <c r="W184" s="28" t="s">
        <v>207</v>
      </c>
      <c r="X184" s="21"/>
      <c r="Y184" s="21"/>
      <c r="Z184" s="29"/>
      <c r="AB184" s="27" t="s">
        <v>205</v>
      </c>
      <c r="AC184" s="28" t="s">
        <v>206</v>
      </c>
      <c r="AD184" s="28"/>
      <c r="AE184" s="21"/>
      <c r="AF184" s="28" t="s">
        <v>207</v>
      </c>
      <c r="AG184" s="21"/>
      <c r="AH184" s="21"/>
      <c r="AI184" s="29"/>
    </row>
    <row r="185" spans="1:35">
      <c r="A185" s="94">
        <f>B60</f>
        <v>10</v>
      </c>
      <c r="B185" s="34">
        <f>A179+B182</f>
        <v>3000</v>
      </c>
      <c r="C185" s="34"/>
      <c r="D185" s="21"/>
      <c r="E185" s="34">
        <f>IF(A40=0,(E167+A185),(E170+A185))</f>
        <v>842.88409068074566</v>
      </c>
      <c r="F185" s="21"/>
      <c r="G185" s="21"/>
      <c r="H185" s="90"/>
      <c r="J185" s="94">
        <f>K60</f>
        <v>20</v>
      </c>
      <c r="K185" s="34">
        <f>J179+K182</f>
        <v>1239.99</v>
      </c>
      <c r="L185" s="34"/>
      <c r="M185" s="21"/>
      <c r="N185" s="34">
        <f>N170+J185</f>
        <v>20</v>
      </c>
      <c r="O185" s="21"/>
      <c r="P185" s="21"/>
      <c r="Q185" s="90"/>
      <c r="S185" s="94">
        <f>T60</f>
        <v>10</v>
      </c>
      <c r="T185" s="34">
        <f>S179+T182</f>
        <v>1199.99</v>
      </c>
      <c r="U185" s="34"/>
      <c r="V185" s="21"/>
      <c r="W185" s="34">
        <f>W170+S185</f>
        <v>10</v>
      </c>
      <c r="X185" s="21"/>
      <c r="Y185" s="21"/>
      <c r="Z185" s="90"/>
      <c r="AB185" s="94">
        <f>AC60</f>
        <v>10</v>
      </c>
      <c r="AC185" s="34">
        <f>AB179+AC182</f>
        <v>1239.99</v>
      </c>
      <c r="AD185" s="34"/>
      <c r="AE185" s="21"/>
      <c r="AF185" s="34">
        <f>AF170+AB185</f>
        <v>10</v>
      </c>
      <c r="AG185" s="21"/>
      <c r="AH185" s="21"/>
      <c r="AI185" s="90"/>
    </row>
    <row r="186" spans="1:35">
      <c r="A186" s="27"/>
      <c r="B186" s="28"/>
      <c r="C186" s="28"/>
      <c r="D186" s="28"/>
      <c r="E186" s="21"/>
      <c r="F186" s="21"/>
      <c r="G186" s="21"/>
      <c r="H186" s="29"/>
      <c r="J186" s="27"/>
      <c r="K186" s="28"/>
      <c r="L186" s="28"/>
      <c r="M186" s="28"/>
      <c r="N186" s="21"/>
      <c r="O186" s="21"/>
      <c r="P186" s="21"/>
      <c r="Q186" s="29"/>
      <c r="S186" s="27"/>
      <c r="T186" s="28"/>
      <c r="U186" s="28"/>
      <c r="V186" s="28"/>
      <c r="W186" s="21"/>
      <c r="X186" s="28"/>
      <c r="Y186" s="28"/>
      <c r="Z186" s="29"/>
      <c r="AB186" s="27"/>
      <c r="AC186" s="28"/>
      <c r="AD186" s="28"/>
      <c r="AE186" s="28"/>
      <c r="AF186" s="21"/>
      <c r="AG186" s="21"/>
      <c r="AH186" s="21"/>
      <c r="AI186" s="29"/>
    </row>
    <row r="187" spans="1:35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  <c r="J187" s="27" t="s">
        <v>208</v>
      </c>
      <c r="K187" s="28" t="s">
        <v>209</v>
      </c>
      <c r="L187" s="28"/>
      <c r="M187" s="28"/>
      <c r="N187" s="35" t="s">
        <v>210</v>
      </c>
      <c r="O187" s="21"/>
      <c r="P187" s="21"/>
      <c r="Q187" s="29"/>
      <c r="S187" s="27" t="s">
        <v>208</v>
      </c>
      <c r="T187" s="28" t="s">
        <v>209</v>
      </c>
      <c r="U187" s="28"/>
      <c r="V187" s="28"/>
      <c r="W187" s="35" t="s">
        <v>210</v>
      </c>
      <c r="X187" s="28"/>
      <c r="Y187" s="28"/>
      <c r="Z187" s="29"/>
      <c r="AB187" s="27" t="s">
        <v>208</v>
      </c>
      <c r="AC187" s="28" t="s">
        <v>209</v>
      </c>
      <c r="AD187" s="28"/>
      <c r="AE187" s="28"/>
      <c r="AF187" s="35" t="s">
        <v>210</v>
      </c>
      <c r="AG187" s="28"/>
      <c r="AH187" s="28"/>
      <c r="AI187" s="29"/>
    </row>
    <row r="188" spans="1:35">
      <c r="A188" s="94">
        <f>IF(E105="YES",B61*0.000002,0)*100</f>
        <v>0</v>
      </c>
      <c r="B188" s="34">
        <f>(G158*B67)</f>
        <v>717.60011999999983</v>
      </c>
      <c r="C188" s="28"/>
      <c r="D188" s="28"/>
      <c r="E188" s="34">
        <f>(E40*A108)*0.1*(C45/100)</f>
        <v>0</v>
      </c>
      <c r="F188" s="21"/>
      <c r="G188" s="21"/>
      <c r="H188" s="29"/>
      <c r="J188" s="94">
        <f>IF(N105="YES",H15*0.000002,0)</f>
        <v>0</v>
      </c>
      <c r="K188" s="34" t="e">
        <f>(P158*K67)/1.2</f>
        <v>#VALUE!</v>
      </c>
      <c r="L188" s="28"/>
      <c r="M188" s="28"/>
      <c r="N188" s="34">
        <f>(E40*J108)*0.1</f>
        <v>0</v>
      </c>
      <c r="O188" s="21"/>
      <c r="P188" s="21"/>
      <c r="Q188" s="29"/>
      <c r="S188" s="94">
        <f>IF(W105="YES",Z15*0.000002,0)</f>
        <v>0</v>
      </c>
      <c r="T188" s="34" t="e">
        <f>(Y158*T67)/1.2</f>
        <v>#VALUE!</v>
      </c>
      <c r="U188" s="28"/>
      <c r="V188" s="28"/>
      <c r="W188" s="34">
        <f>(E40*S108)*0.1</f>
        <v>0</v>
      </c>
      <c r="X188" s="28"/>
      <c r="Y188" s="28"/>
      <c r="Z188" s="29"/>
      <c r="AB188" s="94">
        <f>IF(AF105="YES",AI15*0.000002,0)</f>
        <v>0</v>
      </c>
      <c r="AC188" s="34" t="e">
        <f>(AH158*AC67)/1.2</f>
        <v>#VALUE!</v>
      </c>
      <c r="AD188" s="28"/>
      <c r="AE188" s="28"/>
      <c r="AF188" s="34">
        <f>(E40*AB108)*0.1</f>
        <v>0</v>
      </c>
      <c r="AG188" s="28"/>
      <c r="AH188" s="28"/>
      <c r="AI188" s="29"/>
    </row>
    <row r="189" spans="1:35">
      <c r="A189" s="94"/>
      <c r="B189" s="34"/>
      <c r="C189" s="28"/>
      <c r="D189" s="28"/>
      <c r="E189" s="21"/>
      <c r="F189" s="21"/>
      <c r="G189" s="21"/>
      <c r="H189" s="29"/>
      <c r="J189" s="94"/>
      <c r="K189" s="34"/>
      <c r="L189" s="28"/>
      <c r="M189" s="28"/>
      <c r="N189" s="21"/>
      <c r="O189" s="21"/>
      <c r="P189" s="21"/>
      <c r="Q189" s="29"/>
      <c r="S189" s="94"/>
      <c r="T189" s="34"/>
      <c r="U189" s="28"/>
      <c r="V189" s="28"/>
      <c r="W189" s="21"/>
      <c r="X189" s="28"/>
      <c r="Y189" s="28"/>
      <c r="Z189" s="29"/>
      <c r="AB189" s="94"/>
      <c r="AC189" s="34"/>
      <c r="AD189" s="28"/>
      <c r="AE189" s="28"/>
      <c r="AF189" s="21"/>
      <c r="AG189" s="28"/>
      <c r="AH189" s="28"/>
      <c r="AI189" s="29"/>
    </row>
    <row r="190" spans="1:35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  <c r="J190" s="53" t="s">
        <v>211</v>
      </c>
      <c r="K190" s="35" t="s">
        <v>212</v>
      </c>
      <c r="L190" s="28"/>
      <c r="M190" s="28"/>
      <c r="N190" s="35" t="s">
        <v>213</v>
      </c>
      <c r="O190" s="21"/>
      <c r="P190" s="21"/>
      <c r="Q190" s="29"/>
      <c r="S190" s="53" t="s">
        <v>211</v>
      </c>
      <c r="T190" s="35" t="s">
        <v>212</v>
      </c>
      <c r="U190" s="28"/>
      <c r="V190" s="28"/>
      <c r="W190" s="35" t="s">
        <v>213</v>
      </c>
      <c r="X190" s="28"/>
      <c r="Y190" s="28"/>
      <c r="Z190" s="29"/>
      <c r="AB190" s="53" t="s">
        <v>211</v>
      </c>
      <c r="AC190" s="35" t="s">
        <v>212</v>
      </c>
      <c r="AD190" s="28"/>
      <c r="AE190" s="28"/>
      <c r="AF190" s="35" t="s">
        <v>213</v>
      </c>
      <c r="AG190" s="28"/>
      <c r="AH190" s="28"/>
      <c r="AI190" s="29"/>
    </row>
    <row r="191" spans="1:35">
      <c r="A191" s="94">
        <v>10</v>
      </c>
      <c r="B191" s="34">
        <f>B188+E188+A191</f>
        <v>727.60011999999983</v>
      </c>
      <c r="C191" s="28"/>
      <c r="D191" s="28"/>
      <c r="E191" s="34">
        <f>H148</f>
        <v>1916.6699999999973</v>
      </c>
      <c r="F191" s="21"/>
      <c r="G191" s="21"/>
      <c r="H191" s="29"/>
      <c r="J191" s="94">
        <f>K185-100</f>
        <v>1139.99</v>
      </c>
      <c r="K191" s="34" t="e">
        <f>K188+N188+J191</f>
        <v>#VALUE!</v>
      </c>
      <c r="L191" s="28"/>
      <c r="M191" s="28"/>
      <c r="N191" s="34" t="e">
        <f>Q148</f>
        <v>#VALUE!</v>
      </c>
      <c r="O191" s="21"/>
      <c r="P191" s="21"/>
      <c r="Q191" s="29"/>
      <c r="S191" s="94">
        <f>T185-100</f>
        <v>1099.99</v>
      </c>
      <c r="T191" s="34" t="e">
        <f>T188+W188+S191</f>
        <v>#VALUE!</v>
      </c>
      <c r="U191" s="28"/>
      <c r="V191" s="28"/>
      <c r="W191" s="34" t="e">
        <f>Z148</f>
        <v>#VALUE!</v>
      </c>
      <c r="X191" s="28"/>
      <c r="Y191" s="28"/>
      <c r="Z191" s="29"/>
      <c r="AB191" s="94">
        <f>AC185-100</f>
        <v>1139.99</v>
      </c>
      <c r="AC191" s="34" t="e">
        <f>AC188+AF188+AB191</f>
        <v>#VALUE!</v>
      </c>
      <c r="AD191" s="28"/>
      <c r="AE191" s="28"/>
      <c r="AF191" s="34" t="e">
        <f>AI148</f>
        <v>#VALUE!</v>
      </c>
      <c r="AG191" s="28"/>
      <c r="AH191" s="28"/>
      <c r="AI191" s="29"/>
    </row>
    <row r="192" spans="1:35">
      <c r="A192" s="27"/>
      <c r="B192" s="28"/>
      <c r="C192" s="28"/>
      <c r="D192" s="28"/>
      <c r="E192" s="21"/>
      <c r="F192" s="21"/>
      <c r="G192" s="21"/>
      <c r="H192" s="29"/>
      <c r="J192" s="27"/>
      <c r="K192" s="28"/>
      <c r="L192" s="28"/>
      <c r="M192" s="28"/>
      <c r="N192" s="21"/>
      <c r="O192" s="21"/>
      <c r="P192" s="21"/>
      <c r="Q192" s="29"/>
      <c r="S192" s="27"/>
      <c r="T192" s="28"/>
      <c r="U192" s="28"/>
      <c r="V192" s="28"/>
      <c r="W192" s="21"/>
      <c r="X192" s="21"/>
      <c r="Y192" s="21"/>
      <c r="Z192" s="29"/>
      <c r="AB192" s="27"/>
      <c r="AC192" s="28"/>
      <c r="AD192" s="28"/>
      <c r="AE192" s="28"/>
      <c r="AF192" s="21"/>
      <c r="AG192" s="21"/>
      <c r="AH192" s="21"/>
      <c r="AI192" s="29"/>
    </row>
    <row r="193" spans="1:35">
      <c r="A193" s="58" t="s">
        <v>214</v>
      </c>
      <c r="B193" s="28"/>
      <c r="C193" s="28"/>
      <c r="D193" s="59"/>
      <c r="E193" s="59"/>
      <c r="F193" s="59"/>
      <c r="G193" s="59"/>
      <c r="H193" s="60"/>
      <c r="J193" s="58" t="s">
        <v>214</v>
      </c>
      <c r="K193" s="28"/>
      <c r="L193" s="28"/>
      <c r="M193" s="59"/>
      <c r="N193" s="59"/>
      <c r="O193" s="59"/>
      <c r="P193" s="59"/>
      <c r="Q193" s="60"/>
      <c r="S193" s="58" t="s">
        <v>214</v>
      </c>
      <c r="T193" s="28"/>
      <c r="U193" s="28"/>
      <c r="V193" s="59"/>
      <c r="W193" s="59"/>
      <c r="X193" s="59"/>
      <c r="Y193" s="59"/>
      <c r="Z193" s="60"/>
      <c r="AB193" s="58" t="s">
        <v>214</v>
      </c>
      <c r="AC193" s="28"/>
      <c r="AD193" s="28"/>
      <c r="AE193" s="59"/>
      <c r="AF193" s="59"/>
      <c r="AG193" s="59"/>
      <c r="AH193" s="59"/>
      <c r="AI193" s="60"/>
    </row>
    <row r="194" spans="1:35">
      <c r="A194" s="27"/>
      <c r="B194" s="61"/>
      <c r="C194" s="61"/>
      <c r="D194" s="28"/>
      <c r="E194" s="21"/>
      <c r="F194" s="21"/>
      <c r="G194" s="21"/>
      <c r="H194" s="29"/>
      <c r="J194" s="27"/>
      <c r="K194" s="61"/>
      <c r="L194" s="61"/>
      <c r="M194" s="28"/>
      <c r="N194" s="21"/>
      <c r="O194" s="21"/>
      <c r="P194" s="21"/>
      <c r="Q194" s="29"/>
      <c r="S194" s="27"/>
      <c r="T194" s="61"/>
      <c r="U194" s="61"/>
      <c r="V194" s="28"/>
      <c r="W194" s="21"/>
      <c r="X194" s="21"/>
      <c r="Y194" s="21"/>
      <c r="Z194" s="29"/>
      <c r="AB194" s="27"/>
      <c r="AC194" s="61"/>
      <c r="AD194" s="61"/>
      <c r="AE194" s="28"/>
      <c r="AF194" s="21"/>
      <c r="AG194" s="21"/>
      <c r="AH194" s="21"/>
      <c r="AI194" s="29"/>
    </row>
    <row r="195" spans="1:35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69" t="s">
        <v>94</v>
      </c>
      <c r="K195" s="341" t="s">
        <v>95</v>
      </c>
      <c r="L195" s="341"/>
      <c r="M195" s="341"/>
      <c r="N195" s="21"/>
      <c r="O195" s="21"/>
      <c r="P195" s="21"/>
      <c r="Q195" s="29"/>
      <c r="S195" s="369" t="s">
        <v>94</v>
      </c>
      <c r="T195" s="341" t="s">
        <v>95</v>
      </c>
      <c r="U195" s="341"/>
      <c r="V195" s="341"/>
      <c r="W195" s="21"/>
      <c r="X195" s="21"/>
      <c r="Y195" s="21"/>
      <c r="Z195" s="29"/>
      <c r="AB195" s="369" t="s">
        <v>94</v>
      </c>
      <c r="AC195" s="341" t="s">
        <v>95</v>
      </c>
      <c r="AD195" s="341"/>
      <c r="AE195" s="341"/>
      <c r="AF195" s="21"/>
      <c r="AG195" s="21"/>
      <c r="AH195" s="21"/>
      <c r="AI195" s="29"/>
    </row>
    <row r="196" spans="1:35" ht="19.5" customHeight="1">
      <c r="A196" s="369"/>
      <c r="B196" s="342">
        <f>K30</f>
        <v>10000</v>
      </c>
      <c r="C196" s="342"/>
      <c r="D196" s="342"/>
      <c r="E196" s="21"/>
      <c r="F196" s="21"/>
      <c r="G196" s="21"/>
      <c r="H196" s="29"/>
      <c r="J196" s="369"/>
      <c r="K196" s="342">
        <f>K30</f>
        <v>10000</v>
      </c>
      <c r="L196" s="342"/>
      <c r="M196" s="342"/>
      <c r="N196" s="21"/>
      <c r="O196" s="21"/>
      <c r="P196" s="21"/>
      <c r="Q196" s="29"/>
      <c r="S196" s="369"/>
      <c r="T196" s="342">
        <f>K30</f>
        <v>10000</v>
      </c>
      <c r="U196" s="342"/>
      <c r="V196" s="342"/>
      <c r="W196" s="21"/>
      <c r="X196" s="21"/>
      <c r="Y196" s="21"/>
      <c r="Z196" s="29"/>
      <c r="AB196" s="369"/>
      <c r="AC196" s="342">
        <f>K30</f>
        <v>10000</v>
      </c>
      <c r="AD196" s="342"/>
      <c r="AE196" s="342"/>
      <c r="AF196" s="21"/>
      <c r="AG196" s="21"/>
      <c r="AH196" s="21"/>
      <c r="AI196" s="29"/>
    </row>
    <row r="197" spans="1:35">
      <c r="A197" s="62">
        <f>K29</f>
        <v>36</v>
      </c>
      <c r="B197" s="343">
        <f>B96</f>
        <v>832.88409068074566</v>
      </c>
      <c r="C197" s="343"/>
      <c r="D197" s="343"/>
      <c r="E197" s="21"/>
      <c r="F197" s="21"/>
      <c r="G197" s="21"/>
      <c r="H197" s="29"/>
      <c r="J197" s="62">
        <f>K29</f>
        <v>36</v>
      </c>
      <c r="K197" s="343" t="e">
        <f>K96</f>
        <v>#VALUE!</v>
      </c>
      <c r="L197" s="343"/>
      <c r="M197" s="343"/>
      <c r="N197" s="21"/>
      <c r="O197" s="21"/>
      <c r="P197" s="21"/>
      <c r="Q197" s="29"/>
      <c r="S197" s="62">
        <f>K29</f>
        <v>36</v>
      </c>
      <c r="T197" s="343" t="e">
        <f>T96</f>
        <v>#VALUE!</v>
      </c>
      <c r="U197" s="343"/>
      <c r="V197" s="343"/>
      <c r="W197" s="21"/>
      <c r="X197" s="21"/>
      <c r="Y197" s="21"/>
      <c r="Z197" s="29"/>
      <c r="AB197" s="62">
        <f>K29</f>
        <v>36</v>
      </c>
      <c r="AC197" s="343" t="e">
        <f>AC96</f>
        <v>#VALUE!</v>
      </c>
      <c r="AD197" s="343"/>
      <c r="AE197" s="343"/>
      <c r="AF197" s="21"/>
      <c r="AG197" s="21"/>
      <c r="AH197" s="21"/>
      <c r="AI197" s="29"/>
    </row>
    <row r="198" spans="1:35">
      <c r="A198" s="27"/>
      <c r="B198" s="28"/>
      <c r="C198" s="28"/>
      <c r="D198" s="28"/>
      <c r="E198" s="21"/>
      <c r="F198" s="21"/>
      <c r="G198" s="21"/>
      <c r="H198" s="29"/>
      <c r="J198" s="27"/>
      <c r="K198" s="28"/>
      <c r="L198" s="28"/>
      <c r="M198" s="28"/>
      <c r="N198" s="21"/>
      <c r="O198" s="21"/>
      <c r="P198" s="21"/>
      <c r="Q198" s="29"/>
      <c r="S198" s="27"/>
      <c r="T198" s="28"/>
      <c r="U198" s="28"/>
      <c r="V198" s="28"/>
      <c r="W198" s="21"/>
      <c r="X198" s="21"/>
      <c r="Y198" s="21"/>
      <c r="Z198" s="29"/>
      <c r="AB198" s="27"/>
      <c r="AC198" s="28"/>
      <c r="AD198" s="28"/>
      <c r="AE198" s="28"/>
      <c r="AF198" s="21"/>
      <c r="AG198" s="21"/>
      <c r="AH198" s="21"/>
      <c r="AI198" s="29"/>
    </row>
    <row r="199" spans="1:35">
      <c r="A199" s="27"/>
      <c r="B199" s="28"/>
      <c r="C199" s="28"/>
      <c r="D199" s="28"/>
      <c r="E199" s="21"/>
      <c r="F199" s="21"/>
      <c r="G199" s="21"/>
      <c r="H199" s="29"/>
      <c r="J199" s="27"/>
      <c r="K199" s="28"/>
      <c r="L199" s="28"/>
      <c r="M199" s="28"/>
      <c r="N199" s="21"/>
      <c r="O199" s="21"/>
      <c r="P199" s="21"/>
      <c r="Q199" s="29"/>
      <c r="S199" s="27"/>
      <c r="T199" s="28"/>
      <c r="U199" s="28"/>
      <c r="V199" s="28"/>
      <c r="W199" s="21"/>
      <c r="X199" s="21"/>
      <c r="Y199" s="21"/>
      <c r="Z199" s="29"/>
      <c r="AB199" s="27"/>
      <c r="AC199" s="28"/>
      <c r="AD199" s="28"/>
      <c r="AE199" s="28"/>
      <c r="AF199" s="21"/>
      <c r="AG199" s="21"/>
      <c r="AH199" s="21"/>
      <c r="AI199" s="29"/>
    </row>
    <row r="200" spans="1:35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  <c r="J200" s="27"/>
      <c r="K200" s="28"/>
      <c r="L200" s="28"/>
      <c r="M200" s="28"/>
      <c r="N200" s="21"/>
      <c r="O200" s="21"/>
      <c r="P200" s="21"/>
      <c r="Q200" s="29"/>
      <c r="S200" s="27"/>
      <c r="T200" s="28"/>
      <c r="U200" s="28"/>
      <c r="V200" s="28"/>
      <c r="W200" s="21"/>
      <c r="X200" s="21"/>
      <c r="Y200" s="21"/>
      <c r="Z200" s="29"/>
      <c r="AB200" s="27"/>
      <c r="AC200" s="28"/>
      <c r="AD200" s="28"/>
      <c r="AE200" s="28"/>
      <c r="AF200" s="21"/>
      <c r="AG200" s="21"/>
      <c r="AH200" s="21"/>
      <c r="AI200" s="29"/>
    </row>
    <row r="201" spans="1:35">
      <c r="A201" s="32">
        <f>IF(A40=0,((G167*(B59+1))-E179),((G167*B59)+E185-E179-A185))</f>
        <v>2472.3160000000025</v>
      </c>
      <c r="B201" s="38">
        <f>E179+A201+B182+A185</f>
        <v>27402.32</v>
      </c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49"/>
      <c r="B202" s="50"/>
      <c r="C202" s="50"/>
      <c r="D202" s="50"/>
      <c r="E202" s="50"/>
      <c r="F202" s="50"/>
      <c r="G202" s="50"/>
      <c r="H202" s="57"/>
      <c r="J202" s="49"/>
      <c r="K202" s="50"/>
      <c r="L202" s="50"/>
      <c r="M202" s="50"/>
      <c r="N202" s="50"/>
      <c r="O202" s="50"/>
      <c r="P202" s="50"/>
      <c r="Q202" s="57"/>
      <c r="S202" s="49"/>
      <c r="T202" s="50"/>
      <c r="U202" s="50"/>
      <c r="V202" s="50"/>
      <c r="W202" s="50"/>
      <c r="X202" s="50"/>
      <c r="Y202" s="50"/>
      <c r="Z202" s="57"/>
      <c r="AB202" s="49"/>
      <c r="AC202" s="50"/>
      <c r="AD202" s="50"/>
      <c r="AE202" s="50"/>
      <c r="AF202" s="50"/>
      <c r="AG202" s="50"/>
      <c r="AH202" s="50"/>
      <c r="AI202" s="57"/>
    </row>
    <row r="206" spans="1:35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5">
      <c r="A207" s="27"/>
      <c r="B207" s="28"/>
      <c r="C207" s="28"/>
      <c r="D207" s="28"/>
      <c r="E207" s="21"/>
      <c r="F207" s="21"/>
      <c r="G207" s="21"/>
      <c r="H207" s="29"/>
    </row>
    <row r="208" spans="1:35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42" t="s">
        <v>217</v>
      </c>
      <c r="B209" s="131">
        <f>A197</f>
        <v>36</v>
      </c>
      <c r="C209" s="131"/>
      <c r="D209" s="131"/>
      <c r="E209" s="131">
        <f>B196</f>
        <v>10000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832.88409068074566</v>
      </c>
      <c r="B212" s="133" t="str">
        <f>B167</f>
        <v>0</v>
      </c>
      <c r="C212" s="131"/>
      <c r="D212" s="131"/>
      <c r="E212" s="133">
        <f>E167</f>
        <v>832.88409068074566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20416.669999999998</v>
      </c>
      <c r="B215" s="34">
        <f>B173</f>
        <v>4083.3339999999998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24500.003999999997</v>
      </c>
      <c r="B218" s="34">
        <f>B176</f>
        <v>1000</v>
      </c>
      <c r="C218" s="34"/>
      <c r="D218" s="21"/>
      <c r="E218" s="34">
        <f>E176</f>
        <v>1000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2000</v>
      </c>
      <c r="B221" s="34">
        <f>B179</f>
        <v>0</v>
      </c>
      <c r="C221" s="34"/>
      <c r="D221" s="21"/>
      <c r="E221" s="34">
        <f>E179</f>
        <v>23920.003999999997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6063.8232645068456</v>
      </c>
      <c r="B224" s="34">
        <f>B182</f>
        <v>1000</v>
      </c>
      <c r="C224" s="34"/>
      <c r="D224" s="21"/>
      <c r="E224" s="34">
        <f>E182</f>
        <v>30993.827264506843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3000</v>
      </c>
      <c r="C227" s="34"/>
      <c r="D227" s="21"/>
      <c r="E227" s="34">
        <f>B59</f>
        <v>35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832.88409068074566</v>
      </c>
      <c r="B230" s="34" t="str">
        <f>B167</f>
        <v>0</v>
      </c>
      <c r="C230" s="38"/>
      <c r="D230" s="38"/>
      <c r="E230" s="34">
        <f>E167</f>
        <v>832.88409068074566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219</v>
      </c>
      <c r="B232" s="28" t="s">
        <v>220</v>
      </c>
      <c r="C232" s="28"/>
      <c r="D232" s="28"/>
      <c r="E232" s="28" t="s">
        <v>80</v>
      </c>
      <c r="F232" s="21"/>
      <c r="G232" s="21"/>
      <c r="H232" s="29"/>
    </row>
    <row r="233" spans="1:8">
      <c r="A233" s="94">
        <f>E170</f>
        <v>0</v>
      </c>
      <c r="B233" s="34">
        <f>E185</f>
        <v>842.88409068074566</v>
      </c>
      <c r="C233" s="28"/>
      <c r="D233" s="28"/>
      <c r="E233" s="34">
        <f>J18*0.000006*100*1.2</f>
        <v>26.9316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221</v>
      </c>
      <c r="B235" s="35" t="s">
        <v>85</v>
      </c>
      <c r="C235" s="28"/>
      <c r="D235" s="28"/>
      <c r="E235" s="35" t="s">
        <v>142</v>
      </c>
      <c r="F235" s="21"/>
      <c r="G235" s="21"/>
      <c r="H235" s="29"/>
    </row>
    <row r="236" spans="1:8">
      <c r="A236" s="94">
        <f>IF(E105="YES",J18*0.000002,0)*100*1.2</f>
        <v>0</v>
      </c>
      <c r="B236" s="34">
        <f>E233+A236</f>
        <v>26.9316</v>
      </c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1916.6699999999973</v>
      </c>
      <c r="B240" s="34">
        <f>B68</f>
        <v>717.60011999999983</v>
      </c>
      <c r="C240" s="28"/>
      <c r="D240" s="28"/>
      <c r="E240" s="34">
        <f>E188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1224.2701199999974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K35</f>
        <v>6.5000000000000002E-2</v>
      </c>
      <c r="C253" s="144"/>
      <c r="D253" s="374" t="s">
        <v>226</v>
      </c>
      <c r="E253" s="374"/>
      <c r="F253" s="143">
        <f>B83</f>
        <v>0.13700000000000001</v>
      </c>
      <c r="G253" s="21"/>
      <c r="H253" s="29"/>
    </row>
    <row r="254" spans="1:8">
      <c r="A254" s="139" t="s">
        <v>227</v>
      </c>
      <c r="B254" s="145">
        <f>(E182-B182)-(B201-B182-A185)</f>
        <v>3601.5072645068431</v>
      </c>
      <c r="C254" s="144"/>
      <c r="D254" s="374" t="s">
        <v>228</v>
      </c>
      <c r="E254" s="374"/>
      <c r="F254" s="146">
        <f>F261+F267+F269+B270+B271</f>
        <v>717.60011999999983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2893.907144506843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10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10">
      <c r="A258" s="152"/>
      <c r="B258" s="153"/>
      <c r="C258" s="154"/>
      <c r="D258" s="154"/>
      <c r="E258" s="149"/>
      <c r="F258" s="149"/>
      <c r="G258" s="149"/>
      <c r="H258" s="150"/>
    </row>
    <row r="259" spans="1:10">
      <c r="A259" s="27" t="s">
        <v>231</v>
      </c>
      <c r="B259" s="151">
        <f>B64</f>
        <v>7.1999999999999995E-2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10">
      <c r="A260" s="93" t="s">
        <v>226</v>
      </c>
      <c r="B260" s="155">
        <f>B83</f>
        <v>0.13700000000000001</v>
      </c>
      <c r="C260" s="38"/>
      <c r="D260" s="363" t="s">
        <v>227</v>
      </c>
      <c r="E260" s="363"/>
      <c r="F260" s="115">
        <f>B254</f>
        <v>3601.5072645068431</v>
      </c>
      <c r="G260" s="21"/>
      <c r="H260" s="29"/>
    </row>
    <row r="261" spans="1:10">
      <c r="A261" s="27" t="s">
        <v>233</v>
      </c>
      <c r="B261" s="155">
        <f>B67</f>
        <v>0.03</v>
      </c>
      <c r="C261" s="28"/>
      <c r="D261" s="363" t="s">
        <v>233</v>
      </c>
      <c r="E261" s="363"/>
      <c r="F261" s="119">
        <f>B68</f>
        <v>717.60011999999983</v>
      </c>
      <c r="G261" s="21"/>
      <c r="H261" s="29"/>
    </row>
    <row r="262" spans="1:10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10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2893.907144506843</v>
      </c>
      <c r="G263" s="21"/>
      <c r="H263" s="29"/>
    </row>
    <row r="264" spans="1:10">
      <c r="A264" s="94"/>
      <c r="B264" s="34"/>
      <c r="C264" s="28"/>
      <c r="D264" s="28"/>
      <c r="E264" s="34"/>
      <c r="F264" s="21"/>
      <c r="G264" s="21"/>
      <c r="H264" s="29"/>
    </row>
    <row r="265" spans="1:10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10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10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10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10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10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10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  <c r="J271" s="4">
        <v>4</v>
      </c>
    </row>
    <row r="272" spans="1:10">
      <c r="A272" s="49"/>
      <c r="B272" s="50"/>
      <c r="C272" s="50"/>
      <c r="D272" s="50"/>
      <c r="E272" s="50"/>
      <c r="F272" s="50"/>
      <c r="G272" s="50"/>
      <c r="H272" s="57"/>
    </row>
  </sheetData>
  <mergeCells count="260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E36:G36"/>
    <mergeCell ref="J38:K38"/>
    <mergeCell ref="B40:D40"/>
    <mergeCell ref="C45:E45"/>
    <mergeCell ref="A50:A51"/>
    <mergeCell ref="B50:D50"/>
    <mergeCell ref="B51:D51"/>
    <mergeCell ref="B52:D52"/>
    <mergeCell ref="A100:H100"/>
    <mergeCell ref="J100:Q100"/>
    <mergeCell ref="A1:F1"/>
    <mergeCell ref="D7:E18"/>
    <mergeCell ref="A16:C18"/>
    <mergeCell ref="A19:D19"/>
    <mergeCell ref="A21:D21"/>
    <mergeCell ref="A24:H24"/>
    <mergeCell ref="A28:H28"/>
    <mergeCell ref="B30:D30"/>
    <mergeCell ref="E33:G33"/>
  </mergeCells>
  <dataValidations count="1">
    <dataValidation type="list" allowBlank="1" showInputMessage="1" showErrorMessage="1" sqref="B105 K105 N105 T105 W105 AC105 AF105 B108:D108 K108:M108 T108:V108 AC108:AE108 J111 S111 AB111 A144:A146 J144:J146 S144:S146 AB144:AB146" xr:uid="{00000000-0002-0000-2700-000002000000}">
      <formula1>#REF!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2700-000000000000}">
          <x14:formula1>
            <xm:f>HirePurchaseNonRegulated!$K$9:$K$10</xm:f>
          </x14:formula1>
          <x14:formula2>
            <xm:f>0</xm:f>
          </x14:formula2>
          <xm:sqref>B26 E105 A111</xm:sqref>
        </x14:dataValidation>
        <x14:dataValidation type="list" allowBlank="1" showErrorMessage="1" xr:uid="{00000000-0002-0000-2700-000001000000}">
          <x14:formula1>
            <xm:f>HirePurchaseNonRegulated!$K$9:$K$10</xm:f>
          </x14:formula1>
          <x14:formula2>
            <xm:f>0</xm:f>
          </x14:formula2>
          <xm:sqref>B70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AP272"/>
  <sheetViews>
    <sheetView topLeftCell="A244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91" t="s">
        <v>14</v>
      </c>
      <c r="B1" s="391"/>
      <c r="C1" s="391"/>
      <c r="D1" s="391"/>
      <c r="E1" s="391"/>
      <c r="F1" s="391"/>
      <c r="G1" s="86"/>
      <c r="H1" s="86"/>
      <c r="I1" s="5"/>
      <c r="J1" s="5"/>
    </row>
    <row r="2" spans="1:25" ht="2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286"/>
      <c r="H2" s="287"/>
      <c r="I2" s="5"/>
      <c r="J2" s="5"/>
    </row>
    <row r="3" spans="1:25">
      <c r="A3" s="191"/>
      <c r="B3" s="192"/>
      <c r="C3" s="192"/>
      <c r="D3" s="192"/>
      <c r="E3" s="192"/>
      <c r="F3" s="193" t="s">
        <v>10</v>
      </c>
      <c r="G3" s="288"/>
      <c r="H3" s="289"/>
      <c r="I3" s="5"/>
      <c r="J3" s="5"/>
    </row>
    <row r="4" spans="1:25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103"/>
      <c r="H4" s="105"/>
      <c r="I4" s="5"/>
      <c r="J4" s="5"/>
    </row>
    <row r="5" spans="1:25">
      <c r="A5" s="55"/>
      <c r="B5" s="55"/>
      <c r="C5" s="55"/>
      <c r="D5" s="55"/>
      <c r="E5" s="55"/>
      <c r="F5" s="55" t="s">
        <v>10</v>
      </c>
      <c r="G5" s="288"/>
      <c r="H5" s="29"/>
      <c r="I5" s="5"/>
      <c r="J5" s="5"/>
    </row>
    <row r="6" spans="1:25">
      <c r="A6" s="55"/>
      <c r="B6" s="55"/>
      <c r="C6" s="55"/>
      <c r="D6" s="55"/>
      <c r="E6" s="55"/>
      <c r="F6" s="55"/>
      <c r="G6" s="121"/>
      <c r="H6" s="29"/>
      <c r="I6" s="5"/>
      <c r="J6" s="5"/>
    </row>
    <row r="7" spans="1:25">
      <c r="A7" s="12" t="s">
        <v>19</v>
      </c>
      <c r="B7" s="12" t="s">
        <v>20</v>
      </c>
      <c r="C7" s="12" t="s">
        <v>16</v>
      </c>
      <c r="D7" s="392"/>
      <c r="E7" s="392"/>
      <c r="F7" s="55"/>
      <c r="G7" s="121"/>
      <c r="H7" s="29"/>
      <c r="I7" s="5"/>
      <c r="J7" s="5"/>
    </row>
    <row r="8" spans="1:25">
      <c r="A8" s="196"/>
      <c r="B8" s="55"/>
      <c r="C8" s="55"/>
      <c r="D8" s="392"/>
      <c r="E8" s="392"/>
      <c r="F8" s="55"/>
      <c r="G8" s="28"/>
      <c r="H8" s="29"/>
      <c r="I8" s="5"/>
      <c r="J8" s="5"/>
      <c r="L8" s="14" t="s">
        <v>17</v>
      </c>
      <c r="M8" s="11">
        <f>H13+H14</f>
        <v>0</v>
      </c>
    </row>
    <row r="9" spans="1:25" ht="21">
      <c r="A9" s="12" t="s">
        <v>21</v>
      </c>
      <c r="B9" s="15">
        <v>18500</v>
      </c>
      <c r="C9" s="11">
        <f>B9*0.2</f>
        <v>3700</v>
      </c>
      <c r="D9" s="392"/>
      <c r="E9" s="392"/>
      <c r="F9" s="55"/>
      <c r="G9" s="109"/>
      <c r="H9" s="290"/>
      <c r="I9" s="5"/>
      <c r="J9" s="5"/>
      <c r="K9" s="4" t="s">
        <v>31</v>
      </c>
      <c r="L9" s="11"/>
      <c r="M9" s="11"/>
    </row>
    <row r="10" spans="1:25">
      <c r="A10" s="197"/>
      <c r="B10" s="55"/>
      <c r="C10" s="55"/>
      <c r="D10" s="392"/>
      <c r="E10" s="392"/>
      <c r="F10" s="55"/>
      <c r="G10" s="121"/>
      <c r="H10" s="289"/>
      <c r="I10" s="5"/>
      <c r="J10" s="5"/>
      <c r="K10" s="4" t="s">
        <v>32</v>
      </c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121"/>
      <c r="H11" s="29"/>
      <c r="I11" s="5"/>
      <c r="J11" s="5"/>
      <c r="L11" s="11"/>
      <c r="M11" s="11"/>
    </row>
    <row r="12" spans="1:25">
      <c r="A12" s="197"/>
      <c r="B12" s="55"/>
      <c r="C12" s="55"/>
      <c r="D12" s="392"/>
      <c r="E12" s="392"/>
      <c r="F12" s="55"/>
      <c r="G12" s="121"/>
      <c r="H12" s="289"/>
      <c r="I12" s="5"/>
      <c r="J12" s="5"/>
    </row>
    <row r="13" spans="1:25">
      <c r="A13" s="12" t="s">
        <v>23</v>
      </c>
      <c r="B13" s="15">
        <v>0</v>
      </c>
      <c r="C13" s="11"/>
      <c r="D13" s="392"/>
      <c r="E13" s="392"/>
      <c r="F13" s="55"/>
      <c r="G13" s="121"/>
      <c r="H13" s="289"/>
      <c r="I13" s="5"/>
      <c r="J13" s="5"/>
    </row>
    <row r="14" spans="1:25">
      <c r="A14" s="197"/>
      <c r="B14" s="55"/>
      <c r="C14" s="55"/>
      <c r="D14" s="392"/>
      <c r="E14" s="392"/>
      <c r="F14" s="55"/>
      <c r="G14" s="121"/>
      <c r="H14" s="289"/>
      <c r="I14" s="5"/>
      <c r="J14" s="5" t="s">
        <v>24</v>
      </c>
    </row>
    <row r="15" spans="1:25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21"/>
      <c r="H15" s="291"/>
      <c r="I15" s="5"/>
      <c r="J15" s="17">
        <f>H15</f>
        <v>0</v>
      </c>
    </row>
    <row r="16" spans="1:25">
      <c r="A16" s="393"/>
      <c r="B16" s="393"/>
      <c r="C16" s="393"/>
      <c r="D16" s="392"/>
      <c r="E16" s="392"/>
      <c r="F16" s="55"/>
      <c r="G16" s="121"/>
      <c r="H16" s="289"/>
      <c r="I16" s="5"/>
      <c r="J16" s="5"/>
      <c r="Y16" s="18" t="s">
        <v>26</v>
      </c>
    </row>
    <row r="17" spans="1:26">
      <c r="A17" s="393"/>
      <c r="B17" s="393"/>
      <c r="C17" s="393"/>
      <c r="D17" s="392"/>
      <c r="E17" s="392"/>
      <c r="F17" s="55"/>
      <c r="G17" s="34"/>
      <c r="H17" s="29"/>
      <c r="I17" s="5"/>
      <c r="J17" s="5" t="s">
        <v>27</v>
      </c>
      <c r="Y17" s="18" t="s">
        <v>28</v>
      </c>
    </row>
    <row r="18" spans="1:26">
      <c r="A18" s="393"/>
      <c r="B18" s="393"/>
      <c r="C18" s="393"/>
      <c r="D18" s="392"/>
      <c r="E18" s="392"/>
      <c r="F18" s="55"/>
      <c r="G18" s="35"/>
      <c r="H18" s="292"/>
      <c r="I18" s="5"/>
      <c r="J18" s="17">
        <v>37405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35"/>
      <c r="H19" s="292"/>
      <c r="I19" s="5"/>
      <c r="J19" s="5"/>
      <c r="Z19" s="5" t="s">
        <v>31</v>
      </c>
    </row>
    <row r="20" spans="1:26">
      <c r="A20" s="199"/>
      <c r="B20" s="55"/>
      <c r="C20" s="55"/>
      <c r="D20" s="55"/>
      <c r="E20" s="200"/>
      <c r="F20" s="55"/>
      <c r="G20" s="35"/>
      <c r="H20" s="292"/>
      <c r="I20" s="5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293"/>
      <c r="H21" s="294"/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354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>
      <c r="A26" s="32" t="s">
        <v>138</v>
      </c>
      <c r="B26" s="36" t="s">
        <v>386</v>
      </c>
      <c r="C26" s="28"/>
      <c r="D26" s="28"/>
      <c r="E26" s="28"/>
      <c r="F26" s="28"/>
      <c r="G26" s="28"/>
      <c r="H26" s="29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 ht="23.25">
      <c r="A28" s="335" t="s">
        <v>136</v>
      </c>
      <c r="B28" s="335"/>
      <c r="C28" s="335"/>
      <c r="D28" s="335"/>
      <c r="E28" s="335"/>
      <c r="F28" s="335"/>
      <c r="G28" s="335"/>
      <c r="H28" s="335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>
        <v>36</v>
      </c>
      <c r="I29" s="28"/>
      <c r="J29" s="25" t="s">
        <v>94</v>
      </c>
      <c r="K29" s="295">
        <v>36</v>
      </c>
    </row>
    <row r="30" spans="1:26">
      <c r="A30" s="27" t="s">
        <v>193</v>
      </c>
      <c r="B30" s="346" t="s">
        <v>387</v>
      </c>
      <c r="C30" s="346"/>
      <c r="D30" s="346"/>
      <c r="E30" s="28"/>
      <c r="F30" s="28"/>
      <c r="G30" s="28"/>
      <c r="H30" s="29">
        <v>10000</v>
      </c>
      <c r="I30" s="28"/>
      <c r="J30" s="25" t="s">
        <v>45</v>
      </c>
      <c r="K30" s="33">
        <v>10000</v>
      </c>
    </row>
    <row r="31" spans="1:26">
      <c r="A31" s="27"/>
      <c r="B31" s="28"/>
      <c r="C31" s="28"/>
      <c r="D31" s="28"/>
      <c r="E31" s="28"/>
      <c r="F31" s="28"/>
      <c r="G31" s="28"/>
      <c r="H31" s="29">
        <v>27500</v>
      </c>
      <c r="I31" s="28"/>
      <c r="J31" s="25" t="s">
        <v>48</v>
      </c>
      <c r="K31" s="37">
        <v>0</v>
      </c>
    </row>
    <row r="32" spans="1:26" ht="36">
      <c r="A32" s="27" t="s">
        <v>94</v>
      </c>
      <c r="B32" s="28" t="s">
        <v>95</v>
      </c>
      <c r="C32" s="28"/>
      <c r="D32" s="28"/>
      <c r="E32" s="28" t="s">
        <v>355</v>
      </c>
      <c r="F32" s="28"/>
      <c r="G32" s="28"/>
      <c r="H32" s="29"/>
      <c r="I32" s="5"/>
      <c r="J32" s="25" t="s">
        <v>49</v>
      </c>
      <c r="K32" s="37">
        <v>0</v>
      </c>
    </row>
    <row r="33" spans="1:16" ht="36">
      <c r="A33" s="134">
        <f>A52</f>
        <v>36</v>
      </c>
      <c r="B33" s="173">
        <f>B51</f>
        <v>10000</v>
      </c>
      <c r="C33" s="28"/>
      <c r="D33" s="28"/>
      <c r="E33" s="402">
        <f>K48</f>
        <v>571.22629200937934</v>
      </c>
      <c r="F33" s="402"/>
      <c r="G33" s="402"/>
      <c r="H33" s="42"/>
      <c r="I33" s="5"/>
      <c r="J33" s="30" t="s">
        <v>356</v>
      </c>
      <c r="K33" s="43">
        <f>E21</f>
        <v>18500</v>
      </c>
      <c r="L33" s="4">
        <f>H21-H11+(H16*20%)</f>
        <v>0</v>
      </c>
    </row>
    <row r="34" spans="1:16">
      <c r="A34" s="27"/>
      <c r="B34" s="28"/>
      <c r="C34" s="28"/>
      <c r="D34" s="28"/>
      <c r="E34" s="38"/>
      <c r="F34" s="38"/>
      <c r="G34" s="38"/>
      <c r="H34" s="42"/>
      <c r="I34" s="5"/>
      <c r="J34" s="5"/>
      <c r="K34" s="5"/>
    </row>
    <row r="35" spans="1:16">
      <c r="A35" s="27" t="s">
        <v>357</v>
      </c>
      <c r="B35" s="28" t="s">
        <v>358</v>
      </c>
      <c r="C35" s="28"/>
      <c r="E35" s="28" t="s">
        <v>359</v>
      </c>
      <c r="F35" s="38"/>
      <c r="G35" s="38"/>
      <c r="H35" s="42"/>
      <c r="I35" s="5"/>
      <c r="J35" s="45" t="s">
        <v>59</v>
      </c>
      <c r="K35" s="4">
        <v>7.0000000000000007E-2</v>
      </c>
    </row>
    <row r="36" spans="1:16">
      <c r="A36" s="138">
        <f>K47</f>
        <v>571.22629200937934</v>
      </c>
      <c r="B36" s="173" t="str">
        <f>IF(B26="YES",K42,"0.00")</f>
        <v>0.00</v>
      </c>
      <c r="C36" s="173"/>
      <c r="D36" s="173"/>
      <c r="E36" s="402">
        <f>K31</f>
        <v>0</v>
      </c>
      <c r="F36" s="402"/>
      <c r="G36" s="402"/>
      <c r="H36" s="42"/>
      <c r="I36" s="5"/>
      <c r="J36" s="5" t="s">
        <v>63</v>
      </c>
      <c r="K36" s="5">
        <f>K29</f>
        <v>36</v>
      </c>
    </row>
    <row r="37" spans="1:16">
      <c r="A37" s="94"/>
      <c r="B37" s="34"/>
      <c r="C37" s="38"/>
      <c r="D37" s="38"/>
      <c r="E37" s="38"/>
      <c r="F37" s="38"/>
      <c r="G37" s="38"/>
      <c r="H37" s="42"/>
      <c r="I37" s="5"/>
      <c r="J37" s="5"/>
      <c r="K37" s="5"/>
    </row>
    <row r="38" spans="1:16">
      <c r="A38" s="27"/>
      <c r="B38" s="28"/>
      <c r="C38" s="38"/>
      <c r="D38" s="38"/>
      <c r="E38" s="38"/>
      <c r="F38" s="38"/>
      <c r="G38" s="38"/>
      <c r="H38" s="42"/>
      <c r="J38" s="337" t="s">
        <v>65</v>
      </c>
      <c r="K38" s="337"/>
      <c r="L38" s="5">
        <v>42030.76</v>
      </c>
      <c r="N38" s="4">
        <f>80.88*36</f>
        <v>2911.68</v>
      </c>
    </row>
    <row r="39" spans="1:16">
      <c r="A39" s="27" t="s">
        <v>360</v>
      </c>
      <c r="B39" s="28" t="s">
        <v>361</v>
      </c>
      <c r="C39" s="28"/>
      <c r="E39" s="28" t="s">
        <v>362</v>
      </c>
      <c r="F39" s="38"/>
      <c r="G39" s="38"/>
      <c r="H39" s="42"/>
      <c r="J39" s="5" t="s">
        <v>96</v>
      </c>
      <c r="K39" s="5">
        <f>K33</f>
        <v>18500</v>
      </c>
      <c r="L39" s="5">
        <f>(L47*K46)+K44</f>
        <v>25909.171561306546</v>
      </c>
      <c r="N39" s="4">
        <f>K39-L39</f>
        <v>-7409.1715613065462</v>
      </c>
    </row>
    <row r="40" spans="1:16">
      <c r="A40" s="92">
        <f>E36*A45/100</f>
        <v>0</v>
      </c>
      <c r="B40" s="348" t="str">
        <f>IF(B26="YES",K42,"0.00")</f>
        <v>0.00</v>
      </c>
      <c r="C40" s="348"/>
      <c r="D40" s="348"/>
      <c r="E40" s="137">
        <f>K32</f>
        <v>0</v>
      </c>
      <c r="F40" s="38"/>
      <c r="G40" s="38"/>
      <c r="H40" s="42"/>
      <c r="J40" s="5" t="s">
        <v>118</v>
      </c>
      <c r="K40" s="5">
        <f>(A40)/1.2</f>
        <v>0</v>
      </c>
      <c r="L40" s="5">
        <f>K39-L39</f>
        <v>-7409.1715613065462</v>
      </c>
      <c r="N40" s="4">
        <f>N38-N39</f>
        <v>10320.851561306547</v>
      </c>
    </row>
    <row r="41" spans="1:16">
      <c r="A41" s="27"/>
      <c r="B41" s="28"/>
      <c r="C41" s="28"/>
      <c r="D41" s="28"/>
      <c r="E41" s="28"/>
      <c r="F41" s="38"/>
      <c r="G41" s="38"/>
      <c r="H41" s="42"/>
      <c r="J41" s="5" t="s">
        <v>363</v>
      </c>
      <c r="K41" s="5">
        <f>K35/12</f>
        <v>5.8333333333333336E-3</v>
      </c>
      <c r="L41" s="5"/>
    </row>
    <row r="42" spans="1:16">
      <c r="A42" s="49"/>
      <c r="B42" s="50"/>
      <c r="C42" s="50"/>
      <c r="D42" s="50"/>
      <c r="E42" s="50"/>
      <c r="F42" s="50"/>
      <c r="G42" s="51"/>
      <c r="H42" s="52"/>
      <c r="J42" s="5" t="s">
        <v>364</v>
      </c>
      <c r="K42" s="5">
        <f>(K32/K36)*C45/100</f>
        <v>0</v>
      </c>
      <c r="L42" s="5"/>
    </row>
    <row r="43" spans="1:16">
      <c r="A43" s="22"/>
      <c r="B43" s="23"/>
      <c r="C43" s="23"/>
      <c r="D43" s="23"/>
      <c r="E43" s="23"/>
      <c r="F43" s="23"/>
      <c r="G43" s="23"/>
      <c r="H43" s="24"/>
      <c r="J43" s="5" t="s">
        <v>365</v>
      </c>
      <c r="K43" s="5"/>
      <c r="L43" s="5"/>
    </row>
    <row r="44" spans="1:16">
      <c r="A44" s="53" t="s">
        <v>89</v>
      </c>
      <c r="B44" s="28"/>
      <c r="C44" s="28" t="s">
        <v>90</v>
      </c>
      <c r="D44" s="28"/>
      <c r="E44" s="28"/>
      <c r="F44" s="28"/>
      <c r="G44" s="28"/>
      <c r="H44" s="29"/>
      <c r="J44" s="5" t="s">
        <v>366</v>
      </c>
      <c r="K44" s="5">
        <f>(K40/(1+K41)^(K36+1))</f>
        <v>0</v>
      </c>
      <c r="L44" s="5"/>
    </row>
    <row r="45" spans="1:16">
      <c r="A45" s="54">
        <v>100</v>
      </c>
      <c r="B45" s="28"/>
      <c r="C45" s="339">
        <v>100</v>
      </c>
      <c r="D45" s="339"/>
      <c r="E45" s="339"/>
      <c r="F45" s="28"/>
      <c r="G45" s="28"/>
      <c r="H45" s="29"/>
      <c r="J45" s="5" t="s">
        <v>367</v>
      </c>
      <c r="K45" s="5">
        <f>(K39-K44)</f>
        <v>18500</v>
      </c>
      <c r="L45" s="5"/>
    </row>
    <row r="46" spans="1:16">
      <c r="A46" s="49"/>
      <c r="B46" s="50"/>
      <c r="C46" s="50"/>
      <c r="D46" s="50"/>
      <c r="E46" s="50"/>
      <c r="F46" s="50"/>
      <c r="G46" s="50"/>
      <c r="H46" s="57"/>
      <c r="J46" s="5" t="s">
        <v>368</v>
      </c>
      <c r="K46" s="5">
        <f>((1-(1/((1+K41)^K36)))/K41)</f>
        <v>32.386464451633181</v>
      </c>
      <c r="L46" s="5"/>
    </row>
    <row r="47" spans="1:16">
      <c r="A47" s="22"/>
      <c r="B47" s="23"/>
      <c r="C47" s="23"/>
      <c r="D47" s="23"/>
      <c r="E47" s="23"/>
      <c r="F47" s="23"/>
      <c r="G47" s="23"/>
      <c r="H47" s="24"/>
      <c r="J47" s="5" t="s">
        <v>369</v>
      </c>
      <c r="K47" s="5">
        <f>K45/K46</f>
        <v>571.22629200937934</v>
      </c>
      <c r="L47" s="5">
        <f>L49-K42</f>
        <v>800</v>
      </c>
      <c r="M47" s="4">
        <f>K47-L47</f>
        <v>-228.77370799062066</v>
      </c>
    </row>
    <row r="48" spans="1:16" ht="37.5">
      <c r="A48" s="58" t="s">
        <v>93</v>
      </c>
      <c r="B48" s="28"/>
      <c r="C48" s="28"/>
      <c r="D48" s="59"/>
      <c r="E48" s="59"/>
      <c r="F48" s="59"/>
      <c r="G48" s="59"/>
      <c r="H48" s="60"/>
      <c r="J48" s="48" t="s">
        <v>370</v>
      </c>
      <c r="K48" s="5">
        <f>IF(B26="YES",K47+K42,K47)</f>
        <v>571.22629200937934</v>
      </c>
      <c r="L48" s="5"/>
    </row>
    <row r="49" spans="1:35">
      <c r="A49" s="27"/>
      <c r="B49" s="61"/>
      <c r="C49" s="61"/>
      <c r="D49" s="28"/>
      <c r="E49" s="28"/>
      <c r="F49" s="28"/>
      <c r="G49" s="28"/>
      <c r="H49" s="29"/>
      <c r="J49" s="5" t="s">
        <v>371</v>
      </c>
      <c r="K49" s="5"/>
      <c r="L49" s="5">
        <v>800</v>
      </c>
    </row>
    <row r="50" spans="1:35" ht="21">
      <c r="A50" s="369" t="s">
        <v>94</v>
      </c>
      <c r="B50" s="341" t="s">
        <v>95</v>
      </c>
      <c r="C50" s="341"/>
      <c r="D50" s="341"/>
      <c r="E50" s="28"/>
      <c r="F50" s="28"/>
      <c r="G50" s="28"/>
      <c r="H50" s="29"/>
      <c r="I50" s="5"/>
      <c r="J50" s="5"/>
      <c r="K50" s="5"/>
    </row>
    <row r="51" spans="1:35" ht="19.5" customHeight="1">
      <c r="A51" s="369"/>
      <c r="B51" s="342">
        <f>K30</f>
        <v>10000</v>
      </c>
      <c r="C51" s="342"/>
      <c r="D51" s="342"/>
      <c r="E51" s="28"/>
      <c r="F51" s="28"/>
      <c r="G51" s="28"/>
      <c r="H51" s="29"/>
      <c r="I51" s="5"/>
      <c r="J51" s="5"/>
      <c r="K51" s="5"/>
    </row>
    <row r="52" spans="1:35">
      <c r="A52" s="62">
        <f>K29</f>
        <v>36</v>
      </c>
      <c r="B52" s="343">
        <f>K48</f>
        <v>571.22629200937934</v>
      </c>
      <c r="C52" s="343"/>
      <c r="D52" s="343"/>
      <c r="E52" s="28"/>
      <c r="F52" s="28"/>
      <c r="G52" s="28"/>
      <c r="H52" s="29"/>
      <c r="I52" s="5"/>
      <c r="J52" s="5"/>
      <c r="K52" s="5"/>
    </row>
    <row r="53" spans="1:35">
      <c r="A53" s="27"/>
      <c r="B53" s="28"/>
      <c r="C53" s="28"/>
      <c r="D53" s="28"/>
      <c r="E53" s="28"/>
      <c r="F53" s="28"/>
      <c r="G53" s="28"/>
      <c r="H53" s="29"/>
      <c r="I53" s="5"/>
      <c r="J53" s="5"/>
      <c r="K53" s="5"/>
    </row>
    <row r="54" spans="1:35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35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35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35">
      <c r="A57" s="22"/>
      <c r="B57" s="23"/>
      <c r="C57" s="23"/>
      <c r="D57" s="23"/>
      <c r="E57" s="63"/>
      <c r="F57" s="63"/>
      <c r="G57" s="63"/>
      <c r="H57" s="24"/>
      <c r="J57" s="22"/>
      <c r="K57" s="23"/>
      <c r="L57" s="23"/>
      <c r="M57" s="23"/>
      <c r="N57" s="63"/>
      <c r="O57" s="63"/>
      <c r="P57" s="63"/>
      <c r="Q57" s="24"/>
      <c r="S57" s="22"/>
      <c r="T57" s="23"/>
      <c r="U57" s="23"/>
      <c r="V57" s="23"/>
      <c r="W57" s="63"/>
      <c r="X57" s="63"/>
      <c r="Y57" s="63"/>
      <c r="Z57" s="24"/>
      <c r="AB57" s="22"/>
      <c r="AC57" s="23"/>
      <c r="AD57" s="23"/>
      <c r="AE57" s="23"/>
      <c r="AF57" s="63"/>
      <c r="AG57" s="63"/>
      <c r="AH57" s="63"/>
      <c r="AI57" s="24"/>
    </row>
    <row r="58" spans="1:35">
      <c r="A58" s="27" t="s">
        <v>96</v>
      </c>
      <c r="B58" s="28">
        <v>1</v>
      </c>
      <c r="C58" s="28"/>
      <c r="D58" s="28"/>
      <c r="E58" s="21"/>
      <c r="F58" s="21"/>
      <c r="G58" s="21"/>
      <c r="H58" s="29"/>
      <c r="J58" s="27" t="s">
        <v>96</v>
      </c>
      <c r="K58" s="28">
        <v>1</v>
      </c>
      <c r="L58" s="28"/>
      <c r="M58" s="28"/>
      <c r="N58" s="21"/>
      <c r="O58" s="21"/>
      <c r="P58" s="21"/>
      <c r="Q58" s="29"/>
      <c r="S58" s="27" t="s">
        <v>96</v>
      </c>
      <c r="T58" s="28">
        <v>1</v>
      </c>
      <c r="U58" s="28"/>
      <c r="V58" s="28"/>
      <c r="W58" s="21"/>
      <c r="X58" s="21"/>
      <c r="Y58" s="21"/>
      <c r="Z58" s="29"/>
      <c r="AB58" s="27" t="s">
        <v>96</v>
      </c>
      <c r="AC58" s="28">
        <v>1</v>
      </c>
      <c r="AD58" s="28"/>
      <c r="AE58" s="28"/>
      <c r="AF58" s="21"/>
      <c r="AG58" s="21"/>
      <c r="AH58" s="21"/>
      <c r="AI58" s="29"/>
    </row>
    <row r="59" spans="1:35">
      <c r="A59" s="27" t="s">
        <v>97</v>
      </c>
      <c r="B59" s="28">
        <f>K29-B58</f>
        <v>35</v>
      </c>
      <c r="C59" s="28"/>
      <c r="D59" s="28"/>
      <c r="E59" s="21"/>
      <c r="F59" s="21"/>
      <c r="G59" s="21"/>
      <c r="H59" s="29"/>
      <c r="J59" s="27" t="s">
        <v>97</v>
      </c>
      <c r="K59" s="28">
        <f>K29-K58</f>
        <v>35</v>
      </c>
      <c r="L59" s="28"/>
      <c r="M59" s="28"/>
      <c r="N59" s="21"/>
      <c r="O59" s="21"/>
      <c r="P59" s="21"/>
      <c r="Q59" s="29"/>
      <c r="S59" s="27" t="s">
        <v>97</v>
      </c>
      <c r="T59" s="28">
        <f>K29-T58</f>
        <v>35</v>
      </c>
      <c r="U59" s="28"/>
      <c r="V59" s="28"/>
      <c r="W59" s="21"/>
      <c r="X59" s="21"/>
      <c r="Y59" s="21"/>
      <c r="Z59" s="29"/>
      <c r="AB59" s="27" t="s">
        <v>97</v>
      </c>
      <c r="AC59" s="28">
        <f>K29-AC58</f>
        <v>35</v>
      </c>
      <c r="AD59" s="28"/>
      <c r="AE59" s="28"/>
      <c r="AF59" s="21"/>
      <c r="AG59" s="21"/>
      <c r="AH59" s="21"/>
      <c r="AI59" s="29"/>
    </row>
    <row r="60" spans="1:35">
      <c r="A60" s="64" t="s">
        <v>98</v>
      </c>
      <c r="B60" s="65">
        <v>10</v>
      </c>
      <c r="C60" s="28"/>
      <c r="D60" s="28"/>
      <c r="E60" s="21"/>
      <c r="F60" s="21"/>
      <c r="G60" s="21"/>
      <c r="H60" s="29"/>
      <c r="J60" s="64" t="s">
        <v>98</v>
      </c>
      <c r="K60" s="65">
        <v>20</v>
      </c>
      <c r="L60" s="28"/>
      <c r="M60" s="28"/>
      <c r="N60" s="21"/>
      <c r="O60" s="21"/>
      <c r="P60" s="21"/>
      <c r="Q60" s="29"/>
      <c r="S60" s="64" t="s">
        <v>98</v>
      </c>
      <c r="T60" s="65">
        <v>10</v>
      </c>
      <c r="U60" s="28"/>
      <c r="V60" s="28"/>
      <c r="W60" s="21"/>
      <c r="X60" s="21"/>
      <c r="Y60" s="21"/>
      <c r="Z60" s="29"/>
      <c r="AB60" s="64" t="s">
        <v>98</v>
      </c>
      <c r="AC60" s="65">
        <v>10</v>
      </c>
      <c r="AD60" s="28"/>
      <c r="AE60" s="28"/>
      <c r="AF60" s="21"/>
      <c r="AG60" s="21"/>
      <c r="AH60" s="21"/>
      <c r="AI60" s="29"/>
    </row>
    <row r="61" spans="1:35">
      <c r="A61" s="27" t="s">
        <v>27</v>
      </c>
      <c r="B61" s="28">
        <f>J18</f>
        <v>37405</v>
      </c>
      <c r="C61" s="28"/>
      <c r="D61" s="28"/>
      <c r="E61" s="21"/>
      <c r="F61" s="21"/>
      <c r="G61" s="21"/>
      <c r="H61" s="29"/>
      <c r="J61" s="27" t="s">
        <v>27</v>
      </c>
      <c r="K61" s="28">
        <f>J18</f>
        <v>37405</v>
      </c>
      <c r="L61" s="28"/>
      <c r="M61" s="28"/>
      <c r="N61" s="21"/>
      <c r="O61" s="21"/>
      <c r="P61" s="21"/>
      <c r="Q61" s="29"/>
      <c r="S61" s="27" t="s">
        <v>27</v>
      </c>
      <c r="T61" s="28">
        <f>J18</f>
        <v>37405</v>
      </c>
      <c r="U61" s="28"/>
      <c r="V61" s="28"/>
      <c r="W61" s="21"/>
      <c r="X61" s="21"/>
      <c r="Y61" s="21"/>
      <c r="Z61" s="29"/>
      <c r="AB61" s="27" t="s">
        <v>27</v>
      </c>
      <c r="AC61" s="28">
        <f>J18</f>
        <v>37405</v>
      </c>
      <c r="AD61" s="28"/>
      <c r="AE61" s="28"/>
      <c r="AF61" s="21"/>
      <c r="AG61" s="21"/>
      <c r="AH61" s="21"/>
      <c r="AI61" s="29"/>
    </row>
    <row r="62" spans="1:35">
      <c r="A62" s="66" t="s">
        <v>99</v>
      </c>
      <c r="B62" s="67">
        <v>0</v>
      </c>
      <c r="C62" s="28"/>
      <c r="D62" s="28"/>
      <c r="E62" s="21"/>
      <c r="F62" s="21"/>
      <c r="G62" s="21"/>
      <c r="H62" s="29"/>
      <c r="J62" s="66" t="s">
        <v>99</v>
      </c>
      <c r="K62" s="67">
        <v>0.06</v>
      </c>
      <c r="L62" s="28"/>
      <c r="M62" s="28"/>
      <c r="N62" s="21"/>
      <c r="O62" s="21"/>
      <c r="P62" s="21"/>
      <c r="Q62" s="29"/>
      <c r="S62" s="66" t="s">
        <v>99</v>
      </c>
      <c r="T62" s="67">
        <f>IF(AND(K29&gt;=12,K29&lt;=24),0.0105,IF(AND(K29&gt;=48),-0.0075,0))</f>
        <v>0</v>
      </c>
      <c r="U62" s="28"/>
      <c r="V62" s="28"/>
      <c r="W62" s="21"/>
      <c r="X62" s="21"/>
      <c r="Y62" s="21"/>
      <c r="Z62" s="29"/>
      <c r="AB62" s="66" t="s">
        <v>99</v>
      </c>
      <c r="AC62" s="67">
        <f>IF(AND(K29&gt;=12,K29&lt;=24),0.0105,IF(AND(K29&gt;=48),-0.0075,0))</f>
        <v>0</v>
      </c>
      <c r="AD62" s="28"/>
      <c r="AE62" s="28"/>
      <c r="AF62" s="21"/>
      <c r="AG62" s="21"/>
      <c r="AH62" s="21"/>
      <c r="AI62" s="29"/>
    </row>
    <row r="63" spans="1:35">
      <c r="A63" s="68" t="s">
        <v>100</v>
      </c>
      <c r="B63" s="69">
        <v>7.0000000000000007E-2</v>
      </c>
      <c r="C63" s="28"/>
      <c r="D63" s="28"/>
      <c r="E63" s="21"/>
      <c r="F63" s="21"/>
      <c r="G63" s="21"/>
      <c r="H63" s="29"/>
      <c r="J63" s="68" t="s">
        <v>100</v>
      </c>
      <c r="K63" s="69">
        <v>0.08</v>
      </c>
      <c r="L63" s="28"/>
      <c r="M63" s="28"/>
      <c r="N63" s="21"/>
      <c r="O63" s="21"/>
      <c r="P63" s="21"/>
      <c r="Q63" s="29"/>
      <c r="S63" s="68" t="s">
        <v>100</v>
      </c>
      <c r="T63" s="69">
        <v>5.8999999999999997E-2</v>
      </c>
      <c r="U63" s="28"/>
      <c r="V63" s="28"/>
      <c r="W63" s="21"/>
      <c r="X63" s="21"/>
      <c r="Y63" s="21"/>
      <c r="Z63" s="29"/>
      <c r="AB63" s="68" t="s">
        <v>100</v>
      </c>
      <c r="AC63" s="69">
        <v>5.8999999999999997E-2</v>
      </c>
      <c r="AD63" s="28"/>
      <c r="AE63" s="28"/>
      <c r="AF63" s="21"/>
      <c r="AG63" s="21"/>
      <c r="AH63" s="21"/>
      <c r="AI63" s="29"/>
    </row>
    <row r="64" spans="1:35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J64" s="70" t="s">
        <v>101</v>
      </c>
      <c r="K64" s="71">
        <v>0.1</v>
      </c>
      <c r="L64" s="28"/>
      <c r="M64" s="28"/>
      <c r="N64" s="21"/>
      <c r="O64" s="21"/>
      <c r="P64" s="21"/>
      <c r="Q64" s="29"/>
      <c r="S64" s="70" t="s">
        <v>101</v>
      </c>
      <c r="T64" s="71">
        <f>IF(T108=AP108,2.4%,7.2%)</f>
        <v>7.2000000000000008E-2</v>
      </c>
      <c r="U64" s="28"/>
      <c r="V64" s="28"/>
      <c r="W64" s="21"/>
      <c r="X64" s="21"/>
      <c r="Y64" s="21"/>
      <c r="Z64" s="29"/>
      <c r="AB64" s="70" t="s">
        <v>101</v>
      </c>
      <c r="AC64" s="71">
        <f>IF(AC108=AP108,2.4%,7.2%)</f>
        <v>7.2000000000000008E-2</v>
      </c>
      <c r="AD64" s="28"/>
      <c r="AE64" s="28"/>
      <c r="AF64" s="21"/>
      <c r="AG64" s="21"/>
      <c r="AH64" s="21"/>
      <c r="AI64" s="29"/>
    </row>
    <row r="65" spans="1:35">
      <c r="A65" s="49" t="s">
        <v>102</v>
      </c>
      <c r="B65" s="57">
        <f>(B89*B59)-(K47*K29)</f>
        <v>7903.7406656518615</v>
      </c>
      <c r="C65" s="28"/>
      <c r="D65" s="28"/>
      <c r="E65" s="21"/>
      <c r="F65" s="21"/>
      <c r="G65" s="21"/>
      <c r="H65" s="29"/>
      <c r="J65" s="49" t="s">
        <v>102</v>
      </c>
      <c r="K65" s="57" t="e">
        <f>(K89*K59)-(K47*K29)</f>
        <v>#VALUE!</v>
      </c>
      <c r="L65" s="28"/>
      <c r="M65" s="28"/>
      <c r="N65" s="21"/>
      <c r="O65" s="21"/>
      <c r="P65" s="21"/>
      <c r="Q65" s="29"/>
      <c r="S65" s="49" t="s">
        <v>102</v>
      </c>
      <c r="T65" s="57" t="e">
        <f>(T89*T59)-(K47*K29)</f>
        <v>#VALUE!</v>
      </c>
      <c r="U65" s="28"/>
      <c r="V65" s="28"/>
      <c r="W65" s="21"/>
      <c r="X65" s="21"/>
      <c r="Y65" s="21"/>
      <c r="Z65" s="29"/>
      <c r="AB65" s="49" t="s">
        <v>102</v>
      </c>
      <c r="AC65" s="57" t="e">
        <f>(AC89*AC59)-(K47*K29)</f>
        <v>#VALUE!</v>
      </c>
      <c r="AD65" s="28"/>
      <c r="AE65" s="28"/>
      <c r="AF65" s="21"/>
      <c r="AG65" s="21"/>
      <c r="AH65" s="21"/>
      <c r="AI65" s="29"/>
    </row>
    <row r="66" spans="1:35">
      <c r="A66" s="66" t="s">
        <v>103</v>
      </c>
      <c r="B66" s="67">
        <v>0.05</v>
      </c>
      <c r="C66" s="28"/>
      <c r="D66" s="28"/>
      <c r="E66" s="21"/>
      <c r="F66" s="21"/>
      <c r="G66" s="21"/>
      <c r="H66" s="29"/>
      <c r="J66" s="66" t="s">
        <v>103</v>
      </c>
      <c r="K66" s="67">
        <v>0.05</v>
      </c>
      <c r="L66" s="28"/>
      <c r="M66" s="28"/>
      <c r="N66" s="21"/>
      <c r="O66" s="21"/>
      <c r="P66" s="21"/>
      <c r="Q66" s="29"/>
      <c r="S66" s="66" t="s">
        <v>103</v>
      </c>
      <c r="T66" s="67">
        <v>5.0000000000000001E-3</v>
      </c>
      <c r="U66" s="28"/>
      <c r="V66" s="28"/>
      <c r="W66" s="21"/>
      <c r="X66" s="21"/>
      <c r="Y66" s="21"/>
      <c r="Z66" s="29"/>
      <c r="AB66" s="66" t="s">
        <v>103</v>
      </c>
      <c r="AC66" s="67">
        <v>5.0000000000000001E-3</v>
      </c>
      <c r="AD66" s="28"/>
      <c r="AE66" s="28"/>
      <c r="AF66" s="21"/>
      <c r="AG66" s="21"/>
      <c r="AH66" s="21"/>
      <c r="AI66" s="29"/>
    </row>
    <row r="67" spans="1:35">
      <c r="A67" s="27"/>
      <c r="B67" s="72">
        <f>B66</f>
        <v>0.05</v>
      </c>
      <c r="C67" s="28"/>
      <c r="D67" s="28"/>
      <c r="E67" s="21"/>
      <c r="F67" s="21"/>
      <c r="G67" s="21"/>
      <c r="H67" s="29"/>
      <c r="J67" s="27" t="s">
        <v>104</v>
      </c>
      <c r="K67" s="72">
        <f>K66+(K66*0.25*(K29/12-1))</f>
        <v>7.5000000000000011E-2</v>
      </c>
      <c r="L67" s="28"/>
      <c r="M67" s="28"/>
      <c r="N67" s="21"/>
      <c r="O67" s="21"/>
      <c r="P67" s="21"/>
      <c r="Q67" s="29"/>
      <c r="S67" s="27" t="s">
        <v>104</v>
      </c>
      <c r="T67" s="72">
        <f>T66+(T66*0.5*(K29/12-1))</f>
        <v>0.01</v>
      </c>
      <c r="U67" s="28"/>
      <c r="V67" s="28"/>
      <c r="W67" s="21"/>
      <c r="X67" s="21"/>
      <c r="Y67" s="21"/>
      <c r="Z67" s="29"/>
      <c r="AB67" s="27" t="s">
        <v>104</v>
      </c>
      <c r="AC67" s="72">
        <f>AC66+(AC66*0.5*(K29/12-1))</f>
        <v>0.01</v>
      </c>
      <c r="AD67" s="28"/>
      <c r="AE67" s="28"/>
      <c r="AF67" s="21"/>
      <c r="AG67" s="21"/>
      <c r="AH67" s="21"/>
      <c r="AI67" s="29"/>
    </row>
    <row r="68" spans="1:35">
      <c r="A68" s="49" t="s">
        <v>105</v>
      </c>
      <c r="B68" s="57">
        <f>(G158*B67)</f>
        <v>1196.0001999999999</v>
      </c>
      <c r="C68" s="28"/>
      <c r="D68" s="28"/>
      <c r="E68" s="21"/>
      <c r="F68" s="21"/>
      <c r="G68" s="21"/>
      <c r="H68" s="29"/>
      <c r="J68" s="49" t="s">
        <v>105</v>
      </c>
      <c r="K68" s="57">
        <f>K61*K67</f>
        <v>2805.3750000000005</v>
      </c>
      <c r="L68" s="28"/>
      <c r="M68" s="28"/>
      <c r="N68" s="21"/>
      <c r="O68" s="21"/>
      <c r="P68" s="21"/>
      <c r="Q68" s="29"/>
      <c r="S68" s="49" t="s">
        <v>105</v>
      </c>
      <c r="T68" s="57">
        <f>T61*T67</f>
        <v>374.05</v>
      </c>
      <c r="U68" s="28"/>
      <c r="V68" s="28"/>
      <c r="W68" s="21"/>
      <c r="X68" s="21"/>
      <c r="Y68" s="21"/>
      <c r="Z68" s="29"/>
      <c r="AB68" s="49" t="s">
        <v>105</v>
      </c>
      <c r="AC68" s="57" t="e">
        <f>AH158*AC67</f>
        <v>#VALUE!</v>
      </c>
      <c r="AD68" s="28"/>
      <c r="AE68" s="28"/>
      <c r="AF68" s="21"/>
      <c r="AG68" s="21"/>
      <c r="AH68" s="21"/>
      <c r="AI68" s="29"/>
    </row>
    <row r="69" spans="1:35">
      <c r="A69" s="66" t="s">
        <v>106</v>
      </c>
      <c r="B69" s="67">
        <v>0</v>
      </c>
      <c r="C69" s="28"/>
      <c r="D69" s="28"/>
      <c r="E69" s="21"/>
      <c r="F69" s="21"/>
      <c r="G69" s="21"/>
      <c r="H69" s="29"/>
      <c r="J69" s="66" t="s">
        <v>106</v>
      </c>
      <c r="K69" s="67">
        <v>0</v>
      </c>
      <c r="L69" s="28"/>
      <c r="M69" s="28"/>
      <c r="N69" s="21"/>
      <c r="O69" s="21"/>
      <c r="P69" s="21"/>
      <c r="Q69" s="29"/>
      <c r="S69" s="66" t="s">
        <v>106</v>
      </c>
      <c r="T69" s="67">
        <v>0</v>
      </c>
      <c r="U69" s="28"/>
      <c r="V69" s="28"/>
      <c r="W69" s="21"/>
      <c r="X69" s="21"/>
      <c r="Y69" s="21"/>
      <c r="Z69" s="29"/>
      <c r="AB69" s="66" t="s">
        <v>106</v>
      </c>
      <c r="AC69" s="67">
        <v>0</v>
      </c>
      <c r="AD69" s="28"/>
      <c r="AE69" s="28"/>
      <c r="AF69" s="21"/>
      <c r="AG69" s="21"/>
      <c r="AH69" s="21"/>
      <c r="AI69" s="29"/>
    </row>
    <row r="70" spans="1:35">
      <c r="A70" s="68" t="s">
        <v>107</v>
      </c>
      <c r="B70" s="69">
        <v>0</v>
      </c>
      <c r="C70" s="28"/>
      <c r="D70" s="28"/>
      <c r="E70" s="21"/>
      <c r="F70" s="21"/>
      <c r="G70" s="21"/>
      <c r="H70" s="29"/>
      <c r="J70" s="68" t="s">
        <v>107</v>
      </c>
      <c r="K70" s="69">
        <v>0</v>
      </c>
      <c r="L70" s="28"/>
      <c r="M70" s="28"/>
      <c r="N70" s="21"/>
      <c r="O70" s="21"/>
      <c r="P70" s="21"/>
      <c r="Q70" s="29"/>
      <c r="S70" s="68" t="s">
        <v>107</v>
      </c>
      <c r="T70" s="69">
        <v>0</v>
      </c>
      <c r="U70" s="28"/>
      <c r="V70" s="28"/>
      <c r="W70" s="21"/>
      <c r="X70" s="21"/>
      <c r="Y70" s="21"/>
      <c r="Z70" s="29"/>
      <c r="AB70" s="68" t="s">
        <v>107</v>
      </c>
      <c r="AC70" s="69">
        <v>0</v>
      </c>
      <c r="AD70" s="28"/>
      <c r="AE70" s="28"/>
      <c r="AF70" s="21"/>
      <c r="AG70" s="21"/>
      <c r="AH70" s="21"/>
      <c r="AI70" s="29"/>
    </row>
    <row r="71" spans="1:35">
      <c r="A71" s="49" t="s">
        <v>108</v>
      </c>
      <c r="B71" s="73">
        <f>B69*(1+B70)</f>
        <v>0</v>
      </c>
      <c r="C71" s="28"/>
      <c r="D71" s="28"/>
      <c r="E71" s="21"/>
      <c r="F71" s="21"/>
      <c r="G71" s="21"/>
      <c r="H71" s="29"/>
      <c r="J71" s="49" t="s">
        <v>108</v>
      </c>
      <c r="K71" s="73">
        <f>K69*(1+K70)</f>
        <v>0</v>
      </c>
      <c r="L71" s="28"/>
      <c r="M71" s="28"/>
      <c r="N71" s="21"/>
      <c r="O71" s="21"/>
      <c r="P71" s="21"/>
      <c r="Q71" s="29"/>
      <c r="S71" s="49" t="s">
        <v>108</v>
      </c>
      <c r="T71" s="73">
        <f>T69*(1+T70)</f>
        <v>0</v>
      </c>
      <c r="U71" s="28"/>
      <c r="V71" s="28"/>
      <c r="W71" s="21"/>
      <c r="X71" s="21"/>
      <c r="Y71" s="21"/>
      <c r="Z71" s="29"/>
      <c r="AB71" s="49" t="s">
        <v>108</v>
      </c>
      <c r="AC71" s="73">
        <f>AC69*(1+AC70)</f>
        <v>0</v>
      </c>
      <c r="AD71" s="28"/>
      <c r="AE71" s="28"/>
      <c r="AF71" s="21"/>
      <c r="AG71" s="21"/>
      <c r="AH71" s="21"/>
      <c r="AI71" s="29"/>
    </row>
    <row r="72" spans="1:35">
      <c r="A72" s="66" t="s">
        <v>109</v>
      </c>
      <c r="B72" s="74">
        <v>0</v>
      </c>
      <c r="C72" s="28"/>
      <c r="D72" s="28"/>
      <c r="E72" s="21"/>
      <c r="F72" s="21"/>
      <c r="G72" s="21"/>
      <c r="H72" s="29"/>
      <c r="J72" s="66" t="s">
        <v>109</v>
      </c>
      <c r="K72" s="74">
        <v>0</v>
      </c>
      <c r="L72" s="28"/>
      <c r="M72" s="28"/>
      <c r="N72" s="21"/>
      <c r="O72" s="21"/>
      <c r="P72" s="21"/>
      <c r="Q72" s="29"/>
      <c r="S72" s="66" t="s">
        <v>109</v>
      </c>
      <c r="T72" s="74">
        <v>0</v>
      </c>
      <c r="U72" s="28"/>
      <c r="V72" s="28"/>
      <c r="W72" s="21"/>
      <c r="X72" s="21"/>
      <c r="Y72" s="21"/>
      <c r="Z72" s="29"/>
      <c r="AB72" s="66" t="s">
        <v>109</v>
      </c>
      <c r="AC72" s="74">
        <v>0</v>
      </c>
      <c r="AD72" s="28"/>
      <c r="AE72" s="28"/>
      <c r="AF72" s="21"/>
      <c r="AG72" s="21"/>
      <c r="AH72" s="21"/>
      <c r="AI72" s="29"/>
    </row>
    <row r="73" spans="1:35">
      <c r="A73" s="68" t="s">
        <v>110</v>
      </c>
      <c r="B73" s="65">
        <v>0</v>
      </c>
      <c r="C73" s="28"/>
      <c r="D73" s="28"/>
      <c r="E73" s="21"/>
      <c r="F73" s="21"/>
      <c r="G73" s="21"/>
      <c r="H73" s="29"/>
      <c r="J73" s="68" t="s">
        <v>110</v>
      </c>
      <c r="K73" s="65">
        <v>0</v>
      </c>
      <c r="L73" s="28"/>
      <c r="M73" s="28"/>
      <c r="N73" s="21"/>
      <c r="O73" s="21"/>
      <c r="P73" s="21"/>
      <c r="Q73" s="29"/>
      <c r="S73" s="68" t="s">
        <v>110</v>
      </c>
      <c r="T73" s="65">
        <v>0</v>
      </c>
      <c r="U73" s="28"/>
      <c r="V73" s="28"/>
      <c r="W73" s="21"/>
      <c r="X73" s="21"/>
      <c r="Y73" s="21"/>
      <c r="Z73" s="29"/>
      <c r="AB73" s="68" t="s">
        <v>110</v>
      </c>
      <c r="AC73" s="65">
        <v>0</v>
      </c>
      <c r="AD73" s="28"/>
      <c r="AE73" s="28"/>
      <c r="AF73" s="21"/>
      <c r="AG73" s="21"/>
      <c r="AH73" s="21"/>
      <c r="AI73" s="29"/>
    </row>
    <row r="74" spans="1:35">
      <c r="A74" s="49" t="s">
        <v>111</v>
      </c>
      <c r="B74" s="57">
        <f>B73*K29</f>
        <v>0</v>
      </c>
      <c r="C74" s="28"/>
      <c r="D74" s="28">
        <f>B74+B72</f>
        <v>0</v>
      </c>
      <c r="E74" s="21"/>
      <c r="F74" s="21"/>
      <c r="G74" s="21"/>
      <c r="H74" s="29"/>
      <c r="J74" s="49" t="s">
        <v>111</v>
      </c>
      <c r="K74" s="57">
        <f>K73*K29</f>
        <v>0</v>
      </c>
      <c r="L74" s="28"/>
      <c r="M74" s="28">
        <f>K74+K72</f>
        <v>0</v>
      </c>
      <c r="N74" s="21"/>
      <c r="O74" s="21"/>
      <c r="P74" s="21"/>
      <c r="Q74" s="29"/>
      <c r="S74" s="49" t="s">
        <v>111</v>
      </c>
      <c r="T74" s="57">
        <f>T73*K29</f>
        <v>0</v>
      </c>
      <c r="U74" s="28"/>
      <c r="V74" s="28">
        <f>T74+T72</f>
        <v>0</v>
      </c>
      <c r="W74" s="21"/>
      <c r="X74" s="21"/>
      <c r="Y74" s="21"/>
      <c r="Z74" s="29"/>
      <c r="AB74" s="49" t="s">
        <v>111</v>
      </c>
      <c r="AC74" s="57">
        <f>AC73*K29</f>
        <v>0</v>
      </c>
      <c r="AD74" s="28"/>
      <c r="AE74" s="28">
        <f>AC74+AC72</f>
        <v>0</v>
      </c>
      <c r="AF74" s="21"/>
      <c r="AG74" s="21"/>
      <c r="AH74" s="21"/>
      <c r="AI74" s="29"/>
    </row>
    <row r="75" spans="1:35">
      <c r="A75" s="68" t="s">
        <v>112</v>
      </c>
      <c r="B75" s="65">
        <v>0</v>
      </c>
      <c r="C75" s="28"/>
      <c r="D75" s="28">
        <f>B75</f>
        <v>0</v>
      </c>
      <c r="E75" s="21"/>
      <c r="F75" s="21"/>
      <c r="G75" s="21"/>
      <c r="H75" s="29"/>
      <c r="J75" s="68" t="s">
        <v>112</v>
      </c>
      <c r="K75" s="65">
        <v>0</v>
      </c>
      <c r="L75" s="28"/>
      <c r="M75" s="28">
        <f>K75</f>
        <v>0</v>
      </c>
      <c r="N75" s="21"/>
      <c r="O75" s="21"/>
      <c r="P75" s="21"/>
      <c r="Q75" s="29"/>
      <c r="S75" s="68" t="s">
        <v>112</v>
      </c>
      <c r="T75" s="65">
        <v>0</v>
      </c>
      <c r="U75" s="28"/>
      <c r="V75" s="28">
        <f>T75</f>
        <v>0</v>
      </c>
      <c r="W75" s="21"/>
      <c r="X75" s="21"/>
      <c r="Y75" s="21"/>
      <c r="Z75" s="29"/>
      <c r="AB75" s="68" t="s">
        <v>112</v>
      </c>
      <c r="AC75" s="65">
        <v>0</v>
      </c>
      <c r="AD75" s="28"/>
      <c r="AE75" s="28">
        <f>AC75</f>
        <v>0</v>
      </c>
      <c r="AF75" s="21"/>
      <c r="AG75" s="21"/>
      <c r="AH75" s="21"/>
      <c r="AI75" s="29"/>
    </row>
    <row r="76" spans="1:35">
      <c r="A76" s="70" t="s">
        <v>113</v>
      </c>
      <c r="B76" s="75">
        <v>0</v>
      </c>
      <c r="C76" s="28"/>
      <c r="D76" s="28">
        <f>B76</f>
        <v>0</v>
      </c>
      <c r="E76" s="21"/>
      <c r="F76" s="28"/>
      <c r="G76" s="21"/>
      <c r="H76" s="29"/>
      <c r="J76" s="70" t="s">
        <v>113</v>
      </c>
      <c r="K76" s="75">
        <v>0</v>
      </c>
      <c r="L76" s="28"/>
      <c r="M76" s="28">
        <f>K76</f>
        <v>0</v>
      </c>
      <c r="N76" s="21"/>
      <c r="O76" s="21"/>
      <c r="P76" s="21"/>
      <c r="Q76" s="29"/>
      <c r="S76" s="70" t="s">
        <v>113</v>
      </c>
      <c r="T76" s="75">
        <v>0</v>
      </c>
      <c r="U76" s="28"/>
      <c r="V76" s="28">
        <f>T76</f>
        <v>0</v>
      </c>
      <c r="W76" s="21"/>
      <c r="X76" s="21"/>
      <c r="Y76" s="21"/>
      <c r="Z76" s="29"/>
      <c r="AB76" s="70" t="s">
        <v>113</v>
      </c>
      <c r="AC76" s="75">
        <v>0</v>
      </c>
      <c r="AD76" s="28"/>
      <c r="AE76" s="28">
        <f>AC76</f>
        <v>0</v>
      </c>
      <c r="AF76" s="21"/>
      <c r="AG76" s="21"/>
      <c r="AH76" s="21"/>
      <c r="AI76" s="29"/>
    </row>
    <row r="77" spans="1:35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  <c r="J77" s="76" t="s">
        <v>114</v>
      </c>
      <c r="K77" s="77">
        <f>SUM(M65:M76)</f>
        <v>0</v>
      </c>
      <c r="L77" s="28"/>
      <c r="M77" s="28"/>
      <c r="N77" s="21"/>
      <c r="O77" s="21"/>
      <c r="P77" s="21"/>
      <c r="Q77" s="29"/>
      <c r="S77" s="76" t="s">
        <v>114</v>
      </c>
      <c r="T77" s="77">
        <f>SUM(V65:V76)</f>
        <v>0</v>
      </c>
      <c r="U77" s="28"/>
      <c r="V77" s="28"/>
      <c r="W77" s="21"/>
      <c r="X77" s="21"/>
      <c r="Y77" s="21"/>
      <c r="Z77" s="29"/>
      <c r="AB77" s="76" t="s">
        <v>114</v>
      </c>
      <c r="AC77" s="77">
        <f>SUM(AE65:AE76)</f>
        <v>0</v>
      </c>
      <c r="AD77" s="28"/>
      <c r="AE77" s="28"/>
      <c r="AF77" s="21"/>
      <c r="AG77" s="21"/>
      <c r="AH77" s="21"/>
      <c r="AI77" s="29"/>
    </row>
    <row r="78" spans="1:35">
      <c r="A78" s="27" t="s">
        <v>115</v>
      </c>
      <c r="B78" s="29">
        <f>B77/K29</f>
        <v>0</v>
      </c>
      <c r="C78" s="28"/>
      <c r="D78" s="28"/>
      <c r="E78" s="21"/>
      <c r="F78" s="21"/>
      <c r="G78" s="21"/>
      <c r="H78" s="29"/>
      <c r="J78" s="27" t="s">
        <v>115</v>
      </c>
      <c r="K78" s="29">
        <f>K77/K29</f>
        <v>0</v>
      </c>
      <c r="L78" s="28"/>
      <c r="M78" s="28"/>
      <c r="N78" s="21"/>
      <c r="O78" s="21"/>
      <c r="P78" s="21"/>
      <c r="Q78" s="29"/>
      <c r="S78" s="27" t="s">
        <v>115</v>
      </c>
      <c r="T78" s="29">
        <f>T77/K29</f>
        <v>0</v>
      </c>
      <c r="U78" s="28"/>
      <c r="V78" s="28"/>
      <c r="W78" s="21"/>
      <c r="X78" s="21"/>
      <c r="Y78" s="21"/>
      <c r="Z78" s="29"/>
      <c r="AB78" s="27" t="s">
        <v>115</v>
      </c>
      <c r="AC78" s="29">
        <f>AC77/K29</f>
        <v>0</v>
      </c>
      <c r="AD78" s="28"/>
      <c r="AE78" s="28"/>
      <c r="AF78" s="21"/>
      <c r="AG78" s="21"/>
      <c r="AH78" s="21"/>
      <c r="AI78" s="29"/>
    </row>
    <row r="79" spans="1:35">
      <c r="A79" s="78" t="s">
        <v>116</v>
      </c>
      <c r="B79" s="52">
        <f>K47</f>
        <v>571.22629200937934</v>
      </c>
      <c r="C79" s="28"/>
      <c r="D79" s="28"/>
      <c r="E79" s="21"/>
      <c r="F79" s="21"/>
      <c r="G79" s="21"/>
      <c r="H79" s="29"/>
      <c r="J79" s="78" t="s">
        <v>116</v>
      </c>
      <c r="K79" s="52">
        <f>K47</f>
        <v>571.22629200937934</v>
      </c>
      <c r="L79" s="28"/>
      <c r="M79" s="28"/>
      <c r="N79" s="21"/>
      <c r="O79" s="21"/>
      <c r="P79" s="21"/>
      <c r="Q79" s="29"/>
      <c r="S79" s="78" t="s">
        <v>116</v>
      </c>
      <c r="T79" s="52">
        <f>B52</f>
        <v>571.22629200937934</v>
      </c>
      <c r="U79" s="28"/>
      <c r="V79" s="28"/>
      <c r="W79" s="21"/>
      <c r="X79" s="21"/>
      <c r="Y79" s="21"/>
      <c r="Z79" s="29"/>
      <c r="AB79" s="78" t="s">
        <v>116</v>
      </c>
      <c r="AC79" s="52">
        <f>B52</f>
        <v>571.22629200937934</v>
      </c>
      <c r="AD79" s="28"/>
      <c r="AE79" s="28"/>
      <c r="AF79" s="21"/>
      <c r="AG79" s="21"/>
      <c r="AH79" s="21"/>
      <c r="AI79" s="29"/>
    </row>
    <row r="80" spans="1:35">
      <c r="A80" s="27"/>
      <c r="B80" s="28"/>
      <c r="C80" s="28"/>
      <c r="D80" s="28"/>
      <c r="E80" s="21"/>
      <c r="F80" s="21"/>
      <c r="G80" s="21"/>
      <c r="H80" s="29"/>
      <c r="J80" s="27"/>
      <c r="K80" s="28"/>
      <c r="L80" s="28"/>
      <c r="M80" s="28"/>
      <c r="N80" s="21"/>
      <c r="O80" s="21"/>
      <c r="P80" s="21"/>
      <c r="Q80" s="29"/>
      <c r="S80" s="27"/>
      <c r="T80" s="28"/>
      <c r="U80" s="28"/>
      <c r="V80" s="28"/>
      <c r="W80" s="21"/>
      <c r="X80" s="21"/>
      <c r="Y80" s="21"/>
      <c r="Z80" s="29"/>
      <c r="AB80" s="27"/>
      <c r="AC80" s="28"/>
      <c r="AD80" s="28"/>
      <c r="AE80" s="28"/>
      <c r="AF80" s="21"/>
      <c r="AG80" s="21"/>
      <c r="AH80" s="21"/>
      <c r="AI80" s="29"/>
    </row>
    <row r="81" spans="1:35">
      <c r="A81" s="22" t="s">
        <v>117</v>
      </c>
      <c r="B81" s="24">
        <f>G158</f>
        <v>23920.003999999997</v>
      </c>
      <c r="C81" s="28"/>
      <c r="D81" s="28"/>
      <c r="E81" s="21"/>
      <c r="F81" s="22" t="s">
        <v>117</v>
      </c>
      <c r="G81" s="24">
        <f>G158</f>
        <v>23920.003999999997</v>
      </c>
      <c r="H81" s="29"/>
      <c r="J81" s="22" t="s">
        <v>117</v>
      </c>
      <c r="K81" s="24" t="e">
        <f>P158</f>
        <v>#VALUE!</v>
      </c>
      <c r="L81" s="28"/>
      <c r="M81" s="28"/>
      <c r="N81" s="21"/>
      <c r="O81" s="21"/>
      <c r="P81" s="21"/>
      <c r="Q81" s="29"/>
      <c r="S81" s="22" t="s">
        <v>117</v>
      </c>
      <c r="T81" s="24" t="e">
        <f>Y158</f>
        <v>#VALUE!</v>
      </c>
      <c r="U81" s="28"/>
      <c r="V81" s="28"/>
      <c r="W81" s="21"/>
      <c r="X81" s="21"/>
      <c r="Y81" s="21"/>
      <c r="Z81" s="29"/>
      <c r="AB81" s="22" t="s">
        <v>117</v>
      </c>
      <c r="AC81" s="24" t="e">
        <f>AH158</f>
        <v>#VALUE!</v>
      </c>
      <c r="AD81" s="28"/>
      <c r="AE81" s="28"/>
      <c r="AF81" s="21"/>
      <c r="AG81" s="21"/>
      <c r="AH81" s="21"/>
      <c r="AI81" s="29"/>
    </row>
    <row r="82" spans="1:35">
      <c r="A82" s="27" t="s">
        <v>118</v>
      </c>
      <c r="B82" s="29">
        <f>IF(A111="YES",A40,0)</f>
        <v>0</v>
      </c>
      <c r="C82" s="28"/>
      <c r="D82" s="28"/>
      <c r="E82" s="21"/>
      <c r="F82" s="27" t="s">
        <v>118</v>
      </c>
      <c r="G82" s="29">
        <f>IF(A111="YES",A40,0)</f>
        <v>0</v>
      </c>
      <c r="H82" s="29"/>
      <c r="J82" s="27" t="s">
        <v>118</v>
      </c>
      <c r="K82" s="29">
        <f>IF(J111="YES",A40,0)</f>
        <v>0</v>
      </c>
      <c r="L82" s="28"/>
      <c r="M82" s="28"/>
      <c r="N82" s="21"/>
      <c r="O82" s="21"/>
      <c r="P82" s="21"/>
      <c r="Q82" s="29"/>
      <c r="S82" s="27" t="s">
        <v>118</v>
      </c>
      <c r="T82" s="29">
        <f>A40</f>
        <v>0</v>
      </c>
      <c r="U82" s="28"/>
      <c r="V82" s="28"/>
      <c r="W82" s="21"/>
      <c r="X82" s="21"/>
      <c r="Y82" s="21"/>
      <c r="Z82" s="29"/>
      <c r="AB82" s="27" t="s">
        <v>118</v>
      </c>
      <c r="AC82" s="29">
        <f>A40</f>
        <v>0</v>
      </c>
      <c r="AD82" s="28"/>
      <c r="AE82" s="28"/>
      <c r="AF82" s="21"/>
      <c r="AG82" s="21"/>
      <c r="AH82" s="21"/>
      <c r="AI82" s="29"/>
    </row>
    <row r="83" spans="1:35">
      <c r="A83" s="27" t="s">
        <v>119</v>
      </c>
      <c r="B83" s="79">
        <f>B62+B63+B64</f>
        <v>0.12000000000000001</v>
      </c>
      <c r="C83" s="28"/>
      <c r="D83" s="28"/>
      <c r="E83" s="21"/>
      <c r="F83" s="27" t="s">
        <v>119</v>
      </c>
      <c r="G83" s="79">
        <f>B63</f>
        <v>7.0000000000000007E-2</v>
      </c>
      <c r="H83" s="29"/>
      <c r="J83" s="27" t="s">
        <v>119</v>
      </c>
      <c r="K83" s="72">
        <f>K62+K63+K64</f>
        <v>0.24000000000000002</v>
      </c>
      <c r="L83" s="28"/>
      <c r="M83" s="28"/>
      <c r="N83" s="21"/>
      <c r="O83" s="21"/>
      <c r="P83" s="21"/>
      <c r="Q83" s="29"/>
      <c r="S83" s="27" t="s">
        <v>119</v>
      </c>
      <c r="T83" s="72">
        <f>T62+T63+T64</f>
        <v>0.13100000000000001</v>
      </c>
      <c r="U83" s="28"/>
      <c r="V83" s="28"/>
      <c r="W83" s="21"/>
      <c r="X83" s="21"/>
      <c r="Y83" s="21"/>
      <c r="Z83" s="29"/>
      <c r="AB83" s="27" t="s">
        <v>119</v>
      </c>
      <c r="AC83" s="72">
        <f>AC62+AC63+AC64</f>
        <v>0.13100000000000001</v>
      </c>
      <c r="AD83" s="28"/>
      <c r="AE83" s="28"/>
      <c r="AF83" s="21"/>
      <c r="AG83" s="21"/>
      <c r="AH83" s="21"/>
      <c r="AI83" s="29"/>
    </row>
    <row r="84" spans="1:35">
      <c r="A84" s="27" t="s">
        <v>120</v>
      </c>
      <c r="B84" s="72">
        <f>B83/12</f>
        <v>0.01</v>
      </c>
      <c r="C84" s="28"/>
      <c r="D84" s="28"/>
      <c r="E84" s="21"/>
      <c r="F84" s="27" t="s">
        <v>120</v>
      </c>
      <c r="G84" s="72">
        <f>G83/12</f>
        <v>5.8333333333333336E-3</v>
      </c>
      <c r="H84" s="29"/>
      <c r="J84" s="27" t="s">
        <v>120</v>
      </c>
      <c r="K84" s="72">
        <f>K83/12</f>
        <v>0.02</v>
      </c>
      <c r="L84" s="28"/>
      <c r="M84" s="28"/>
      <c r="N84" s="21"/>
      <c r="O84" s="21"/>
      <c r="P84" s="21"/>
      <c r="Q84" s="29"/>
      <c r="S84" s="27" t="s">
        <v>120</v>
      </c>
      <c r="T84" s="72">
        <f>T83/12</f>
        <v>1.0916666666666667E-2</v>
      </c>
      <c r="U84" s="28"/>
      <c r="V84" s="28"/>
      <c r="W84" s="21"/>
      <c r="X84" s="21"/>
      <c r="Y84" s="21"/>
      <c r="Z84" s="29"/>
      <c r="AB84" s="27" t="s">
        <v>120</v>
      </c>
      <c r="AC84" s="72">
        <f>AC83/12</f>
        <v>1.0916666666666667E-2</v>
      </c>
      <c r="AD84" s="28"/>
      <c r="AE84" s="28"/>
      <c r="AF84" s="21"/>
      <c r="AG84" s="21"/>
      <c r="AH84" s="21"/>
      <c r="AI84" s="29"/>
    </row>
    <row r="85" spans="1:35">
      <c r="A85" s="27" t="s">
        <v>121</v>
      </c>
      <c r="B85" s="29">
        <f>B59</f>
        <v>35</v>
      </c>
      <c r="C85" s="28"/>
      <c r="D85" s="28"/>
      <c r="E85" s="21"/>
      <c r="F85" s="27" t="s">
        <v>121</v>
      </c>
      <c r="G85" s="29">
        <f>B59</f>
        <v>35</v>
      </c>
      <c r="H85" s="29"/>
      <c r="J85" s="27" t="s">
        <v>121</v>
      </c>
      <c r="K85" s="29">
        <f>IF(K82=0,(K59+K58),(K59))</f>
        <v>36</v>
      </c>
      <c r="L85" s="28"/>
      <c r="M85" s="28"/>
      <c r="N85" s="21"/>
      <c r="O85" s="21"/>
      <c r="P85" s="21"/>
      <c r="Q85" s="29"/>
      <c r="S85" s="27" t="s">
        <v>121</v>
      </c>
      <c r="T85" s="29">
        <f>T59</f>
        <v>35</v>
      </c>
      <c r="U85" s="28"/>
      <c r="V85" s="28"/>
      <c r="W85" s="21"/>
      <c r="X85" s="21"/>
      <c r="Y85" s="21"/>
      <c r="Z85" s="29"/>
      <c r="AB85" s="27" t="s">
        <v>121</v>
      </c>
      <c r="AC85" s="29">
        <f>AC59</f>
        <v>35</v>
      </c>
      <c r="AD85" s="28"/>
      <c r="AE85" s="28"/>
      <c r="AF85" s="21"/>
      <c r="AG85" s="21"/>
      <c r="AH85" s="21"/>
      <c r="AI85" s="29"/>
    </row>
    <row r="86" spans="1:35">
      <c r="A86" s="27" t="s">
        <v>122</v>
      </c>
      <c r="B86" s="29">
        <f>(B82/((1+B84)^(B85+1)))</f>
        <v>0</v>
      </c>
      <c r="C86" s="28"/>
      <c r="D86" s="28"/>
      <c r="E86" s="21"/>
      <c r="F86" s="27" t="s">
        <v>122</v>
      </c>
      <c r="G86" s="29">
        <f>(G82/((1+G84)^(G85+1)))</f>
        <v>0</v>
      </c>
      <c r="H86" s="29"/>
      <c r="J86" s="27" t="s">
        <v>122</v>
      </c>
      <c r="K86" s="29">
        <f>(K82/((1+K84)^(K85+1)))</f>
        <v>0</v>
      </c>
      <c r="L86" s="28"/>
      <c r="M86" s="28"/>
      <c r="N86" s="21"/>
      <c r="O86" s="21"/>
      <c r="P86" s="21"/>
      <c r="Q86" s="29"/>
      <c r="S86" s="27" t="s">
        <v>122</v>
      </c>
      <c r="T86" s="29">
        <f>(T82/((1+T84)^(T85+1)))</f>
        <v>0</v>
      </c>
      <c r="U86" s="28"/>
      <c r="V86" s="28"/>
      <c r="W86" s="21"/>
      <c r="X86" s="21"/>
      <c r="Y86" s="21"/>
      <c r="Z86" s="29"/>
      <c r="AB86" s="27" t="s">
        <v>122</v>
      </c>
      <c r="AC86" s="29">
        <f>(AC82/((1+AC84)^(AC85+1)))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123</v>
      </c>
      <c r="B87" s="29">
        <f>((1-(1/((1+B84)^B85)))/B84)</f>
        <v>29.408580087646861</v>
      </c>
      <c r="C87" s="28"/>
      <c r="D87" s="28"/>
      <c r="E87" s="21"/>
      <c r="F87" s="27" t="s">
        <v>123</v>
      </c>
      <c r="G87" s="29">
        <f>((1-(1/((1+G84)^G85)))/G84)</f>
        <v>31.575385494267696</v>
      </c>
      <c r="H87" s="29"/>
      <c r="J87" s="27" t="s">
        <v>123</v>
      </c>
      <c r="K87" s="29">
        <f>((1-(1/((1+K84)^K85)))/K84)</f>
        <v>25.488842482387387</v>
      </c>
      <c r="L87" s="28"/>
      <c r="M87" s="28"/>
      <c r="N87" s="21"/>
      <c r="O87" s="21"/>
      <c r="P87" s="21"/>
      <c r="Q87" s="29"/>
      <c r="S87" s="27" t="s">
        <v>123</v>
      </c>
      <c r="T87" s="29">
        <f>((1-(1/((1+T84)^T85)))/T84)</f>
        <v>28.960065194107752</v>
      </c>
      <c r="U87" s="28"/>
      <c r="V87" s="28"/>
      <c r="W87" s="21"/>
      <c r="X87" s="21"/>
      <c r="Y87" s="21"/>
      <c r="Z87" s="29"/>
      <c r="AB87" s="27" t="s">
        <v>123</v>
      </c>
      <c r="AC87" s="29">
        <f>((1-(1/((1+AC84)^AC85)))/AC84)</f>
        <v>28.960065194107752</v>
      </c>
      <c r="AD87" s="28"/>
      <c r="AE87" s="28"/>
      <c r="AF87" s="21"/>
      <c r="AG87" s="21"/>
      <c r="AH87" s="21"/>
      <c r="AI87" s="29"/>
    </row>
    <row r="88" spans="1:35">
      <c r="A88" s="27" t="s">
        <v>124</v>
      </c>
      <c r="B88" s="29">
        <f>B81-B86</f>
        <v>23920.003999999997</v>
      </c>
      <c r="C88" s="28"/>
      <c r="D88" s="28"/>
      <c r="E88" s="21"/>
      <c r="F88" s="27" t="s">
        <v>124</v>
      </c>
      <c r="G88" s="29">
        <f>G81-G86</f>
        <v>23920.003999999997</v>
      </c>
      <c r="H88" s="29"/>
      <c r="J88" s="27" t="s">
        <v>124</v>
      </c>
      <c r="K88" s="29" t="e">
        <f>K81-K86</f>
        <v>#VALUE!</v>
      </c>
      <c r="L88" s="28"/>
      <c r="M88" s="28"/>
      <c r="N88" s="21"/>
      <c r="O88" s="21"/>
      <c r="P88" s="21"/>
      <c r="Q88" s="29"/>
      <c r="S88" s="27" t="s">
        <v>124</v>
      </c>
      <c r="T88" s="29" t="e">
        <f>T81-T86</f>
        <v>#VALUE!</v>
      </c>
      <c r="U88" s="28"/>
      <c r="V88" s="28"/>
      <c r="W88" s="21"/>
      <c r="X88" s="21"/>
      <c r="Y88" s="21"/>
      <c r="Z88" s="29"/>
      <c r="AB88" s="27" t="s">
        <v>124</v>
      </c>
      <c r="AC88" s="29" t="e">
        <f>AC81-AC86</f>
        <v>#VALUE!</v>
      </c>
      <c r="AD88" s="28"/>
      <c r="AE88" s="28"/>
      <c r="AF88" s="21"/>
      <c r="AG88" s="21"/>
      <c r="AH88" s="21"/>
      <c r="AI88" s="29"/>
    </row>
    <row r="89" spans="1:35">
      <c r="A89" s="27" t="s">
        <v>125</v>
      </c>
      <c r="B89" s="29">
        <f>(B88/B87)</f>
        <v>813.36820508541473</v>
      </c>
      <c r="C89" s="28"/>
      <c r="D89" s="28"/>
      <c r="E89" s="21"/>
      <c r="F89" s="27" t="s">
        <v>125</v>
      </c>
      <c r="G89" s="29">
        <f>(G88/G87)</f>
        <v>757.55223968184066</v>
      </c>
      <c r="H89" s="29"/>
      <c r="J89" s="27" t="s">
        <v>125</v>
      </c>
      <c r="K89" s="29" t="e">
        <f>(K88/K87)</f>
        <v>#VALUE!</v>
      </c>
      <c r="L89" s="28"/>
      <c r="M89" s="28"/>
      <c r="N89" s="21"/>
      <c r="O89" s="21"/>
      <c r="P89" s="21"/>
      <c r="Q89" s="29"/>
      <c r="S89" s="27" t="s">
        <v>125</v>
      </c>
      <c r="T89" s="29" t="e">
        <f>(T88/T87)</f>
        <v>#VALUE!</v>
      </c>
      <c r="U89" s="28"/>
      <c r="V89" s="28"/>
      <c r="W89" s="21"/>
      <c r="X89" s="21"/>
      <c r="Y89" s="21"/>
      <c r="Z89" s="29"/>
      <c r="AB89" s="27" t="s">
        <v>125</v>
      </c>
      <c r="AC89" s="29" t="e">
        <f>(AC88/AC87)</f>
        <v>#VALUE!</v>
      </c>
      <c r="AD89" s="28"/>
      <c r="AE89" s="28"/>
      <c r="AF89" s="21"/>
      <c r="AG89" s="21"/>
      <c r="AH89" s="21"/>
      <c r="AI89" s="29"/>
    </row>
    <row r="90" spans="1:35">
      <c r="A90" s="27" t="s">
        <v>126</v>
      </c>
      <c r="B90" s="29">
        <f>((B89*(B85))+B77)</f>
        <v>28467.887177989516</v>
      </c>
      <c r="C90" s="28"/>
      <c r="D90" s="28"/>
      <c r="E90" s="21"/>
      <c r="F90" s="27" t="s">
        <v>126</v>
      </c>
      <c r="G90" s="29">
        <f>((G89*(G85))+G77)</f>
        <v>26514.328388864422</v>
      </c>
      <c r="H90" s="29"/>
      <c r="J90" s="27" t="s">
        <v>126</v>
      </c>
      <c r="K90" s="29" t="e">
        <f>((K89*(K85))+K77)</f>
        <v>#VALUE!</v>
      </c>
      <c r="L90" s="28"/>
      <c r="M90" s="28"/>
      <c r="N90" s="21"/>
      <c r="O90" s="21"/>
      <c r="P90" s="21"/>
      <c r="Q90" s="29"/>
      <c r="S90" s="27" t="s">
        <v>126</v>
      </c>
      <c r="T90" s="29" t="e">
        <f>(T89*(T85))+T77</f>
        <v>#VALUE!</v>
      </c>
      <c r="U90" s="28"/>
      <c r="V90" s="28"/>
      <c r="W90" s="21"/>
      <c r="X90" s="21"/>
      <c r="Y90" s="21"/>
      <c r="Z90" s="29"/>
      <c r="AB90" s="27" t="s">
        <v>126</v>
      </c>
      <c r="AC90" s="29" t="e">
        <f>(AC89*(AC59))+AC77</f>
        <v>#VALUE!</v>
      </c>
      <c r="AD90" s="28"/>
      <c r="AE90" s="28"/>
      <c r="AF90" s="21"/>
      <c r="AG90" s="21"/>
      <c r="AH90" s="21"/>
      <c r="AI90" s="29"/>
    </row>
    <row r="91" spans="1:35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  <c r="J91" s="27" t="s">
        <v>127</v>
      </c>
      <c r="K91" s="29" t="e">
        <f>(K90/(1-K71))*K71</f>
        <v>#VALUE!</v>
      </c>
      <c r="L91" s="28"/>
      <c r="M91" s="28"/>
      <c r="N91" s="21"/>
      <c r="O91" s="21"/>
      <c r="P91" s="21"/>
      <c r="Q91" s="29"/>
      <c r="S91" s="27" t="s">
        <v>127</v>
      </c>
      <c r="T91" s="29" t="e">
        <f>(T90/(1-T71))*T71</f>
        <v>#VALUE!</v>
      </c>
      <c r="U91" s="28"/>
      <c r="V91" s="28"/>
      <c r="W91" s="21"/>
      <c r="X91" s="21"/>
      <c r="Y91" s="21"/>
      <c r="Z91" s="29"/>
      <c r="AB91" s="27" t="s">
        <v>127</v>
      </c>
      <c r="AC91" s="29" t="e">
        <f>(AC90/(1-AC71))*AC71</f>
        <v>#VALUE!</v>
      </c>
      <c r="AD91" s="28"/>
      <c r="AE91" s="28"/>
      <c r="AF91" s="21"/>
      <c r="AG91" s="21"/>
      <c r="AH91" s="21"/>
      <c r="AI91" s="29"/>
    </row>
    <row r="92" spans="1:35">
      <c r="A92" s="49" t="s">
        <v>128</v>
      </c>
      <c r="B92" s="57">
        <f>(B90+B91)</f>
        <v>28467.887177989516</v>
      </c>
      <c r="C92" s="28"/>
      <c r="D92" s="28"/>
      <c r="E92" s="21"/>
      <c r="F92" s="49" t="s">
        <v>128</v>
      </c>
      <c r="G92" s="57">
        <f>(G90+G91)</f>
        <v>26514.328388864422</v>
      </c>
      <c r="H92" s="29"/>
      <c r="J92" s="49" t="s">
        <v>128</v>
      </c>
      <c r="K92" s="57" t="e">
        <f>(K90+K91)</f>
        <v>#VALUE!</v>
      </c>
      <c r="L92" s="28"/>
      <c r="M92" s="28"/>
      <c r="N92" s="21"/>
      <c r="O92" s="21"/>
      <c r="P92" s="21"/>
      <c r="Q92" s="29"/>
      <c r="S92" s="49" t="s">
        <v>128</v>
      </c>
      <c r="T92" s="57" t="e">
        <f>(T90+T91)</f>
        <v>#VALUE!</v>
      </c>
      <c r="U92" s="28"/>
      <c r="V92" s="28"/>
      <c r="W92" s="21"/>
      <c r="X92" s="21"/>
      <c r="Y92" s="21"/>
      <c r="Z92" s="29"/>
      <c r="AB92" s="49" t="s">
        <v>128</v>
      </c>
      <c r="AC92" s="57" t="e">
        <f>(AC90+AC91)</f>
        <v>#VALUE!</v>
      </c>
      <c r="AD92" s="28"/>
      <c r="AE92" s="28"/>
      <c r="AF92" s="21"/>
      <c r="AG92" s="21"/>
      <c r="AH92" s="21"/>
      <c r="AI92" s="29"/>
    </row>
    <row r="93" spans="1:35">
      <c r="A93" s="27"/>
      <c r="B93" s="28"/>
      <c r="C93" s="28"/>
      <c r="D93" s="28"/>
      <c r="E93" s="21"/>
      <c r="F93" s="27"/>
      <c r="G93" s="28"/>
      <c r="H93" s="29"/>
      <c r="J93" s="27"/>
      <c r="K93" s="28"/>
      <c r="L93" s="28"/>
      <c r="M93" s="28"/>
      <c r="N93" s="21"/>
      <c r="O93" s="21"/>
      <c r="P93" s="21"/>
      <c r="Q93" s="29"/>
      <c r="S93" s="27"/>
      <c r="T93" s="28"/>
      <c r="U93" s="28"/>
      <c r="V93" s="28"/>
      <c r="W93" s="21"/>
      <c r="X93" s="21"/>
      <c r="Y93" s="21"/>
      <c r="Z93" s="29"/>
      <c r="AB93" s="27"/>
      <c r="AC93" s="28"/>
      <c r="AD93" s="28"/>
      <c r="AE93" s="28"/>
      <c r="AF93" s="21"/>
      <c r="AG93" s="21"/>
      <c r="AH93" s="21"/>
      <c r="AI93" s="29"/>
    </row>
    <row r="94" spans="1:35">
      <c r="A94" s="76" t="s">
        <v>129</v>
      </c>
      <c r="B94" s="80" t="str">
        <f>IF(B26="YES",((E40/B85)*(1+A108)*(C45/100)),"0")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  <c r="J94" s="76" t="s">
        <v>129</v>
      </c>
      <c r="K94" s="77">
        <f>((E40/K85)*(1+J108))*1.2</f>
        <v>0</v>
      </c>
      <c r="L94" s="28"/>
      <c r="M94" s="28"/>
      <c r="N94" s="21"/>
      <c r="O94" s="21"/>
      <c r="P94" s="21"/>
      <c r="Q94" s="29"/>
      <c r="S94" s="76" t="s">
        <v>129</v>
      </c>
      <c r="T94" s="77">
        <f>((E40/T85)*(1+S108))</f>
        <v>0</v>
      </c>
      <c r="U94" s="28"/>
      <c r="V94" s="28"/>
      <c r="W94" s="21"/>
      <c r="X94" s="21"/>
      <c r="Y94" s="21"/>
      <c r="Z94" s="29"/>
      <c r="AB94" s="76" t="s">
        <v>129</v>
      </c>
      <c r="AC94" s="77">
        <f>((E40/AC85)*(1+AB108))*1.2</f>
        <v>0</v>
      </c>
      <c r="AD94" s="28"/>
      <c r="AE94" s="28"/>
      <c r="AF94" s="21"/>
      <c r="AG94" s="21"/>
      <c r="AH94" s="21"/>
      <c r="AI94" s="29"/>
    </row>
    <row r="95" spans="1:35">
      <c r="A95" s="81" t="s">
        <v>130</v>
      </c>
      <c r="B95" s="82">
        <f>(B92/B85)</f>
        <v>813.36820508541473</v>
      </c>
      <c r="C95" s="28"/>
      <c r="D95" s="28"/>
      <c r="E95" s="21"/>
      <c r="F95" s="81" t="s">
        <v>130</v>
      </c>
      <c r="G95" s="82">
        <f>G92/(G85)</f>
        <v>757.55223968184066</v>
      </c>
      <c r="H95" s="29"/>
      <c r="J95" s="81" t="s">
        <v>130</v>
      </c>
      <c r="K95" s="82" t="e">
        <f>K92/(K85)</f>
        <v>#VALUE!</v>
      </c>
      <c r="L95" s="28"/>
      <c r="M95" s="28"/>
      <c r="N95" s="21"/>
      <c r="O95" s="21"/>
      <c r="P95" s="21"/>
      <c r="Q95" s="29"/>
      <c r="S95" s="81" t="s">
        <v>130</v>
      </c>
      <c r="T95" s="82" t="e">
        <f>T92/(T85)</f>
        <v>#VALUE!</v>
      </c>
      <c r="U95" s="28"/>
      <c r="V95" s="28"/>
      <c r="W95" s="21"/>
      <c r="X95" s="21"/>
      <c r="Y95" s="21"/>
      <c r="Z95" s="29"/>
      <c r="AB95" s="81" t="s">
        <v>130</v>
      </c>
      <c r="AC95" s="82" t="e">
        <f>AC92/(AC59)</f>
        <v>#VALUE!</v>
      </c>
      <c r="AD95" s="28"/>
      <c r="AE95" s="28"/>
      <c r="AF95" s="21"/>
      <c r="AG95" s="21"/>
      <c r="AH95" s="21"/>
      <c r="AI95" s="29"/>
    </row>
    <row r="96" spans="1:35">
      <c r="A96" s="83" t="s">
        <v>131</v>
      </c>
      <c r="B96" s="84">
        <f>B94+B95</f>
        <v>813.36820508541473</v>
      </c>
      <c r="C96" s="28"/>
      <c r="D96" s="28"/>
      <c r="E96" s="21"/>
      <c r="F96" s="83" t="s">
        <v>131</v>
      </c>
      <c r="G96" s="84">
        <f>G94+G95</f>
        <v>757.55223968184066</v>
      </c>
      <c r="H96" s="29"/>
      <c r="J96" s="83" t="s">
        <v>131</v>
      </c>
      <c r="K96" s="84" t="e">
        <f>(K94+K95)</f>
        <v>#VALUE!</v>
      </c>
      <c r="L96" s="28"/>
      <c r="M96" s="28"/>
      <c r="N96" s="21"/>
      <c r="O96" s="21"/>
      <c r="P96" s="21"/>
      <c r="Q96" s="29"/>
      <c r="S96" s="83" t="s">
        <v>131</v>
      </c>
      <c r="T96" s="84" t="e">
        <f>T94+T95</f>
        <v>#VALUE!</v>
      </c>
      <c r="U96" s="28"/>
      <c r="V96" s="28"/>
      <c r="W96" s="21"/>
      <c r="X96" s="21"/>
      <c r="Y96" s="21"/>
      <c r="Z96" s="29"/>
      <c r="AB96" s="83" t="s">
        <v>131</v>
      </c>
      <c r="AC96" s="84" t="e">
        <f>AC94+AC95</f>
        <v>#VALUE!</v>
      </c>
      <c r="AD96" s="28"/>
      <c r="AE96" s="28"/>
      <c r="AF96" s="21"/>
      <c r="AG96" s="21"/>
      <c r="AH96" s="21"/>
      <c r="AI96" s="29"/>
    </row>
    <row r="97" spans="1:42">
      <c r="A97" s="49"/>
      <c r="B97" s="50"/>
      <c r="C97" s="50"/>
      <c r="D97" s="50"/>
      <c r="E97" s="85"/>
      <c r="F97" s="85"/>
      <c r="G97" s="85"/>
      <c r="H97" s="57"/>
      <c r="J97" s="49"/>
      <c r="K97" s="50"/>
      <c r="L97" s="50"/>
      <c r="M97" s="50"/>
      <c r="N97" s="85"/>
      <c r="O97" s="85"/>
      <c r="P97" s="85"/>
      <c r="Q97" s="57"/>
      <c r="S97" s="49"/>
      <c r="T97" s="50"/>
      <c r="U97" s="50"/>
      <c r="V97" s="50"/>
      <c r="W97" s="85"/>
      <c r="X97" s="85"/>
      <c r="Y97" s="85"/>
      <c r="Z97" s="57"/>
      <c r="AB97" s="49"/>
      <c r="AC97" s="50"/>
      <c r="AD97" s="50"/>
      <c r="AE97" s="50"/>
      <c r="AF97" s="85"/>
      <c r="AG97" s="85"/>
      <c r="AH97" s="85"/>
      <c r="AI97" s="57"/>
    </row>
    <row r="98" spans="1:42" ht="14.25">
      <c r="A98" s="21"/>
      <c r="B98" s="21"/>
      <c r="C98" s="21"/>
      <c r="D98" s="21"/>
      <c r="E98" s="21"/>
      <c r="F98" s="21"/>
      <c r="G98" s="21"/>
      <c r="H98" s="21"/>
      <c r="J98" s="21"/>
      <c r="K98" s="21"/>
      <c r="L98" s="21"/>
      <c r="M98" s="21"/>
      <c r="N98" s="21"/>
      <c r="O98" s="21"/>
      <c r="P98" s="21"/>
      <c r="Q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</row>
    <row r="99" spans="1:42" ht="14.25">
      <c r="A99" s="21"/>
      <c r="B99" s="21"/>
      <c r="C99" s="21"/>
      <c r="D99" s="21"/>
      <c r="E99" s="21"/>
      <c r="F99" s="21"/>
      <c r="G99" s="21"/>
      <c r="H99" s="21"/>
      <c r="J99" s="21"/>
      <c r="K99" s="21"/>
      <c r="L99" s="21"/>
      <c r="M99" s="21"/>
      <c r="N99" s="21"/>
      <c r="O99" s="21"/>
      <c r="P99" s="21"/>
      <c r="Q99" s="21"/>
      <c r="S99" s="21"/>
      <c r="T99" s="21"/>
      <c r="U99" s="21"/>
      <c r="V99" s="21"/>
      <c r="W99" s="21"/>
      <c r="X99" s="21"/>
      <c r="Y99" s="21"/>
      <c r="Z99" s="21"/>
      <c r="AB99" s="21"/>
      <c r="AC99" s="21"/>
      <c r="AD99" s="21"/>
      <c r="AE99" s="21"/>
      <c r="AF99" s="21"/>
      <c r="AG99" s="21"/>
      <c r="AH99" s="21"/>
      <c r="AI99" s="21"/>
    </row>
    <row r="100" spans="1:42" ht="47.25" customHeight="1">
      <c r="A100" s="344" t="s">
        <v>132</v>
      </c>
      <c r="B100" s="344"/>
      <c r="C100" s="344"/>
      <c r="D100" s="344"/>
      <c r="E100" s="344"/>
      <c r="F100" s="344"/>
      <c r="G100" s="344"/>
      <c r="H100" s="344"/>
      <c r="J100" s="344" t="s">
        <v>133</v>
      </c>
      <c r="K100" s="344"/>
      <c r="L100" s="344"/>
      <c r="M100" s="344"/>
      <c r="N100" s="344"/>
      <c r="O100" s="344"/>
      <c r="P100" s="344"/>
      <c r="Q100" s="344"/>
      <c r="S100" s="344" t="s">
        <v>134</v>
      </c>
      <c r="T100" s="344"/>
      <c r="U100" s="344"/>
      <c r="V100" s="344"/>
      <c r="W100" s="344"/>
      <c r="X100" s="344"/>
      <c r="Y100" s="344"/>
      <c r="Z100" s="344"/>
      <c r="AB100" s="344" t="s">
        <v>135</v>
      </c>
      <c r="AC100" s="344"/>
      <c r="AD100" s="344"/>
      <c r="AE100" s="344"/>
      <c r="AF100" s="344"/>
      <c r="AG100" s="344"/>
      <c r="AH100" s="344"/>
      <c r="AI100" s="344"/>
    </row>
    <row r="101" spans="1:42">
      <c r="A101" s="22"/>
      <c r="B101" s="23"/>
      <c r="C101" s="23"/>
      <c r="D101" s="23"/>
      <c r="E101" s="63"/>
      <c r="F101" s="63"/>
      <c r="G101" s="63"/>
      <c r="H101" s="87"/>
      <c r="J101" s="22"/>
      <c r="K101" s="23"/>
      <c r="L101" s="23"/>
      <c r="M101" s="23"/>
      <c r="N101" s="63"/>
      <c r="O101" s="63"/>
      <c r="P101" s="63"/>
      <c r="Q101" s="87"/>
      <c r="S101" s="22"/>
      <c r="T101" s="23"/>
      <c r="U101" s="23"/>
      <c r="V101" s="23"/>
      <c r="W101" s="63"/>
      <c r="X101" s="63"/>
      <c r="Y101" s="63"/>
      <c r="Z101" s="87"/>
      <c r="AB101" s="22"/>
      <c r="AC101" s="23"/>
      <c r="AD101" s="23"/>
      <c r="AE101" s="23"/>
      <c r="AF101" s="63"/>
      <c r="AG101" s="63"/>
      <c r="AH101" s="63"/>
      <c r="AI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35" t="s">
        <v>136</v>
      </c>
      <c r="K102" s="335"/>
      <c r="L102" s="335"/>
      <c r="M102" s="335"/>
      <c r="N102" s="335"/>
      <c r="O102" s="335"/>
      <c r="P102" s="335"/>
      <c r="Q102" s="335"/>
      <c r="S102" s="335" t="s">
        <v>136</v>
      </c>
      <c r="T102" s="335"/>
      <c r="U102" s="335"/>
      <c r="V102" s="335"/>
      <c r="W102" s="335"/>
      <c r="X102" s="335"/>
      <c r="Y102" s="335"/>
      <c r="Z102" s="335"/>
      <c r="AB102" s="335" t="s">
        <v>136</v>
      </c>
      <c r="AC102" s="335"/>
      <c r="AD102" s="335"/>
      <c r="AE102" s="335"/>
      <c r="AF102" s="335"/>
      <c r="AG102" s="335"/>
      <c r="AH102" s="335"/>
      <c r="AI102" s="335"/>
    </row>
    <row r="103" spans="1:42">
      <c r="A103" s="27"/>
      <c r="B103" s="28"/>
      <c r="C103" s="28"/>
      <c r="D103" s="28"/>
      <c r="E103" s="21"/>
      <c r="F103" s="21"/>
      <c r="G103" s="21"/>
      <c r="H103" s="88"/>
      <c r="J103" s="27"/>
      <c r="K103" s="28"/>
      <c r="L103" s="28"/>
      <c r="M103" s="28"/>
      <c r="N103" s="21"/>
      <c r="O103" s="21"/>
      <c r="P103" s="21"/>
      <c r="Q103" s="88"/>
      <c r="S103" s="27"/>
      <c r="T103" s="28"/>
      <c r="U103" s="28"/>
      <c r="V103" s="28"/>
      <c r="W103" s="21"/>
      <c r="X103" s="21"/>
      <c r="Y103" s="21"/>
      <c r="Z103" s="88"/>
      <c r="AB103" s="27"/>
      <c r="AC103" s="28"/>
      <c r="AD103" s="28"/>
      <c r="AE103" s="28"/>
      <c r="AF103" s="21"/>
      <c r="AG103" s="21"/>
      <c r="AH103" s="21"/>
      <c r="AI103" s="88"/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J104" s="27" t="s">
        <v>137</v>
      </c>
      <c r="K104" s="28" t="s">
        <v>36</v>
      </c>
      <c r="L104" s="28"/>
      <c r="M104" s="28"/>
      <c r="N104" s="28" t="s">
        <v>138</v>
      </c>
      <c r="O104" s="28"/>
      <c r="P104" s="28"/>
      <c r="Q104" s="29"/>
      <c r="S104" s="27" t="s">
        <v>137</v>
      </c>
      <c r="T104" s="28" t="s">
        <v>36</v>
      </c>
      <c r="U104" s="28"/>
      <c r="V104" s="28"/>
      <c r="W104" s="28" t="s">
        <v>138</v>
      </c>
      <c r="X104" s="28"/>
      <c r="Y104" s="28"/>
      <c r="Z104" s="29"/>
      <c r="AB104" s="27" t="s">
        <v>137</v>
      </c>
      <c r="AC104" s="28" t="s">
        <v>36</v>
      </c>
      <c r="AD104" s="28"/>
      <c r="AE104" s="28"/>
      <c r="AF104" s="28" t="s">
        <v>138</v>
      </c>
      <c r="AG104" s="28"/>
      <c r="AH104" s="28"/>
      <c r="AI104" s="29"/>
    </row>
    <row r="105" spans="1:42">
      <c r="A105" s="32" t="s">
        <v>139</v>
      </c>
      <c r="B105" s="345" t="s">
        <v>140</v>
      </c>
      <c r="C105" s="345"/>
      <c r="D105" s="345"/>
      <c r="E105" s="403" t="s">
        <v>386</v>
      </c>
      <c r="F105" s="403"/>
      <c r="G105" s="403"/>
      <c r="H105" s="88"/>
      <c r="J105" s="32" t="s">
        <v>139</v>
      </c>
      <c r="K105" s="345" t="s">
        <v>140</v>
      </c>
      <c r="L105" s="345"/>
      <c r="M105" s="345"/>
      <c r="N105" s="346" t="s">
        <v>31</v>
      </c>
      <c r="O105" s="346"/>
      <c r="P105" s="346"/>
      <c r="Q105" s="88"/>
      <c r="S105" s="32" t="s">
        <v>139</v>
      </c>
      <c r="T105" s="345" t="s">
        <v>140</v>
      </c>
      <c r="U105" s="345"/>
      <c r="V105" s="345"/>
      <c r="W105" s="346" t="s">
        <v>31</v>
      </c>
      <c r="X105" s="346"/>
      <c r="Y105" s="346"/>
      <c r="Z105" s="88"/>
      <c r="AB105" s="32" t="s">
        <v>139</v>
      </c>
      <c r="AC105" s="345" t="s">
        <v>140</v>
      </c>
      <c r="AD105" s="345"/>
      <c r="AE105" s="345"/>
      <c r="AF105" s="346" t="s">
        <v>31</v>
      </c>
      <c r="AG105" s="346"/>
      <c r="AH105" s="346"/>
      <c r="AI105" s="88"/>
    </row>
    <row r="106" spans="1:42">
      <c r="A106" s="27"/>
      <c r="B106" s="28"/>
      <c r="C106" s="28"/>
      <c r="D106" s="21"/>
      <c r="E106" s="28"/>
      <c r="F106" s="28"/>
      <c r="G106" s="21"/>
      <c r="H106" s="29"/>
      <c r="J106" s="27"/>
      <c r="K106" s="28"/>
      <c r="L106" s="28"/>
      <c r="M106" s="21"/>
      <c r="N106" s="28"/>
      <c r="O106" s="28"/>
      <c r="P106" s="21"/>
      <c r="Q106" s="29"/>
      <c r="S106" s="27"/>
      <c r="T106" s="28"/>
      <c r="U106" s="28"/>
      <c r="V106" s="21"/>
      <c r="W106" s="28"/>
      <c r="X106" s="28"/>
      <c r="Y106" s="21"/>
      <c r="Z106" s="29"/>
      <c r="AB106" s="27"/>
      <c r="AC106" s="28"/>
      <c r="AD106" s="28"/>
      <c r="AE106" s="21"/>
      <c r="AF106" s="28"/>
      <c r="AG106" s="28"/>
      <c r="AH106" s="21"/>
      <c r="AI106" s="29"/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J107" s="27" t="s">
        <v>141</v>
      </c>
      <c r="K107" s="28" t="s">
        <v>142</v>
      </c>
      <c r="L107" s="28"/>
      <c r="M107" s="21"/>
      <c r="N107" s="28" t="s">
        <v>143</v>
      </c>
      <c r="O107" s="28"/>
      <c r="P107" s="21"/>
      <c r="Q107" s="88"/>
      <c r="S107" s="27" t="s">
        <v>141</v>
      </c>
      <c r="T107" s="28" t="s">
        <v>142</v>
      </c>
      <c r="U107" s="28"/>
      <c r="V107" s="21"/>
      <c r="W107" s="28" t="s">
        <v>143</v>
      </c>
      <c r="X107" s="28"/>
      <c r="Y107" s="21"/>
      <c r="Z107" s="88"/>
      <c r="AB107" s="27" t="s">
        <v>141</v>
      </c>
      <c r="AC107" s="28" t="s">
        <v>142</v>
      </c>
      <c r="AD107" s="28"/>
      <c r="AE107" s="21"/>
      <c r="AF107" s="28" t="s">
        <v>143</v>
      </c>
      <c r="AG107" s="28"/>
      <c r="AH107" s="21"/>
      <c r="AI107" s="88"/>
    </row>
    <row r="108" spans="1:42">
      <c r="A108" s="91">
        <v>0.2</v>
      </c>
      <c r="B108" s="348">
        <v>0</v>
      </c>
      <c r="C108" s="348"/>
      <c r="D108" s="348">
        <v>0</v>
      </c>
      <c r="E108" s="349">
        <f>B83</f>
        <v>0.12000000000000001</v>
      </c>
      <c r="F108" s="349"/>
      <c r="G108" s="349"/>
      <c r="H108" s="42"/>
      <c r="J108" s="91">
        <v>0.3</v>
      </c>
      <c r="K108" s="348" t="s">
        <v>144</v>
      </c>
      <c r="L108" s="348"/>
      <c r="M108" s="348"/>
      <c r="N108" s="349">
        <f>K83</f>
        <v>0.24000000000000002</v>
      </c>
      <c r="O108" s="349"/>
      <c r="P108" s="349"/>
      <c r="Q108" s="42"/>
      <c r="S108" s="91">
        <v>0.2</v>
      </c>
      <c r="T108" s="348" t="s">
        <v>145</v>
      </c>
      <c r="U108" s="348"/>
      <c r="V108" s="348"/>
      <c r="W108" s="349">
        <f>T83</f>
        <v>0.13100000000000001</v>
      </c>
      <c r="X108" s="349"/>
      <c r="Y108" s="349"/>
      <c r="Z108" s="42"/>
      <c r="AB108" s="91">
        <v>0.2</v>
      </c>
      <c r="AC108" s="348" t="s">
        <v>145</v>
      </c>
      <c r="AD108" s="348"/>
      <c r="AE108" s="348"/>
      <c r="AF108" s="350">
        <f>AC83</f>
        <v>0.13100000000000001</v>
      </c>
      <c r="AG108" s="350"/>
      <c r="AH108" s="350"/>
      <c r="AI108" s="42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J109" s="27"/>
      <c r="K109" s="28"/>
      <c r="L109" s="28"/>
      <c r="M109" s="28"/>
      <c r="N109" s="28"/>
      <c r="O109" s="28"/>
      <c r="P109" s="28"/>
      <c r="Q109" s="29"/>
      <c r="S109" s="27"/>
      <c r="T109" s="28"/>
      <c r="U109" s="28"/>
      <c r="V109" s="28"/>
      <c r="W109" s="28"/>
      <c r="X109" s="28"/>
      <c r="Y109" s="28"/>
      <c r="Z109" s="29"/>
      <c r="AB109" s="27"/>
      <c r="AC109" s="28"/>
      <c r="AD109" s="28"/>
      <c r="AE109" s="28"/>
      <c r="AF109" s="28"/>
      <c r="AG109" s="28"/>
      <c r="AH109" s="28"/>
      <c r="AI109" s="29"/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J110" s="27" t="s">
        <v>147</v>
      </c>
      <c r="K110" s="28" t="s">
        <v>148</v>
      </c>
      <c r="L110" s="28"/>
      <c r="M110" s="28"/>
      <c r="N110" s="28" t="s">
        <v>149</v>
      </c>
      <c r="O110" s="28"/>
      <c r="P110" s="28"/>
      <c r="Q110" s="29"/>
      <c r="S110" s="27" t="s">
        <v>147</v>
      </c>
      <c r="T110" s="28" t="s">
        <v>148</v>
      </c>
      <c r="U110" s="28"/>
      <c r="V110" s="28"/>
      <c r="W110" s="28" t="s">
        <v>149</v>
      </c>
      <c r="X110" s="28"/>
      <c r="Y110" s="28"/>
      <c r="Z110" s="29"/>
      <c r="AB110" s="27" t="s">
        <v>147</v>
      </c>
      <c r="AC110" s="28" t="s">
        <v>148</v>
      </c>
      <c r="AD110" s="28"/>
      <c r="AE110" s="28"/>
      <c r="AF110" s="28" t="s">
        <v>149</v>
      </c>
      <c r="AG110" s="28"/>
      <c r="AH110" s="28"/>
      <c r="AI110" s="29"/>
    </row>
    <row r="111" spans="1:42">
      <c r="A111" s="36" t="s">
        <v>31</v>
      </c>
      <c r="B111" s="348">
        <v>1000</v>
      </c>
      <c r="C111" s="348"/>
      <c r="D111" s="348"/>
      <c r="E111" s="348">
        <v>1000</v>
      </c>
      <c r="F111" s="348"/>
      <c r="G111" s="348"/>
      <c r="H111" s="88"/>
      <c r="J111" s="36" t="s">
        <v>32</v>
      </c>
      <c r="K111" s="348">
        <v>1000</v>
      </c>
      <c r="L111" s="348"/>
      <c r="M111" s="348"/>
      <c r="N111" s="348">
        <v>0</v>
      </c>
      <c r="O111" s="348"/>
      <c r="P111" s="348"/>
      <c r="Q111" s="88"/>
      <c r="S111" s="36" t="s">
        <v>31</v>
      </c>
      <c r="T111" s="348">
        <v>1000</v>
      </c>
      <c r="U111" s="348"/>
      <c r="V111" s="348"/>
      <c r="W111" s="348">
        <v>0</v>
      </c>
      <c r="X111" s="348"/>
      <c r="Y111" s="348"/>
      <c r="Z111" s="88"/>
      <c r="AB111" s="36" t="s">
        <v>31</v>
      </c>
      <c r="AC111" s="348">
        <v>1000</v>
      </c>
      <c r="AD111" s="348"/>
      <c r="AE111" s="348"/>
      <c r="AF111" s="348">
        <v>0</v>
      </c>
      <c r="AG111" s="348"/>
      <c r="AH111" s="348"/>
      <c r="AI111" s="88"/>
    </row>
    <row r="112" spans="1:42">
      <c r="A112" s="27"/>
      <c r="B112" s="28"/>
      <c r="C112" s="28"/>
      <c r="D112" s="28"/>
      <c r="E112" s="28"/>
      <c r="F112" s="28"/>
      <c r="G112" s="21"/>
      <c r="H112" s="88"/>
      <c r="J112" s="27"/>
      <c r="K112" s="28"/>
      <c r="L112" s="28"/>
      <c r="M112" s="28"/>
      <c r="N112" s="28"/>
      <c r="O112" s="28"/>
      <c r="P112" s="21"/>
      <c r="Q112" s="88"/>
      <c r="S112" s="27"/>
      <c r="T112" s="28"/>
      <c r="U112" s="28"/>
      <c r="V112" s="28"/>
      <c r="W112" s="28"/>
      <c r="X112" s="28"/>
      <c r="Y112" s="21"/>
      <c r="Z112" s="88"/>
      <c r="AB112" s="27"/>
      <c r="AC112" s="28"/>
      <c r="AD112" s="28"/>
      <c r="AE112" s="28"/>
      <c r="AF112" s="28"/>
      <c r="AG112" s="28"/>
      <c r="AH112" s="21"/>
      <c r="AI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  <c r="J113" s="93" t="s">
        <v>150</v>
      </c>
      <c r="K113" s="28" t="s">
        <v>151</v>
      </c>
      <c r="L113" s="28"/>
      <c r="M113" s="28"/>
      <c r="N113" s="28" t="s">
        <v>152</v>
      </c>
      <c r="O113" s="28"/>
      <c r="P113" s="21"/>
      <c r="Q113" s="88"/>
      <c r="S113" s="93" t="s">
        <v>150</v>
      </c>
      <c r="T113" s="28" t="s">
        <v>151</v>
      </c>
      <c r="U113" s="28"/>
      <c r="V113" s="28"/>
      <c r="W113" s="28" t="s">
        <v>152</v>
      </c>
      <c r="X113" s="28"/>
      <c r="Y113" s="21"/>
      <c r="Z113" s="88"/>
      <c r="AB113" s="93" t="s">
        <v>150</v>
      </c>
      <c r="AC113" s="28" t="s">
        <v>151</v>
      </c>
      <c r="AD113" s="28"/>
      <c r="AE113" s="28"/>
      <c r="AF113" s="28" t="s">
        <v>152</v>
      </c>
      <c r="AG113" s="28"/>
      <c r="AH113" s="21"/>
      <c r="AI113" s="88"/>
    </row>
    <row r="114" spans="1:35">
      <c r="A114" s="94">
        <f>B111+E111</f>
        <v>2000</v>
      </c>
      <c r="B114" s="348">
        <v>833.33333333333337</v>
      </c>
      <c r="C114" s="348"/>
      <c r="D114" s="348"/>
      <c r="E114" s="348">
        <v>0</v>
      </c>
      <c r="F114" s="348"/>
      <c r="G114" s="348"/>
      <c r="H114" s="88"/>
      <c r="J114" s="94">
        <f>K111+N111</f>
        <v>1000</v>
      </c>
      <c r="K114" s="348">
        <v>239.99</v>
      </c>
      <c r="L114" s="348"/>
      <c r="M114" s="348"/>
      <c r="N114" s="348">
        <v>0</v>
      </c>
      <c r="O114" s="348"/>
      <c r="P114" s="348"/>
      <c r="Q114" s="88"/>
      <c r="S114" s="94">
        <f>T111+W111</f>
        <v>1000</v>
      </c>
      <c r="T114" s="348">
        <v>199.99</v>
      </c>
      <c r="U114" s="348"/>
      <c r="V114" s="348"/>
      <c r="W114" s="348">
        <v>0</v>
      </c>
      <c r="X114" s="348"/>
      <c r="Y114" s="348"/>
      <c r="Z114" s="88"/>
      <c r="AB114" s="94">
        <f>AC111+AF111</f>
        <v>1000</v>
      </c>
      <c r="AC114" s="348">
        <v>239.99</v>
      </c>
      <c r="AD114" s="348"/>
      <c r="AE114" s="348"/>
      <c r="AF114" s="348">
        <v>0</v>
      </c>
      <c r="AG114" s="348"/>
      <c r="AH114" s="348"/>
      <c r="AI114" s="88"/>
    </row>
    <row r="115" spans="1:35" ht="14.25">
      <c r="A115" s="95"/>
      <c r="B115" s="21"/>
      <c r="C115" s="21"/>
      <c r="D115" s="21"/>
      <c r="E115" s="21"/>
      <c r="F115" s="21"/>
      <c r="G115" s="21"/>
      <c r="H115" s="88"/>
      <c r="J115" s="95"/>
      <c r="K115" s="21"/>
      <c r="L115" s="21"/>
      <c r="M115" s="21"/>
      <c r="N115" s="21"/>
      <c r="O115" s="21"/>
      <c r="P115" s="21"/>
      <c r="Q115" s="88"/>
      <c r="S115" s="95"/>
      <c r="T115" s="21"/>
      <c r="U115" s="21"/>
      <c r="V115" s="21"/>
      <c r="W115" s="21"/>
      <c r="X115" s="21"/>
      <c r="Y115" s="21"/>
      <c r="Z115" s="88"/>
      <c r="AB115" s="95"/>
      <c r="AC115" s="21"/>
      <c r="AD115" s="21"/>
      <c r="AE115" s="21"/>
      <c r="AF115" s="21"/>
      <c r="AG115" s="21"/>
      <c r="AH115" s="21"/>
      <c r="AI115" s="88"/>
    </row>
    <row r="116" spans="1:35" ht="14.25">
      <c r="A116" s="95"/>
      <c r="B116" s="21"/>
      <c r="C116" s="21"/>
      <c r="D116" s="21"/>
      <c r="E116" s="21"/>
      <c r="F116" s="21"/>
      <c r="G116" s="21"/>
      <c r="H116" s="88"/>
      <c r="J116" s="95"/>
      <c r="K116" s="21"/>
      <c r="L116" s="21"/>
      <c r="M116" s="21"/>
      <c r="N116" s="21"/>
      <c r="O116" s="21"/>
      <c r="P116" s="21"/>
      <c r="Q116" s="88"/>
      <c r="S116" s="95"/>
      <c r="T116" s="21"/>
      <c r="U116" s="21"/>
      <c r="V116" s="21"/>
      <c r="W116" s="21"/>
      <c r="X116" s="21"/>
      <c r="Y116" s="21"/>
      <c r="Z116" s="88"/>
      <c r="AB116" s="95"/>
      <c r="AC116" s="21"/>
      <c r="AD116" s="21"/>
      <c r="AE116" s="21"/>
      <c r="AF116" s="21"/>
      <c r="AG116" s="21"/>
      <c r="AH116" s="21"/>
      <c r="AI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35" t="s">
        <v>153</v>
      </c>
      <c r="K117" s="335"/>
      <c r="L117" s="335"/>
      <c r="M117" s="335"/>
      <c r="N117" s="335"/>
      <c r="O117" s="335"/>
      <c r="P117" s="335"/>
      <c r="Q117" s="335"/>
      <c r="S117" s="335" t="s">
        <v>153</v>
      </c>
      <c r="T117" s="335"/>
      <c r="U117" s="335"/>
      <c r="V117" s="335"/>
      <c r="W117" s="335"/>
      <c r="X117" s="335"/>
      <c r="Y117" s="335"/>
      <c r="Z117" s="335"/>
      <c r="AB117" s="335" t="s">
        <v>153</v>
      </c>
      <c r="AC117" s="335"/>
      <c r="AD117" s="335"/>
      <c r="AE117" s="335"/>
      <c r="AF117" s="335"/>
      <c r="AG117" s="335"/>
      <c r="AH117" s="335"/>
      <c r="AI117" s="335"/>
    </row>
    <row r="118" spans="1:35" ht="14.25">
      <c r="A118" s="95"/>
      <c r="B118" s="21"/>
      <c r="C118" s="21"/>
      <c r="D118" s="21"/>
      <c r="E118" s="21"/>
      <c r="F118" s="21"/>
      <c r="G118" s="21"/>
      <c r="H118" s="88"/>
      <c r="J118" s="95"/>
      <c r="K118" s="21"/>
      <c r="L118" s="21"/>
      <c r="M118" s="21"/>
      <c r="N118" s="21"/>
      <c r="O118" s="21"/>
      <c r="P118" s="21"/>
      <c r="Q118" s="88"/>
      <c r="S118" s="95"/>
      <c r="T118" s="21"/>
      <c r="U118" s="21"/>
      <c r="V118" s="21"/>
      <c r="W118" s="21"/>
      <c r="X118" s="21"/>
      <c r="Y118" s="21"/>
      <c r="Z118" s="88"/>
      <c r="AB118" s="95"/>
      <c r="AC118" s="21"/>
      <c r="AD118" s="21"/>
      <c r="AE118" s="21"/>
      <c r="AF118" s="21"/>
      <c r="AG118" s="21"/>
      <c r="AH118" s="21"/>
      <c r="AI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J119" s="66"/>
      <c r="K119" s="351" t="s">
        <v>154</v>
      </c>
      <c r="L119" s="351"/>
      <c r="M119" s="351" t="s">
        <v>155</v>
      </c>
      <c r="N119" s="351"/>
      <c r="O119" s="351" t="s">
        <v>156</v>
      </c>
      <c r="P119" s="351"/>
      <c r="Q119" s="96" t="s">
        <v>157</v>
      </c>
      <c r="S119" s="66"/>
      <c r="T119" s="351" t="s">
        <v>154</v>
      </c>
      <c r="U119" s="351"/>
      <c r="V119" s="351" t="s">
        <v>155</v>
      </c>
      <c r="W119" s="351"/>
      <c r="X119" s="351" t="s">
        <v>156</v>
      </c>
      <c r="Y119" s="351"/>
      <c r="Z119" s="96" t="s">
        <v>157</v>
      </c>
      <c r="AB119" s="66"/>
      <c r="AC119" s="351" t="s">
        <v>154</v>
      </c>
      <c r="AD119" s="351"/>
      <c r="AE119" s="351" t="s">
        <v>155</v>
      </c>
      <c r="AF119" s="351"/>
      <c r="AG119" s="351" t="s">
        <v>156</v>
      </c>
      <c r="AH119" s="351"/>
      <c r="AI119" s="96" t="s">
        <v>157</v>
      </c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  <c r="J120" s="68"/>
      <c r="K120" s="97" t="s">
        <v>158</v>
      </c>
      <c r="L120" s="98" t="s">
        <v>159</v>
      </c>
      <c r="M120" s="97" t="s">
        <v>158</v>
      </c>
      <c r="N120" s="99" t="s">
        <v>159</v>
      </c>
      <c r="O120" s="97" t="s">
        <v>158</v>
      </c>
      <c r="P120" s="99" t="s">
        <v>159</v>
      </c>
      <c r="Q120" s="100"/>
      <c r="S120" s="68"/>
      <c r="T120" s="97" t="s">
        <v>158</v>
      </c>
      <c r="U120" s="98" t="s">
        <v>159</v>
      </c>
      <c r="V120" s="97" t="s">
        <v>158</v>
      </c>
      <c r="W120" s="99" t="s">
        <v>159</v>
      </c>
      <c r="X120" s="97" t="s">
        <v>158</v>
      </c>
      <c r="Y120" s="99" t="s">
        <v>159</v>
      </c>
      <c r="Z120" s="100"/>
      <c r="AB120" s="68"/>
      <c r="AC120" s="97" t="s">
        <v>158</v>
      </c>
      <c r="AD120" s="98" t="s">
        <v>159</v>
      </c>
      <c r="AE120" s="97" t="s">
        <v>158</v>
      </c>
      <c r="AF120" s="99" t="s">
        <v>159</v>
      </c>
      <c r="AG120" s="97" t="s">
        <v>158</v>
      </c>
      <c r="AH120" s="99" t="s">
        <v>159</v>
      </c>
      <c r="AI120" s="100"/>
    </row>
    <row r="121" spans="1:35">
      <c r="A121" s="22" t="s">
        <v>160</v>
      </c>
      <c r="B121" s="22">
        <f>B9</f>
        <v>18500</v>
      </c>
      <c r="C121" s="36">
        <v>20416.669999999998</v>
      </c>
      <c r="D121" s="22">
        <f>D3</f>
        <v>0</v>
      </c>
      <c r="E121" s="36">
        <f>D121</f>
        <v>0</v>
      </c>
      <c r="F121" s="22">
        <f>B11</f>
        <v>0</v>
      </c>
      <c r="G121" s="36">
        <f>F121</f>
        <v>0</v>
      </c>
      <c r="H121" s="101">
        <f>H3</f>
        <v>0</v>
      </c>
      <c r="J121" s="22" t="s">
        <v>160</v>
      </c>
      <c r="K121" s="22">
        <f>B3</f>
        <v>0</v>
      </c>
      <c r="L121" s="36">
        <v>28629.17</v>
      </c>
      <c r="M121" s="22">
        <f>D3</f>
        <v>0</v>
      </c>
      <c r="N121" s="36">
        <f>M121</f>
        <v>0</v>
      </c>
      <c r="O121" s="22" t="str">
        <f>F3</f>
        <v xml:space="preserve"> </v>
      </c>
      <c r="P121" s="36" t="str">
        <f>O121</f>
        <v xml:space="preserve"> </v>
      </c>
      <c r="Q121" s="101">
        <f>H3</f>
        <v>0</v>
      </c>
      <c r="S121" s="22" t="s">
        <v>160</v>
      </c>
      <c r="T121" s="22">
        <f>B3</f>
        <v>0</v>
      </c>
      <c r="U121" s="36">
        <f>T121</f>
        <v>0</v>
      </c>
      <c r="V121" s="22">
        <f>D3</f>
        <v>0</v>
      </c>
      <c r="W121" s="36">
        <f>V121</f>
        <v>0</v>
      </c>
      <c r="X121" s="22" t="str">
        <f>F3</f>
        <v xml:space="preserve"> </v>
      </c>
      <c r="Y121" s="36" t="str">
        <f>X121</f>
        <v xml:space="preserve"> </v>
      </c>
      <c r="Z121" s="101">
        <f>H3</f>
        <v>0</v>
      </c>
      <c r="AB121" s="22" t="s">
        <v>160</v>
      </c>
      <c r="AC121" s="22">
        <f>B3</f>
        <v>0</v>
      </c>
      <c r="AD121" s="36">
        <f>AC121</f>
        <v>0</v>
      </c>
      <c r="AE121" s="22">
        <f>D3</f>
        <v>0</v>
      </c>
      <c r="AF121" s="36">
        <f>AE121</f>
        <v>0</v>
      </c>
      <c r="AG121" s="22" t="str">
        <f>F3</f>
        <v xml:space="preserve"> </v>
      </c>
      <c r="AH121" s="36" t="str">
        <f>AG121</f>
        <v xml:space="preserve"> </v>
      </c>
      <c r="AI121" s="101">
        <f>H3</f>
        <v>0</v>
      </c>
    </row>
    <row r="122" spans="1:35">
      <c r="A122" s="27" t="s">
        <v>161</v>
      </c>
      <c r="B122" s="102">
        <v>0</v>
      </c>
      <c r="C122" s="103">
        <v>0</v>
      </c>
      <c r="D122" s="102">
        <v>0</v>
      </c>
      <c r="E122" s="103">
        <v>0</v>
      </c>
      <c r="F122" s="102">
        <v>0</v>
      </c>
      <c r="G122" s="296">
        <v>0</v>
      </c>
      <c r="H122" s="105"/>
      <c r="J122" s="27" t="s">
        <v>161</v>
      </c>
      <c r="K122" s="102">
        <f>B4</f>
        <v>22200</v>
      </c>
      <c r="L122" s="103">
        <v>0</v>
      </c>
      <c r="M122" s="102">
        <f>D4</f>
        <v>0</v>
      </c>
      <c r="N122" s="103">
        <f>M122</f>
        <v>0</v>
      </c>
      <c r="O122" s="102" t="str">
        <f>F4</f>
        <v xml:space="preserve"> </v>
      </c>
      <c r="P122" s="296" t="str">
        <f>O122</f>
        <v xml:space="preserve"> </v>
      </c>
      <c r="Q122" s="105"/>
      <c r="S122" s="27" t="s">
        <v>161</v>
      </c>
      <c r="T122" s="102">
        <f>B4</f>
        <v>22200</v>
      </c>
      <c r="U122" s="103">
        <v>0.25</v>
      </c>
      <c r="V122" s="102">
        <f>D4</f>
        <v>0</v>
      </c>
      <c r="W122" s="103">
        <f>V122</f>
        <v>0</v>
      </c>
      <c r="X122" s="102" t="str">
        <f>F4</f>
        <v xml:space="preserve"> </v>
      </c>
      <c r="Y122" s="296" t="str">
        <f>X122</f>
        <v xml:space="preserve"> </v>
      </c>
      <c r="Z122" s="105"/>
      <c r="AB122" s="27" t="s">
        <v>161</v>
      </c>
      <c r="AC122" s="102">
        <f>B4</f>
        <v>22200</v>
      </c>
      <c r="AD122" s="103">
        <v>0.25</v>
      </c>
      <c r="AE122" s="102">
        <f>D4</f>
        <v>0</v>
      </c>
      <c r="AF122" s="103">
        <f>AE122</f>
        <v>0</v>
      </c>
      <c r="AG122" s="102" t="str">
        <f>F4</f>
        <v xml:space="preserve"> </v>
      </c>
      <c r="AH122" s="296" t="str">
        <f>AG122</f>
        <v xml:space="preserve"> </v>
      </c>
      <c r="AI122" s="105"/>
    </row>
    <row r="123" spans="1:35">
      <c r="A123" s="27" t="s">
        <v>162</v>
      </c>
      <c r="B123" s="27">
        <v>0</v>
      </c>
      <c r="C123" s="36">
        <v>0</v>
      </c>
      <c r="D123" s="27">
        <v>0</v>
      </c>
      <c r="E123" s="36">
        <v>0</v>
      </c>
      <c r="F123" s="27">
        <v>0</v>
      </c>
      <c r="G123" s="36">
        <v>0</v>
      </c>
      <c r="H123" s="29"/>
      <c r="J123" s="27" t="s">
        <v>162</v>
      </c>
      <c r="K123" s="27">
        <f>B5</f>
        <v>0</v>
      </c>
      <c r="L123" s="36">
        <v>0</v>
      </c>
      <c r="M123" s="27">
        <f>D5</f>
        <v>0</v>
      </c>
      <c r="N123" s="36">
        <f>M123</f>
        <v>0</v>
      </c>
      <c r="O123" s="27" t="str">
        <f>F5</f>
        <v xml:space="preserve"> </v>
      </c>
      <c r="P123" s="36" t="str">
        <f>O123</f>
        <v xml:space="preserve"> </v>
      </c>
      <c r="Q123" s="29"/>
      <c r="S123" s="27" t="s">
        <v>162</v>
      </c>
      <c r="T123" s="27">
        <f>B5</f>
        <v>0</v>
      </c>
      <c r="U123" s="36">
        <v>0</v>
      </c>
      <c r="V123" s="27">
        <f>D5</f>
        <v>0</v>
      </c>
      <c r="W123" s="36">
        <f>V123</f>
        <v>0</v>
      </c>
      <c r="X123" s="27" t="str">
        <f>F5</f>
        <v xml:space="preserve"> </v>
      </c>
      <c r="Y123" s="36" t="str">
        <f>X123</f>
        <v xml:space="preserve"> </v>
      </c>
      <c r="Z123" s="29"/>
      <c r="AB123" s="27" t="s">
        <v>162</v>
      </c>
      <c r="AC123" s="27">
        <f>B5</f>
        <v>0</v>
      </c>
      <c r="AD123" s="36">
        <v>0</v>
      </c>
      <c r="AE123" s="27">
        <f>D5</f>
        <v>0</v>
      </c>
      <c r="AF123" s="36">
        <f>AE123</f>
        <v>0</v>
      </c>
      <c r="AG123" s="27" t="str">
        <f>F5</f>
        <v xml:space="preserve"> </v>
      </c>
      <c r="AH123" s="36" t="str">
        <f>AG123</f>
        <v xml:space="preserve"> </v>
      </c>
      <c r="AI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  <c r="J124" s="27" t="s">
        <v>163</v>
      </c>
      <c r="K124" s="27">
        <f t="shared" ref="K124:P124" si="0">(K121*K122)+K123</f>
        <v>0</v>
      </c>
      <c r="L124" s="24">
        <f t="shared" si="0"/>
        <v>0</v>
      </c>
      <c r="M124" s="27">
        <f t="shared" si="0"/>
        <v>0</v>
      </c>
      <c r="N124" s="24">
        <f t="shared" si="0"/>
        <v>0</v>
      </c>
      <c r="O124" s="27" t="e">
        <f t="shared" si="0"/>
        <v>#VALUE!</v>
      </c>
      <c r="P124" s="24" t="e">
        <f t="shared" si="0"/>
        <v>#VALUE!</v>
      </c>
      <c r="Q124" s="29"/>
      <c r="S124" s="27" t="s">
        <v>163</v>
      </c>
      <c r="T124" s="27">
        <f t="shared" ref="T124:Y124" si="1">(T121*T122)+T123</f>
        <v>0</v>
      </c>
      <c r="U124" s="24">
        <f t="shared" si="1"/>
        <v>0</v>
      </c>
      <c r="V124" s="27">
        <f t="shared" si="1"/>
        <v>0</v>
      </c>
      <c r="W124" s="24">
        <f t="shared" si="1"/>
        <v>0</v>
      </c>
      <c r="X124" s="27" t="e">
        <f t="shared" si="1"/>
        <v>#VALUE!</v>
      </c>
      <c r="Y124" s="24" t="e">
        <f t="shared" si="1"/>
        <v>#VALUE!</v>
      </c>
      <c r="Z124" s="29"/>
      <c r="AB124" s="27" t="s">
        <v>163</v>
      </c>
      <c r="AC124" s="27">
        <f t="shared" ref="AC124:AH124" si="2">(AC121*AC122)+AC123</f>
        <v>0</v>
      </c>
      <c r="AD124" s="24">
        <f t="shared" si="2"/>
        <v>0</v>
      </c>
      <c r="AE124" s="27">
        <f t="shared" si="2"/>
        <v>0</v>
      </c>
      <c r="AF124" s="24">
        <f t="shared" si="2"/>
        <v>0</v>
      </c>
      <c r="AG124" s="27" t="e">
        <f t="shared" si="2"/>
        <v>#VALUE!</v>
      </c>
      <c r="AH124" s="24" t="e">
        <f t="shared" si="2"/>
        <v>#VALUE!</v>
      </c>
      <c r="AI124" s="29"/>
    </row>
    <row r="125" spans="1:35">
      <c r="A125" s="49" t="s">
        <v>164</v>
      </c>
      <c r="B125" s="49">
        <f t="shared" ref="B125:G125" si="3">B121-B124</f>
        <v>18500</v>
      </c>
      <c r="C125" s="57">
        <f t="shared" si="3"/>
        <v>20416.669999999998</v>
      </c>
      <c r="D125" s="49">
        <f t="shared" si="3"/>
        <v>0</v>
      </c>
      <c r="E125" s="57">
        <f t="shared" si="3"/>
        <v>0</v>
      </c>
      <c r="F125" s="49">
        <f t="shared" si="3"/>
        <v>0</v>
      </c>
      <c r="G125" s="57">
        <f t="shared" si="3"/>
        <v>0</v>
      </c>
      <c r="H125" s="57"/>
      <c r="J125" s="49" t="s">
        <v>164</v>
      </c>
      <c r="K125" s="49">
        <f t="shared" ref="K125:P125" si="4">K121-K124</f>
        <v>0</v>
      </c>
      <c r="L125" s="57">
        <f t="shared" si="4"/>
        <v>28629.17</v>
      </c>
      <c r="M125" s="49">
        <f t="shared" si="4"/>
        <v>0</v>
      </c>
      <c r="N125" s="57">
        <f t="shared" si="4"/>
        <v>0</v>
      </c>
      <c r="O125" s="49" t="e">
        <f t="shared" si="4"/>
        <v>#VALUE!</v>
      </c>
      <c r="P125" s="57" t="e">
        <f t="shared" si="4"/>
        <v>#VALUE!</v>
      </c>
      <c r="Q125" s="57"/>
      <c r="S125" s="49" t="s">
        <v>164</v>
      </c>
      <c r="T125" s="49">
        <f t="shared" ref="T125:Y125" si="5">T121-T124</f>
        <v>0</v>
      </c>
      <c r="U125" s="57">
        <f t="shared" si="5"/>
        <v>0</v>
      </c>
      <c r="V125" s="49">
        <f t="shared" si="5"/>
        <v>0</v>
      </c>
      <c r="W125" s="57">
        <f t="shared" si="5"/>
        <v>0</v>
      </c>
      <c r="X125" s="49" t="e">
        <f t="shared" si="5"/>
        <v>#VALUE!</v>
      </c>
      <c r="Y125" s="57" t="e">
        <f t="shared" si="5"/>
        <v>#VALUE!</v>
      </c>
      <c r="Z125" s="57"/>
      <c r="AB125" s="49" t="s">
        <v>164</v>
      </c>
      <c r="AC125" s="49">
        <f t="shared" ref="AC125:AH125" si="6">AC121-AC124</f>
        <v>0</v>
      </c>
      <c r="AD125" s="57">
        <f t="shared" si="6"/>
        <v>0</v>
      </c>
      <c r="AE125" s="49">
        <f t="shared" si="6"/>
        <v>0</v>
      </c>
      <c r="AF125" s="57">
        <f t="shared" si="6"/>
        <v>0</v>
      </c>
      <c r="AG125" s="49" t="e">
        <f t="shared" si="6"/>
        <v>#VALUE!</v>
      </c>
      <c r="AH125" s="57" t="e">
        <f t="shared" si="6"/>
        <v>#VALUE!</v>
      </c>
      <c r="AI125" s="57"/>
    </row>
    <row r="126" spans="1:35">
      <c r="A126" s="27"/>
      <c r="B126" s="28"/>
      <c r="C126" s="28"/>
      <c r="D126" s="28"/>
      <c r="E126" s="28"/>
      <c r="F126" s="28"/>
      <c r="G126" s="28"/>
      <c r="H126" s="29"/>
      <c r="J126" s="27"/>
      <c r="K126" s="28"/>
      <c r="L126" s="28"/>
      <c r="M126" s="28"/>
      <c r="N126" s="28"/>
      <c r="O126" s="28"/>
      <c r="P126" s="28"/>
      <c r="Q126" s="29"/>
      <c r="S126" s="27"/>
      <c r="T126" s="28"/>
      <c r="U126" s="28"/>
      <c r="V126" s="28"/>
      <c r="W126" s="28"/>
      <c r="X126" s="28"/>
      <c r="Y126" s="28"/>
      <c r="Z126" s="29"/>
      <c r="AB126" s="27"/>
      <c r="AC126" s="28"/>
      <c r="AD126" s="28"/>
      <c r="AE126" s="28"/>
      <c r="AF126" s="28"/>
      <c r="AG126" s="28"/>
      <c r="AH126" s="28"/>
      <c r="AI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  <c r="J127" s="107"/>
      <c r="K127" s="108"/>
      <c r="L127" s="108"/>
      <c r="M127" s="108"/>
      <c r="N127" s="108"/>
      <c r="O127" s="108"/>
      <c r="P127" s="109" t="s">
        <v>158</v>
      </c>
      <c r="Q127" s="110" t="s">
        <v>159</v>
      </c>
      <c r="S127" s="107"/>
      <c r="T127" s="108"/>
      <c r="U127" s="108"/>
      <c r="V127" s="108"/>
      <c r="W127" s="108"/>
      <c r="X127" s="108"/>
      <c r="Y127" s="109" t="s">
        <v>158</v>
      </c>
      <c r="Z127" s="110" t="s">
        <v>159</v>
      </c>
      <c r="AB127" s="107"/>
      <c r="AC127" s="108"/>
      <c r="AD127" s="108"/>
      <c r="AE127" s="108"/>
      <c r="AF127" s="108"/>
      <c r="AG127" s="108"/>
      <c r="AH127" s="109" t="s">
        <v>158</v>
      </c>
      <c r="AI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  <c r="J128" s="111" t="s">
        <v>165</v>
      </c>
      <c r="K128" s="112"/>
      <c r="L128" s="112"/>
      <c r="M128" s="112"/>
      <c r="N128" s="112"/>
      <c r="O128" s="112"/>
      <c r="P128" s="113">
        <f>Q121</f>
        <v>0</v>
      </c>
      <c r="Q128" s="114">
        <f>SUM(Q131:Q133)</f>
        <v>0</v>
      </c>
      <c r="S128" s="111" t="s">
        <v>165</v>
      </c>
      <c r="T128" s="112"/>
      <c r="U128" s="112"/>
      <c r="V128" s="112"/>
      <c r="W128" s="112"/>
      <c r="X128" s="112"/>
      <c r="Y128" s="113">
        <f>Z121</f>
        <v>0</v>
      </c>
      <c r="Z128" s="114">
        <f>SUM(Z131:Z133)</f>
        <v>0</v>
      </c>
      <c r="AB128" s="111" t="s">
        <v>165</v>
      </c>
      <c r="AC128" s="112"/>
      <c r="AD128" s="112"/>
      <c r="AE128" s="112"/>
      <c r="AF128" s="112"/>
      <c r="AG128" s="112"/>
      <c r="AH128" s="113">
        <f>AI121</f>
        <v>0</v>
      </c>
      <c r="AI128" s="114">
        <f>SUM(AI131:AI133)</f>
        <v>0</v>
      </c>
    </row>
    <row r="129" spans="1:35">
      <c r="A129" s="27"/>
      <c r="B129" s="28"/>
      <c r="C129" s="28"/>
      <c r="D129" s="28"/>
      <c r="E129" s="28"/>
      <c r="F129" s="28"/>
      <c r="G129" s="115"/>
      <c r="H129" s="116"/>
      <c r="J129" s="27"/>
      <c r="K129" s="28"/>
      <c r="L129" s="28"/>
      <c r="M129" s="28"/>
      <c r="N129" s="28"/>
      <c r="O129" s="28"/>
      <c r="P129" s="115"/>
      <c r="Q129" s="116"/>
      <c r="S129" s="27"/>
      <c r="T129" s="28"/>
      <c r="U129" s="28"/>
      <c r="V129" s="28"/>
      <c r="W129" s="28"/>
      <c r="X129" s="28"/>
      <c r="Y129" s="115"/>
      <c r="Z129" s="116"/>
      <c r="AB129" s="27"/>
      <c r="AC129" s="28"/>
      <c r="AD129" s="28"/>
      <c r="AE129" s="28"/>
      <c r="AF129" s="28"/>
      <c r="AG129" s="28"/>
      <c r="AH129" s="115"/>
      <c r="AI129" s="116"/>
    </row>
    <row r="130" spans="1:35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J130" s="117" t="s">
        <v>166</v>
      </c>
      <c r="K130" s="352" t="s">
        <v>167</v>
      </c>
      <c r="L130" s="352"/>
      <c r="M130" s="352" t="s">
        <v>168</v>
      </c>
      <c r="N130" s="352"/>
      <c r="O130" s="352" t="s">
        <v>162</v>
      </c>
      <c r="P130" s="352"/>
      <c r="Q130" s="116" t="s">
        <v>159</v>
      </c>
      <c r="S130" s="117" t="s">
        <v>166</v>
      </c>
      <c r="T130" s="352" t="s">
        <v>167</v>
      </c>
      <c r="U130" s="352"/>
      <c r="V130" s="352" t="s">
        <v>168</v>
      </c>
      <c r="W130" s="352"/>
      <c r="X130" s="352" t="s">
        <v>162</v>
      </c>
      <c r="Y130" s="352"/>
      <c r="Z130" s="116" t="s">
        <v>159</v>
      </c>
      <c r="AB130" s="117" t="s">
        <v>166</v>
      </c>
      <c r="AC130" s="352" t="s">
        <v>167</v>
      </c>
      <c r="AD130" s="352"/>
      <c r="AE130" s="352" t="s">
        <v>168</v>
      </c>
      <c r="AF130" s="352"/>
      <c r="AG130" s="352" t="s">
        <v>162</v>
      </c>
      <c r="AH130" s="352"/>
      <c r="AI130" s="116" t="s">
        <v>159</v>
      </c>
    </row>
    <row r="131" spans="1:35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J131" s="27" t="s">
        <v>169</v>
      </c>
      <c r="K131" s="354">
        <f>P128</f>
        <v>0</v>
      </c>
      <c r="L131" s="354"/>
      <c r="M131" s="355">
        <v>0</v>
      </c>
      <c r="N131" s="355"/>
      <c r="O131" s="354">
        <v>0</v>
      </c>
      <c r="P131" s="354"/>
      <c r="Q131" s="119">
        <f>(K131-(K131*M131))-O131</f>
        <v>0</v>
      </c>
      <c r="S131" s="27" t="s">
        <v>169</v>
      </c>
      <c r="T131" s="354">
        <f>Y128</f>
        <v>0</v>
      </c>
      <c r="U131" s="354"/>
      <c r="V131" s="355">
        <v>0</v>
      </c>
      <c r="W131" s="355"/>
      <c r="X131" s="354">
        <v>0</v>
      </c>
      <c r="Y131" s="354"/>
      <c r="Z131" s="119">
        <f>(T131-(T131*V131))-X131</f>
        <v>0</v>
      </c>
      <c r="AB131" s="27" t="s">
        <v>169</v>
      </c>
      <c r="AC131" s="354">
        <f>AH128</f>
        <v>0</v>
      </c>
      <c r="AD131" s="354"/>
      <c r="AE131" s="355">
        <v>0</v>
      </c>
      <c r="AF131" s="355"/>
      <c r="AG131" s="354">
        <v>0</v>
      </c>
      <c r="AH131" s="354"/>
      <c r="AI131" s="119">
        <f>(AC131-(AC131*AE131))-AG131</f>
        <v>0</v>
      </c>
    </row>
    <row r="132" spans="1:35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J132" s="27" t="s">
        <v>170</v>
      </c>
      <c r="K132" s="354">
        <v>0</v>
      </c>
      <c r="L132" s="354"/>
      <c r="M132" s="355">
        <v>0</v>
      </c>
      <c r="N132" s="355"/>
      <c r="O132" s="354">
        <v>0</v>
      </c>
      <c r="P132" s="354"/>
      <c r="Q132" s="119">
        <f>(K132-(K132*M132))-O132</f>
        <v>0</v>
      </c>
      <c r="S132" s="27" t="s">
        <v>170</v>
      </c>
      <c r="T132" s="354">
        <v>0</v>
      </c>
      <c r="U132" s="354"/>
      <c r="V132" s="355">
        <v>0</v>
      </c>
      <c r="W132" s="355"/>
      <c r="X132" s="354">
        <v>0</v>
      </c>
      <c r="Y132" s="354"/>
      <c r="Z132" s="119">
        <f>(T132-(T132*V132))-X132</f>
        <v>0</v>
      </c>
      <c r="AB132" s="27" t="s">
        <v>170</v>
      </c>
      <c r="AC132" s="354">
        <v>0</v>
      </c>
      <c r="AD132" s="354"/>
      <c r="AE132" s="355">
        <v>0</v>
      </c>
      <c r="AF132" s="355"/>
      <c r="AG132" s="354">
        <v>0</v>
      </c>
      <c r="AH132" s="354"/>
      <c r="AI132" s="119">
        <f>(AC132-(AC132*AE132))-AG132</f>
        <v>0</v>
      </c>
    </row>
    <row r="133" spans="1:35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J133" s="27" t="s">
        <v>171</v>
      </c>
      <c r="K133" s="354">
        <v>0</v>
      </c>
      <c r="L133" s="354"/>
      <c r="M133" s="355">
        <v>0</v>
      </c>
      <c r="N133" s="355"/>
      <c r="O133" s="354">
        <v>0</v>
      </c>
      <c r="P133" s="354"/>
      <c r="Q133" s="119">
        <f>(K133-(K133*M133))-O133</f>
        <v>0</v>
      </c>
      <c r="S133" s="27" t="s">
        <v>171</v>
      </c>
      <c r="T133" s="354">
        <v>0</v>
      </c>
      <c r="U133" s="354"/>
      <c r="V133" s="355">
        <v>0</v>
      </c>
      <c r="W133" s="355"/>
      <c r="X133" s="354">
        <v>0</v>
      </c>
      <c r="Y133" s="354"/>
      <c r="Z133" s="119">
        <f>(T133-(T133*V133))-X133</f>
        <v>0</v>
      </c>
      <c r="AB133" s="27" t="s">
        <v>171</v>
      </c>
      <c r="AC133" s="354">
        <v>0</v>
      </c>
      <c r="AD133" s="354"/>
      <c r="AE133" s="355">
        <v>0</v>
      </c>
      <c r="AF133" s="355"/>
      <c r="AG133" s="354">
        <v>0</v>
      </c>
      <c r="AH133" s="354"/>
      <c r="AI133" s="119">
        <f>(AC133-(AC133*AE133))-AG133</f>
        <v>0</v>
      </c>
    </row>
    <row r="134" spans="1:35">
      <c r="A134" s="27"/>
      <c r="B134" s="28"/>
      <c r="C134" s="28"/>
      <c r="D134" s="28"/>
      <c r="E134" s="28"/>
      <c r="F134" s="28"/>
      <c r="G134" s="115"/>
      <c r="H134" s="116"/>
      <c r="J134" s="27"/>
      <c r="K134" s="28"/>
      <c r="L134" s="28"/>
      <c r="M134" s="28"/>
      <c r="N134" s="28"/>
      <c r="O134" s="28"/>
      <c r="P134" s="115"/>
      <c r="Q134" s="116"/>
      <c r="S134" s="27"/>
      <c r="T134" s="28"/>
      <c r="U134" s="28"/>
      <c r="V134" s="28"/>
      <c r="W134" s="28"/>
      <c r="X134" s="28"/>
      <c r="Y134" s="115"/>
      <c r="Z134" s="116"/>
      <c r="AB134" s="27"/>
      <c r="AC134" s="28"/>
      <c r="AD134" s="28"/>
      <c r="AE134" s="28"/>
      <c r="AF134" s="28"/>
      <c r="AG134" s="28"/>
      <c r="AH134" s="115"/>
      <c r="AI134" s="116"/>
    </row>
    <row r="135" spans="1:35" ht="21">
      <c r="A135" s="356" t="s">
        <v>172</v>
      </c>
      <c r="B135" s="356"/>
      <c r="C135" s="356"/>
      <c r="D135" s="356"/>
      <c r="E135" s="356"/>
      <c r="F135" s="356"/>
      <c r="G135" s="109">
        <f>B121</f>
        <v>18500</v>
      </c>
      <c r="H135" s="120">
        <f>C125+E125+G125+H128</f>
        <v>20416.669999999998</v>
      </c>
      <c r="J135" s="356" t="s">
        <v>172</v>
      </c>
      <c r="K135" s="356"/>
      <c r="L135" s="356"/>
      <c r="M135" s="356"/>
      <c r="N135" s="356"/>
      <c r="O135" s="356"/>
      <c r="P135" s="109">
        <f t="shared" ref="P135:P142" si="7">H9</f>
        <v>0</v>
      </c>
      <c r="Q135" s="120" t="e">
        <f>L125+N125+P125+Q128</f>
        <v>#VALUE!</v>
      </c>
      <c r="S135" s="356" t="s">
        <v>172</v>
      </c>
      <c r="T135" s="356"/>
      <c r="U135" s="356"/>
      <c r="V135" s="356"/>
      <c r="W135" s="356"/>
      <c r="X135" s="356"/>
      <c r="Y135" s="109">
        <f t="shared" ref="Y135:Y142" si="8">H9</f>
        <v>0</v>
      </c>
      <c r="Z135" s="120" t="e">
        <f>U125+W125+Y125+Z128</f>
        <v>#VALUE!</v>
      </c>
      <c r="AB135" s="356" t="s">
        <v>172</v>
      </c>
      <c r="AC135" s="356"/>
      <c r="AD135" s="356"/>
      <c r="AE135" s="356"/>
      <c r="AF135" s="356"/>
      <c r="AG135" s="356"/>
      <c r="AH135" s="109">
        <f t="shared" ref="AH135:AH142" si="9">H9</f>
        <v>0</v>
      </c>
      <c r="AI135" s="120" t="e">
        <f>AD125+AF125+AH125+AI128</f>
        <v>#VALUE!</v>
      </c>
    </row>
    <row r="136" spans="1:35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57" t="s">
        <v>173</v>
      </c>
      <c r="K136" s="357"/>
      <c r="L136" s="357"/>
      <c r="M136" s="357"/>
      <c r="N136" s="357"/>
      <c r="O136" s="357"/>
      <c r="P136" s="121">
        <f t="shared" si="7"/>
        <v>0</v>
      </c>
      <c r="Q136" s="29">
        <f>P136</f>
        <v>0</v>
      </c>
      <c r="S136" s="357" t="s">
        <v>173</v>
      </c>
      <c r="T136" s="357"/>
      <c r="U136" s="357"/>
      <c r="V136" s="357"/>
      <c r="W136" s="357"/>
      <c r="X136" s="357"/>
      <c r="Y136" s="121">
        <f t="shared" si="8"/>
        <v>0</v>
      </c>
      <c r="Z136" s="29">
        <f>Y136</f>
        <v>0</v>
      </c>
      <c r="AB136" s="357" t="s">
        <v>173</v>
      </c>
      <c r="AC136" s="357"/>
      <c r="AD136" s="357"/>
      <c r="AE136" s="357"/>
      <c r="AF136" s="357"/>
      <c r="AG136" s="357"/>
      <c r="AH136" s="121">
        <f t="shared" si="9"/>
        <v>0</v>
      </c>
      <c r="AI136" s="29">
        <f>AH136</f>
        <v>0</v>
      </c>
    </row>
    <row r="137" spans="1:35">
      <c r="A137" s="357" t="s">
        <v>174</v>
      </c>
      <c r="B137" s="357"/>
      <c r="C137" s="357"/>
      <c r="D137" s="357"/>
      <c r="E137" s="357"/>
      <c r="F137" s="357"/>
      <c r="G137" s="29">
        <f>(G135+G136)*20%</f>
        <v>3700</v>
      </c>
      <c r="H137" s="29">
        <f>(H135+H136)*20%</f>
        <v>4083.3339999999998</v>
      </c>
      <c r="J137" s="357" t="s">
        <v>174</v>
      </c>
      <c r="K137" s="357"/>
      <c r="L137" s="357"/>
      <c r="M137" s="357"/>
      <c r="N137" s="357"/>
      <c r="O137" s="357"/>
      <c r="P137" s="121">
        <f t="shared" si="7"/>
        <v>0</v>
      </c>
      <c r="Q137" s="29" t="e">
        <f>(Q135+Q136)*20%</f>
        <v>#VALUE!</v>
      </c>
      <c r="S137" s="357" t="s">
        <v>174</v>
      </c>
      <c r="T137" s="357"/>
      <c r="U137" s="357"/>
      <c r="V137" s="357"/>
      <c r="W137" s="357"/>
      <c r="X137" s="357"/>
      <c r="Y137" s="121">
        <f t="shared" si="8"/>
        <v>0</v>
      </c>
      <c r="Z137" s="29" t="e">
        <f>(Z135+Z136)*20%</f>
        <v>#VALUE!</v>
      </c>
      <c r="AB137" s="357" t="s">
        <v>174</v>
      </c>
      <c r="AC137" s="357"/>
      <c r="AD137" s="357"/>
      <c r="AE137" s="357"/>
      <c r="AF137" s="357"/>
      <c r="AG137" s="357"/>
      <c r="AH137" s="121">
        <f t="shared" si="9"/>
        <v>0</v>
      </c>
      <c r="AI137" s="29" t="e">
        <f>(AI135+AI136)*20%</f>
        <v>#VALUE!</v>
      </c>
    </row>
    <row r="138" spans="1:35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57" t="s">
        <v>175</v>
      </c>
      <c r="K138" s="357"/>
      <c r="L138" s="357"/>
      <c r="M138" s="357"/>
      <c r="N138" s="357"/>
      <c r="O138" s="357"/>
      <c r="P138" s="121">
        <f t="shared" si="7"/>
        <v>0</v>
      </c>
      <c r="Q138" s="29">
        <f>P138</f>
        <v>0</v>
      </c>
      <c r="S138" s="357" t="s">
        <v>175</v>
      </c>
      <c r="T138" s="357"/>
      <c r="U138" s="357"/>
      <c r="V138" s="357"/>
      <c r="W138" s="357"/>
      <c r="X138" s="357"/>
      <c r="Y138" s="121">
        <f t="shared" si="8"/>
        <v>0</v>
      </c>
      <c r="Z138" s="29">
        <f>Y138</f>
        <v>0</v>
      </c>
      <c r="AB138" s="357" t="s">
        <v>175</v>
      </c>
      <c r="AC138" s="357"/>
      <c r="AD138" s="357"/>
      <c r="AE138" s="357"/>
      <c r="AF138" s="357"/>
      <c r="AG138" s="357"/>
      <c r="AH138" s="121">
        <f t="shared" si="9"/>
        <v>0</v>
      </c>
      <c r="AI138" s="29">
        <f>AH138</f>
        <v>0</v>
      </c>
    </row>
    <row r="139" spans="1:35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57" t="s">
        <v>176</v>
      </c>
      <c r="K139" s="357"/>
      <c r="L139" s="357"/>
      <c r="M139" s="357"/>
      <c r="N139" s="357"/>
      <c r="O139" s="357"/>
      <c r="P139" s="121">
        <f t="shared" si="7"/>
        <v>0</v>
      </c>
      <c r="Q139" s="29">
        <f>P139</f>
        <v>0</v>
      </c>
      <c r="S139" s="357" t="s">
        <v>176</v>
      </c>
      <c r="T139" s="357"/>
      <c r="U139" s="357"/>
      <c r="V139" s="357"/>
      <c r="W139" s="357"/>
      <c r="X139" s="357"/>
      <c r="Y139" s="121">
        <f t="shared" si="8"/>
        <v>0</v>
      </c>
      <c r="Z139" s="29">
        <f>Y139</f>
        <v>0</v>
      </c>
      <c r="AB139" s="357" t="s">
        <v>176</v>
      </c>
      <c r="AC139" s="357"/>
      <c r="AD139" s="357"/>
      <c r="AE139" s="357"/>
      <c r="AF139" s="357"/>
      <c r="AG139" s="357"/>
      <c r="AH139" s="121">
        <f t="shared" si="9"/>
        <v>0</v>
      </c>
      <c r="AI139" s="29">
        <f>AH139</f>
        <v>0</v>
      </c>
    </row>
    <row r="140" spans="1:35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57" t="s">
        <v>177</v>
      </c>
      <c r="K140" s="357"/>
      <c r="L140" s="357"/>
      <c r="M140" s="357"/>
      <c r="N140" s="357"/>
      <c r="O140" s="357"/>
      <c r="P140" s="121">
        <f t="shared" si="7"/>
        <v>0</v>
      </c>
      <c r="Q140" s="29">
        <v>55</v>
      </c>
      <c r="S140" s="357" t="s">
        <v>177</v>
      </c>
      <c r="T140" s="357"/>
      <c r="U140" s="357"/>
      <c r="V140" s="357"/>
      <c r="W140" s="357"/>
      <c r="X140" s="357"/>
      <c r="Y140" s="121">
        <f t="shared" si="8"/>
        <v>0</v>
      </c>
      <c r="Z140" s="29">
        <v>55</v>
      </c>
      <c r="AB140" s="357" t="s">
        <v>177</v>
      </c>
      <c r="AC140" s="357"/>
      <c r="AD140" s="357"/>
      <c r="AE140" s="357"/>
      <c r="AF140" s="357"/>
      <c r="AG140" s="357"/>
      <c r="AH140" s="121">
        <f t="shared" si="9"/>
        <v>0</v>
      </c>
      <c r="AI140" s="29">
        <v>55</v>
      </c>
    </row>
    <row r="141" spans="1:35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22200</v>
      </c>
      <c r="H141" s="122">
        <f>(H135+H136+H139+H140+H137)-H138</f>
        <v>24500.003999999997</v>
      </c>
      <c r="J141" s="357" t="s">
        <v>178</v>
      </c>
      <c r="K141" s="357"/>
      <c r="L141" s="357"/>
      <c r="M141" s="357"/>
      <c r="N141" s="357"/>
      <c r="O141" s="357"/>
      <c r="P141" s="123">
        <f t="shared" si="7"/>
        <v>0</v>
      </c>
      <c r="Q141" s="122" t="e">
        <f>(Q135+Q136+Q139+Q140+Q137)-Q138</f>
        <v>#VALUE!</v>
      </c>
      <c r="S141" s="357" t="s">
        <v>178</v>
      </c>
      <c r="T141" s="357"/>
      <c r="U141" s="357"/>
      <c r="V141" s="357"/>
      <c r="W141" s="357"/>
      <c r="X141" s="357"/>
      <c r="Y141" s="123">
        <f t="shared" si="8"/>
        <v>0</v>
      </c>
      <c r="Z141" s="122" t="e">
        <f>(Z135+Z136+Z139+Z140+Z137)-Z138</f>
        <v>#VALUE!</v>
      </c>
      <c r="AB141" s="357" t="s">
        <v>178</v>
      </c>
      <c r="AC141" s="357"/>
      <c r="AD141" s="357"/>
      <c r="AE141" s="357"/>
      <c r="AF141" s="357"/>
      <c r="AG141" s="357"/>
      <c r="AH141" s="123">
        <f t="shared" si="9"/>
        <v>0</v>
      </c>
      <c r="AI141" s="122" t="e">
        <f>(AI135+AI136+AI139+AI140+AI137)-AI138</f>
        <v>#VALUE!</v>
      </c>
    </row>
    <row r="142" spans="1:35">
      <c r="A142" s="357" t="s">
        <v>179</v>
      </c>
      <c r="B142" s="357"/>
      <c r="C142" s="357"/>
      <c r="D142" s="357"/>
      <c r="E142" s="357"/>
      <c r="F142" s="357"/>
      <c r="G142" s="121">
        <f>H16</f>
        <v>0</v>
      </c>
      <c r="H142" s="36">
        <f>G142</f>
        <v>0</v>
      </c>
      <c r="J142" s="357" t="s">
        <v>179</v>
      </c>
      <c r="K142" s="357"/>
      <c r="L142" s="357"/>
      <c r="M142" s="357"/>
      <c r="N142" s="357"/>
      <c r="O142" s="357"/>
      <c r="P142" s="121">
        <f t="shared" si="7"/>
        <v>0</v>
      </c>
      <c r="Q142" s="36">
        <f>P142</f>
        <v>0</v>
      </c>
      <c r="S142" s="357" t="s">
        <v>179</v>
      </c>
      <c r="T142" s="357"/>
      <c r="U142" s="357"/>
      <c r="V142" s="357"/>
      <c r="W142" s="357"/>
      <c r="X142" s="357"/>
      <c r="Y142" s="121">
        <f t="shared" si="8"/>
        <v>0</v>
      </c>
      <c r="Z142" s="36">
        <f>Y142</f>
        <v>0</v>
      </c>
      <c r="AB142" s="357" t="s">
        <v>179</v>
      </c>
      <c r="AC142" s="357"/>
      <c r="AD142" s="357"/>
      <c r="AE142" s="357"/>
      <c r="AF142" s="357"/>
      <c r="AG142" s="357"/>
      <c r="AH142" s="121">
        <f t="shared" si="9"/>
        <v>0</v>
      </c>
      <c r="AI142" s="36">
        <f>AH142</f>
        <v>0</v>
      </c>
    </row>
    <row r="143" spans="1:35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58" t="s">
        <v>180</v>
      </c>
      <c r="K143" s="358"/>
      <c r="L143" s="358"/>
      <c r="M143" s="358"/>
      <c r="N143" s="358"/>
      <c r="O143" s="358"/>
      <c r="P143" s="34"/>
      <c r="Q143" s="29"/>
      <c r="S143" s="358" t="s">
        <v>180</v>
      </c>
      <c r="T143" s="358"/>
      <c r="U143" s="358"/>
      <c r="V143" s="358"/>
      <c r="W143" s="358"/>
      <c r="X143" s="358"/>
      <c r="Y143" s="34"/>
      <c r="Z143" s="29"/>
      <c r="AB143" s="358" t="s">
        <v>180</v>
      </c>
      <c r="AC143" s="358"/>
      <c r="AD143" s="358"/>
      <c r="AE143" s="358"/>
      <c r="AF143" s="358"/>
      <c r="AG143" s="358"/>
      <c r="AH143" s="34"/>
      <c r="AI143" s="29"/>
    </row>
    <row r="144" spans="1:35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J144" s="124" t="s">
        <v>26</v>
      </c>
      <c r="K144" s="360" t="s">
        <v>181</v>
      </c>
      <c r="L144" s="360"/>
      <c r="M144" s="360"/>
      <c r="N144" s="360"/>
      <c r="O144" s="360"/>
      <c r="P144" s="121">
        <f>H18</f>
        <v>0</v>
      </c>
      <c r="Q144" s="36">
        <f>P144</f>
        <v>0</v>
      </c>
      <c r="S144" s="124" t="s">
        <v>26</v>
      </c>
      <c r="T144" s="360" t="s">
        <v>181</v>
      </c>
      <c r="U144" s="360"/>
      <c r="V144" s="360"/>
      <c r="W144" s="360"/>
      <c r="X144" s="360"/>
      <c r="Y144" s="121">
        <f>H18</f>
        <v>0</v>
      </c>
      <c r="Z144" s="36">
        <f>Y144</f>
        <v>0</v>
      </c>
      <c r="AB144" s="124" t="s">
        <v>26</v>
      </c>
      <c r="AC144" s="360" t="s">
        <v>181</v>
      </c>
      <c r="AD144" s="360"/>
      <c r="AE144" s="360"/>
      <c r="AF144" s="360"/>
      <c r="AG144" s="360"/>
      <c r="AH144" s="121">
        <f>H18</f>
        <v>0</v>
      </c>
      <c r="AI144" s="36">
        <f>AH144</f>
        <v>0</v>
      </c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J145" s="124" t="s">
        <v>28</v>
      </c>
      <c r="K145" s="360" t="s">
        <v>181</v>
      </c>
      <c r="L145" s="360"/>
      <c r="M145" s="360"/>
      <c r="N145" s="360"/>
      <c r="O145" s="360"/>
      <c r="P145" s="121">
        <f>H19</f>
        <v>0</v>
      </c>
      <c r="Q145" s="36">
        <f>P145</f>
        <v>0</v>
      </c>
      <c r="S145" s="124" t="s">
        <v>28</v>
      </c>
      <c r="T145" s="360" t="s">
        <v>181</v>
      </c>
      <c r="U145" s="360"/>
      <c r="V145" s="360"/>
      <c r="W145" s="360"/>
      <c r="X145" s="360"/>
      <c r="Y145" s="121">
        <f>H19</f>
        <v>0</v>
      </c>
      <c r="Z145" s="36">
        <f>Y145</f>
        <v>0</v>
      </c>
      <c r="AB145" s="124" t="s">
        <v>28</v>
      </c>
      <c r="AC145" s="360" t="s">
        <v>181</v>
      </c>
      <c r="AD145" s="360"/>
      <c r="AE145" s="360"/>
      <c r="AF145" s="360"/>
      <c r="AG145" s="360"/>
      <c r="AH145" s="121">
        <f>H19</f>
        <v>0</v>
      </c>
      <c r="AI145" s="36">
        <f>AH145</f>
        <v>0</v>
      </c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J146" s="125" t="s">
        <v>29</v>
      </c>
      <c r="K146" s="361" t="s">
        <v>181</v>
      </c>
      <c r="L146" s="361"/>
      <c r="M146" s="361"/>
      <c r="N146" s="361"/>
      <c r="O146" s="361"/>
      <c r="P146" s="121">
        <f>H20</f>
        <v>0</v>
      </c>
      <c r="Q146" s="36">
        <f>P146</f>
        <v>0</v>
      </c>
      <c r="S146" s="125" t="s">
        <v>29</v>
      </c>
      <c r="T146" s="361" t="s">
        <v>181</v>
      </c>
      <c r="U146" s="361"/>
      <c r="V146" s="361"/>
      <c r="W146" s="361"/>
      <c r="X146" s="361"/>
      <c r="Y146" s="121">
        <f>H20</f>
        <v>0</v>
      </c>
      <c r="Z146" s="36">
        <f>Y146</f>
        <v>0</v>
      </c>
      <c r="AB146" s="125" t="s">
        <v>29</v>
      </c>
      <c r="AC146" s="361" t="s">
        <v>181</v>
      </c>
      <c r="AD146" s="361"/>
      <c r="AE146" s="361"/>
      <c r="AF146" s="361"/>
      <c r="AG146" s="361"/>
      <c r="AH146" s="121">
        <f>H20</f>
        <v>0</v>
      </c>
      <c r="AI146" s="36">
        <f>AH146</f>
        <v>0</v>
      </c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22200</v>
      </c>
      <c r="H147" s="126">
        <f>H141-((H144*1.2)+(H145*1.2)+(H146*1.2)+(H142*1.2))</f>
        <v>24500.003999999997</v>
      </c>
      <c r="J147" s="357" t="s">
        <v>182</v>
      </c>
      <c r="K147" s="357"/>
      <c r="L147" s="357"/>
      <c r="M147" s="357"/>
      <c r="N147" s="357"/>
      <c r="O147" s="357"/>
      <c r="P147" s="123">
        <f>P141-((P144*1.2)+(P145*1.2)+(P146*1.2)+(P142*1.2))</f>
        <v>0</v>
      </c>
      <c r="Q147" s="126" t="e">
        <f>Q141-((Q144*1.2)+(Q145*1.2)+(Q146*1.2)+(Q142*1.2))</f>
        <v>#VALUE!</v>
      </c>
      <c r="S147" s="357" t="s">
        <v>182</v>
      </c>
      <c r="T147" s="357"/>
      <c r="U147" s="357"/>
      <c r="V147" s="357"/>
      <c r="W147" s="357"/>
      <c r="X147" s="357"/>
      <c r="Y147" s="123">
        <f>Y141-((Y144*1.2)+(Y145*1.2)+(Y146*1.2)+(Y142*1.2))</f>
        <v>0</v>
      </c>
      <c r="Z147" s="126" t="e">
        <f>Z141-((Z144*1.2)+(Z145*1.2)+(Z146*1.2)+(Z142*1.2))</f>
        <v>#VALUE!</v>
      </c>
      <c r="AB147" s="357" t="s">
        <v>182</v>
      </c>
      <c r="AC147" s="357"/>
      <c r="AD147" s="357"/>
      <c r="AE147" s="357"/>
      <c r="AF147" s="357"/>
      <c r="AG147" s="357"/>
      <c r="AH147" s="123">
        <f>AH141-((AH144*1.2)+(AH145*1.2)+(AH146*1.2)+(AH142*1.2))</f>
        <v>0</v>
      </c>
      <c r="AI147" s="126" t="e">
        <f>AI141-((AI144*1.2)+(AI145*1.2)+(AI146*1.2)+(AI142*1.2))</f>
        <v>#VALUE!</v>
      </c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1916.6699999999973</v>
      </c>
      <c r="I148" s="4">
        <f>(H148-G81)/1.2</f>
        <v>-18336.111666666668</v>
      </c>
      <c r="J148" s="357" t="s">
        <v>183</v>
      </c>
      <c r="K148" s="357"/>
      <c r="L148" s="357"/>
      <c r="M148" s="357"/>
      <c r="N148" s="357"/>
      <c r="O148" s="357"/>
      <c r="P148" s="121"/>
      <c r="Q148" s="36" t="e">
        <f>Q147-P147</f>
        <v>#VALUE!</v>
      </c>
      <c r="S148" s="357" t="s">
        <v>183</v>
      </c>
      <c r="T148" s="357"/>
      <c r="U148" s="357"/>
      <c r="V148" s="357"/>
      <c r="W148" s="357"/>
      <c r="X148" s="357"/>
      <c r="Y148" s="121"/>
      <c r="Z148" s="36" t="e">
        <f>Z147-Y147</f>
        <v>#VALUE!</v>
      </c>
      <c r="AB148" s="357" t="s">
        <v>183</v>
      </c>
      <c r="AC148" s="357"/>
      <c r="AD148" s="357"/>
      <c r="AE148" s="357"/>
      <c r="AF148" s="357"/>
      <c r="AG148" s="357"/>
      <c r="AH148" s="121"/>
      <c r="AI148" s="36" t="e">
        <f>AI147-AH147</f>
        <v>#VALUE!</v>
      </c>
    </row>
    <row r="149" spans="1:35">
      <c r="A149" s="27"/>
      <c r="B149" s="28"/>
      <c r="C149" s="28"/>
      <c r="D149" s="28"/>
      <c r="E149" s="21"/>
      <c r="F149" s="21"/>
      <c r="G149" s="21"/>
      <c r="H149" s="29"/>
      <c r="J149" s="27"/>
      <c r="K149" s="28"/>
      <c r="L149" s="28"/>
      <c r="M149" s="28"/>
      <c r="N149" s="21"/>
      <c r="O149" s="21"/>
      <c r="P149" s="21"/>
      <c r="Q149" s="29"/>
      <c r="S149" s="27"/>
      <c r="T149" s="28"/>
      <c r="U149" s="28"/>
      <c r="V149" s="28"/>
      <c r="W149" s="21"/>
      <c r="X149" s="21"/>
      <c r="Y149" s="21"/>
      <c r="Z149" s="29"/>
      <c r="AB149" s="27"/>
      <c r="AC149" s="28"/>
      <c r="AD149" s="28"/>
      <c r="AE149" s="28"/>
      <c r="AF149" s="21"/>
      <c r="AG149" s="21"/>
      <c r="AH149" s="21"/>
      <c r="AI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35" t="s">
        <v>184</v>
      </c>
      <c r="K150" s="335"/>
      <c r="L150" s="335"/>
      <c r="M150" s="335"/>
      <c r="N150" s="335"/>
      <c r="O150" s="335"/>
      <c r="P150" s="335"/>
      <c r="Q150" s="335"/>
      <c r="S150" s="335" t="s">
        <v>184</v>
      </c>
      <c r="T150" s="335"/>
      <c r="U150" s="335"/>
      <c r="V150" s="335"/>
      <c r="W150" s="335"/>
      <c r="X150" s="335"/>
      <c r="Y150" s="335"/>
      <c r="Z150" s="335"/>
      <c r="AB150" s="335" t="s">
        <v>184</v>
      </c>
      <c r="AC150" s="335"/>
      <c r="AD150" s="335"/>
      <c r="AE150" s="335"/>
      <c r="AF150" s="335"/>
      <c r="AG150" s="335"/>
      <c r="AH150" s="335"/>
      <c r="AI150" s="335"/>
    </row>
    <row r="151" spans="1:35">
      <c r="A151" s="27"/>
      <c r="B151" s="28"/>
      <c r="C151" s="28"/>
      <c r="D151" s="28"/>
      <c r="E151" s="21"/>
      <c r="F151" s="21"/>
      <c r="G151" s="21"/>
      <c r="H151" s="29"/>
      <c r="J151" s="27"/>
      <c r="K151" s="28"/>
      <c r="L151" s="28"/>
      <c r="M151" s="28"/>
      <c r="N151" s="21"/>
      <c r="O151" s="21"/>
      <c r="P151" s="21"/>
      <c r="Q151" s="29"/>
      <c r="S151" s="27"/>
      <c r="T151" s="28"/>
      <c r="U151" s="28"/>
      <c r="V151" s="28"/>
      <c r="W151" s="21"/>
      <c r="X151" s="21"/>
      <c r="Y151" s="21"/>
      <c r="Z151" s="29"/>
      <c r="AB151" s="27"/>
      <c r="AC151" s="28"/>
      <c r="AD151" s="28"/>
      <c r="AE151" s="28"/>
      <c r="AF151" s="21"/>
      <c r="AG151" s="21"/>
      <c r="AH151" s="21"/>
      <c r="AI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J152" s="27" t="s">
        <v>185</v>
      </c>
      <c r="K152" s="28"/>
      <c r="L152" s="28"/>
      <c r="M152" s="21"/>
      <c r="N152" s="348">
        <v>10000</v>
      </c>
      <c r="O152" s="348"/>
      <c r="P152" s="348">
        <v>5000</v>
      </c>
      <c r="Q152" s="348"/>
      <c r="S152" s="27" t="s">
        <v>185</v>
      </c>
      <c r="T152" s="28"/>
      <c r="U152" s="28"/>
      <c r="V152" s="21"/>
      <c r="W152" s="348">
        <v>10000</v>
      </c>
      <c r="X152" s="348"/>
      <c r="Y152" s="348">
        <v>5000</v>
      </c>
      <c r="Z152" s="348"/>
      <c r="AB152" s="27" t="s">
        <v>185</v>
      </c>
      <c r="AC152" s="28"/>
      <c r="AD152" s="28"/>
      <c r="AE152" s="21"/>
      <c r="AF152" s="348">
        <v>10000</v>
      </c>
      <c r="AG152" s="348"/>
      <c r="AH152" s="348">
        <v>5000</v>
      </c>
      <c r="AI152" s="348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J153" s="27" t="s">
        <v>186</v>
      </c>
      <c r="K153" s="28"/>
      <c r="L153" s="28"/>
      <c r="M153" s="21"/>
      <c r="N153" s="363">
        <f>P153</f>
        <v>7000</v>
      </c>
      <c r="O153" s="363"/>
      <c r="P153" s="348">
        <v>7000</v>
      </c>
      <c r="Q153" s="348"/>
      <c r="S153" s="27" t="s">
        <v>186</v>
      </c>
      <c r="T153" s="28"/>
      <c r="U153" s="28"/>
      <c r="V153" s="21"/>
      <c r="W153" s="363">
        <f>Y153</f>
        <v>7000</v>
      </c>
      <c r="X153" s="363"/>
      <c r="Y153" s="348">
        <v>7000</v>
      </c>
      <c r="Z153" s="348"/>
      <c r="AB153" s="27" t="s">
        <v>186</v>
      </c>
      <c r="AC153" s="28"/>
      <c r="AD153" s="28"/>
      <c r="AE153" s="21"/>
      <c r="AF153" s="363">
        <f>AH153</f>
        <v>7000</v>
      </c>
      <c r="AG153" s="363"/>
      <c r="AH153" s="348">
        <v>7000</v>
      </c>
      <c r="AI153" s="348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J154" s="27" t="s">
        <v>187</v>
      </c>
      <c r="K154" s="28"/>
      <c r="L154" s="28"/>
      <c r="M154" s="21"/>
      <c r="N154" s="363">
        <f>N152-N153</f>
        <v>3000</v>
      </c>
      <c r="O154" s="363"/>
      <c r="P154" s="364">
        <f>P152-P153</f>
        <v>-2000</v>
      </c>
      <c r="Q154" s="364"/>
      <c r="S154" s="27" t="s">
        <v>187</v>
      </c>
      <c r="T154" s="28"/>
      <c r="U154" s="28"/>
      <c r="V154" s="21"/>
      <c r="W154" s="363">
        <f>W152-W153</f>
        <v>3000</v>
      </c>
      <c r="X154" s="363"/>
      <c r="Y154" s="364">
        <f>Y152-Y153</f>
        <v>-2000</v>
      </c>
      <c r="Z154" s="364"/>
      <c r="AB154" s="27" t="s">
        <v>187</v>
      </c>
      <c r="AC154" s="28"/>
      <c r="AD154" s="28"/>
      <c r="AE154" s="21"/>
      <c r="AF154" s="363">
        <f>AF152-AF153</f>
        <v>3000</v>
      </c>
      <c r="AG154" s="363"/>
      <c r="AH154" s="364">
        <f>AH152-AH153</f>
        <v>-2000</v>
      </c>
      <c r="AI154" s="364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J155" s="27" t="s">
        <v>188</v>
      </c>
      <c r="K155" s="28"/>
      <c r="L155" s="28"/>
      <c r="M155" s="21"/>
      <c r="N155" s="363">
        <f>N154-P154</f>
        <v>5000</v>
      </c>
      <c r="O155" s="363"/>
      <c r="P155" s="21"/>
      <c r="Q155" s="29"/>
      <c r="S155" s="27" t="s">
        <v>188</v>
      </c>
      <c r="T155" s="28"/>
      <c r="U155" s="28"/>
      <c r="V155" s="21"/>
      <c r="W155" s="363">
        <f>W154-Y154</f>
        <v>5000</v>
      </c>
      <c r="X155" s="363"/>
      <c r="Y155" s="21"/>
      <c r="Z155" s="29"/>
      <c r="AB155" s="27" t="s">
        <v>188</v>
      </c>
      <c r="AC155" s="28"/>
      <c r="AD155" s="28"/>
      <c r="AE155" s="21"/>
      <c r="AF155" s="363">
        <f>AF154-AH154</f>
        <v>5000</v>
      </c>
      <c r="AG155" s="363"/>
      <c r="AH155" s="21"/>
      <c r="AI155" s="29"/>
    </row>
    <row r="156" spans="1:35">
      <c r="A156" s="27" t="s">
        <v>189</v>
      </c>
      <c r="B156" s="28"/>
      <c r="C156" s="28"/>
      <c r="D156" s="21"/>
      <c r="E156" s="28"/>
      <c r="F156" s="21"/>
      <c r="G156" s="21"/>
      <c r="H156" s="36">
        <v>1420</v>
      </c>
      <c r="J156" s="27"/>
      <c r="K156" s="28"/>
      <c r="L156" s="28"/>
      <c r="M156" s="21"/>
      <c r="N156" s="28"/>
      <c r="O156" s="21"/>
      <c r="P156" s="21"/>
      <c r="Q156" s="29"/>
      <c r="S156" s="27"/>
      <c r="T156" s="28"/>
      <c r="U156" s="28"/>
      <c r="V156" s="21"/>
      <c r="W156" s="28"/>
      <c r="X156" s="21"/>
      <c r="Y156" s="21"/>
      <c r="Z156" s="29"/>
      <c r="AB156" s="27"/>
      <c r="AC156" s="28"/>
      <c r="AD156" s="28"/>
      <c r="AE156" s="21"/>
      <c r="AF156" s="28"/>
      <c r="AG156" s="21"/>
      <c r="AH156" s="21"/>
      <c r="AI156" s="29"/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2000</v>
      </c>
      <c r="H157" s="365"/>
      <c r="J157" s="22" t="s">
        <v>190</v>
      </c>
      <c r="K157" s="23"/>
      <c r="L157" s="23"/>
      <c r="M157" s="63"/>
      <c r="N157" s="23"/>
      <c r="O157" s="63"/>
      <c r="P157" s="365">
        <f>J114</f>
        <v>1000</v>
      </c>
      <c r="Q157" s="365"/>
      <c r="S157" s="22" t="s">
        <v>190</v>
      </c>
      <c r="T157" s="23"/>
      <c r="U157" s="23"/>
      <c r="V157" s="63"/>
      <c r="W157" s="23"/>
      <c r="X157" s="63"/>
      <c r="Y157" s="365">
        <f>S114</f>
        <v>1000</v>
      </c>
      <c r="Z157" s="365"/>
      <c r="AB157" s="22" t="s">
        <v>190</v>
      </c>
      <c r="AC157" s="23"/>
      <c r="AD157" s="23"/>
      <c r="AE157" s="63"/>
      <c r="AF157" s="23"/>
      <c r="AG157" s="63"/>
      <c r="AH157" s="365">
        <f>AB114</f>
        <v>1000</v>
      </c>
      <c r="AI157" s="365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23920.003999999997</v>
      </c>
      <c r="H158" s="366"/>
      <c r="J158" s="129" t="s">
        <v>191</v>
      </c>
      <c r="K158" s="28"/>
      <c r="L158" s="28"/>
      <c r="M158" s="21"/>
      <c r="N158" s="28"/>
      <c r="O158" s="21"/>
      <c r="P158" s="366" t="e">
        <f>Q147-P154-P157</f>
        <v>#VALUE!</v>
      </c>
      <c r="Q158" s="366"/>
      <c r="S158" s="129" t="s">
        <v>191</v>
      </c>
      <c r="T158" s="28"/>
      <c r="U158" s="28"/>
      <c r="V158" s="21"/>
      <c r="W158" s="28"/>
      <c r="X158" s="21"/>
      <c r="Y158" s="366" t="e">
        <f>Z147-Y154-Y157</f>
        <v>#VALUE!</v>
      </c>
      <c r="Z158" s="366"/>
      <c r="AB158" s="129" t="s">
        <v>191</v>
      </c>
      <c r="AC158" s="28"/>
      <c r="AD158" s="28"/>
      <c r="AE158" s="21"/>
      <c r="AF158" s="28"/>
      <c r="AG158" s="21"/>
      <c r="AH158" s="366" t="e">
        <f>AI147-AH154-AH157</f>
        <v>#VALUE!</v>
      </c>
      <c r="AI158" s="366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833.33333333333337</v>
      </c>
      <c r="H159" s="367"/>
      <c r="J159" s="49" t="s">
        <v>66</v>
      </c>
      <c r="K159" s="50"/>
      <c r="L159" s="50"/>
      <c r="M159" s="85"/>
      <c r="N159" s="50"/>
      <c r="O159" s="85"/>
      <c r="P159" s="367">
        <f>K114</f>
        <v>239.99</v>
      </c>
      <c r="Q159" s="367"/>
      <c r="S159" s="49" t="s">
        <v>66</v>
      </c>
      <c r="T159" s="50"/>
      <c r="U159" s="50"/>
      <c r="V159" s="85"/>
      <c r="W159" s="50"/>
      <c r="X159" s="85"/>
      <c r="Y159" s="367">
        <f>T114</f>
        <v>199.99</v>
      </c>
      <c r="Z159" s="367"/>
      <c r="AB159" s="49" t="s">
        <v>66</v>
      </c>
      <c r="AC159" s="50"/>
      <c r="AD159" s="50"/>
      <c r="AE159" s="85"/>
      <c r="AF159" s="50"/>
      <c r="AG159" s="85"/>
      <c r="AH159" s="367">
        <f>AC114</f>
        <v>239.99</v>
      </c>
      <c r="AI159" s="367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/>
      <c r="B161" s="28"/>
      <c r="C161" s="28"/>
      <c r="D161" s="28"/>
      <c r="E161" s="21"/>
      <c r="F161" s="21"/>
      <c r="G161" s="21"/>
      <c r="H161" s="29"/>
      <c r="J161" s="27"/>
      <c r="K161" s="28"/>
      <c r="L161" s="28"/>
      <c r="M161" s="28"/>
      <c r="N161" s="21"/>
      <c r="O161" s="21"/>
      <c r="P161" s="21"/>
      <c r="Q161" s="29"/>
      <c r="S161" s="27"/>
      <c r="T161" s="28"/>
      <c r="U161" s="28"/>
      <c r="V161" s="28"/>
      <c r="W161" s="21"/>
      <c r="X161" s="21"/>
      <c r="Y161" s="21"/>
      <c r="Z161" s="29"/>
      <c r="AB161" s="27"/>
      <c r="AC161" s="28"/>
      <c r="AD161" s="28"/>
      <c r="AE161" s="28"/>
      <c r="AF161" s="21"/>
      <c r="AG161" s="21"/>
      <c r="AH161" s="21"/>
      <c r="AI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35" t="s">
        <v>192</v>
      </c>
      <c r="K162" s="335"/>
      <c r="L162" s="335"/>
      <c r="M162" s="335"/>
      <c r="N162" s="335"/>
      <c r="O162" s="335"/>
      <c r="P162" s="335"/>
      <c r="Q162" s="335"/>
      <c r="S162" s="335" t="s">
        <v>192</v>
      </c>
      <c r="T162" s="335"/>
      <c r="U162" s="335"/>
      <c r="V162" s="335"/>
      <c r="W162" s="335"/>
      <c r="X162" s="335"/>
      <c r="Y162" s="335"/>
      <c r="Z162" s="335"/>
      <c r="AB162" s="335" t="s">
        <v>192</v>
      </c>
      <c r="AC162" s="335"/>
      <c r="AD162" s="335"/>
      <c r="AE162" s="335"/>
      <c r="AF162" s="335"/>
      <c r="AG162" s="335"/>
      <c r="AH162" s="335"/>
      <c r="AI162" s="335"/>
    </row>
    <row r="163" spans="1:35">
      <c r="A163" s="27"/>
      <c r="B163" s="28"/>
      <c r="C163" s="28"/>
      <c r="D163" s="28"/>
      <c r="E163" s="21"/>
      <c r="F163" s="21"/>
      <c r="G163" s="21"/>
      <c r="H163" s="29"/>
      <c r="J163" s="27"/>
      <c r="K163" s="28"/>
      <c r="L163" s="28"/>
      <c r="M163" s="28"/>
      <c r="N163" s="21"/>
      <c r="O163" s="21"/>
      <c r="P163" s="21"/>
      <c r="Q163" s="29"/>
      <c r="S163" s="27"/>
      <c r="T163" s="28"/>
      <c r="U163" s="28"/>
      <c r="V163" s="28"/>
      <c r="W163" s="21"/>
      <c r="X163" s="21"/>
      <c r="Y163" s="21"/>
      <c r="Z163" s="29"/>
      <c r="AB163" s="27"/>
      <c r="AC163" s="28"/>
      <c r="AD163" s="28"/>
      <c r="AE163" s="28"/>
      <c r="AF163" s="21"/>
      <c r="AG163" s="21"/>
      <c r="AH163" s="21"/>
      <c r="AI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J164" s="27" t="s">
        <v>193</v>
      </c>
      <c r="K164" s="368">
        <v>0</v>
      </c>
      <c r="L164" s="368"/>
      <c r="M164" s="28"/>
      <c r="N164" s="21"/>
      <c r="O164" s="21"/>
      <c r="P164" s="21"/>
      <c r="Q164" s="29"/>
      <c r="S164" s="27" t="s">
        <v>193</v>
      </c>
      <c r="T164" s="368">
        <v>0</v>
      </c>
      <c r="U164" s="368"/>
      <c r="V164" s="28"/>
      <c r="W164" s="21"/>
      <c r="X164" s="21"/>
      <c r="Y164" s="21"/>
      <c r="Z164" s="29"/>
      <c r="AB164" s="27" t="s">
        <v>193</v>
      </c>
      <c r="AC164" s="368">
        <v>0</v>
      </c>
      <c r="AD164" s="368"/>
      <c r="AE164" s="28"/>
      <c r="AF164" s="21"/>
      <c r="AG164" s="21"/>
      <c r="AH164" s="21"/>
      <c r="AI164" s="29"/>
    </row>
    <row r="165" spans="1:35">
      <c r="A165" s="27"/>
      <c r="B165" s="28"/>
      <c r="C165" s="28"/>
      <c r="D165" s="28"/>
      <c r="E165" s="21"/>
      <c r="F165" s="21"/>
      <c r="G165" s="21"/>
      <c r="H165" s="29"/>
      <c r="J165" s="27"/>
      <c r="K165" s="28"/>
      <c r="L165" s="28"/>
      <c r="M165" s="28"/>
      <c r="N165" s="21"/>
      <c r="O165" s="21"/>
      <c r="P165" s="21"/>
      <c r="Q165" s="29"/>
      <c r="S165" s="27"/>
      <c r="T165" s="28"/>
      <c r="U165" s="28"/>
      <c r="V165" s="28"/>
      <c r="W165" s="21"/>
      <c r="X165" s="21"/>
      <c r="Y165" s="21"/>
      <c r="Z165" s="29"/>
      <c r="AB165" s="27"/>
      <c r="AC165" s="28"/>
      <c r="AD165" s="28"/>
      <c r="AE165" s="28"/>
      <c r="AF165" s="21"/>
      <c r="AG165" s="21"/>
      <c r="AH165" s="21"/>
      <c r="AI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  <c r="J166" s="130" t="s">
        <v>194</v>
      </c>
      <c r="K166" s="131" t="s">
        <v>195</v>
      </c>
      <c r="L166" s="131"/>
      <c r="M166" s="131"/>
      <c r="N166" s="131" t="s">
        <v>196</v>
      </c>
      <c r="O166" s="21"/>
      <c r="P166" s="21"/>
      <c r="Q166" s="29"/>
      <c r="S166" s="130" t="s">
        <v>194</v>
      </c>
      <c r="T166" s="131" t="s">
        <v>195</v>
      </c>
      <c r="U166" s="131"/>
      <c r="V166" s="131"/>
      <c r="W166" s="131" t="s">
        <v>196</v>
      </c>
      <c r="X166" s="21"/>
      <c r="Y166" s="21"/>
      <c r="Z166" s="29"/>
      <c r="AB166" s="130" t="s">
        <v>194</v>
      </c>
      <c r="AC166" s="131" t="s">
        <v>195</v>
      </c>
      <c r="AD166" s="131"/>
      <c r="AE166" s="131"/>
      <c r="AF166" s="131" t="s">
        <v>196</v>
      </c>
      <c r="AG166" s="21"/>
      <c r="AH166" s="21"/>
      <c r="AI166" s="29"/>
    </row>
    <row r="167" spans="1:35">
      <c r="A167" s="189">
        <f>B95</f>
        <v>813.36820508541473</v>
      </c>
      <c r="B167" s="133" t="str">
        <f>B94</f>
        <v>0</v>
      </c>
      <c r="C167" s="131"/>
      <c r="D167" s="131"/>
      <c r="E167" s="133">
        <f>B96</f>
        <v>813.36820508541473</v>
      </c>
      <c r="F167" s="21"/>
      <c r="G167" s="21">
        <f>ROUND(G95,2)</f>
        <v>757.55</v>
      </c>
      <c r="H167" s="29"/>
      <c r="J167" s="132" t="e">
        <f>K95</f>
        <v>#VALUE!</v>
      </c>
      <c r="K167" s="133">
        <f>K94</f>
        <v>0</v>
      </c>
      <c r="L167" s="131"/>
      <c r="M167" s="131"/>
      <c r="N167" s="133" t="e">
        <f>K96</f>
        <v>#VALUE!</v>
      </c>
      <c r="O167" s="21"/>
      <c r="P167" s="21"/>
      <c r="Q167" s="29"/>
      <c r="S167" s="132" t="e">
        <f>T95</f>
        <v>#VALUE!</v>
      </c>
      <c r="T167" s="133">
        <f>T94</f>
        <v>0</v>
      </c>
      <c r="U167" s="131"/>
      <c r="V167" s="131"/>
      <c r="W167" s="133" t="e">
        <f>T96</f>
        <v>#VALUE!</v>
      </c>
      <c r="X167" s="21"/>
      <c r="Y167" s="21"/>
      <c r="Z167" s="29"/>
      <c r="AB167" s="132" t="e">
        <f>AC95</f>
        <v>#VALUE!</v>
      </c>
      <c r="AC167" s="133">
        <f>AC94</f>
        <v>0</v>
      </c>
      <c r="AD167" s="131"/>
      <c r="AE167" s="131"/>
      <c r="AF167" s="133" t="e">
        <f>AC96</f>
        <v>#VALUE!</v>
      </c>
      <c r="AG167" s="21"/>
      <c r="AH167" s="21"/>
      <c r="AI167" s="29"/>
    </row>
    <row r="168" spans="1:35">
      <c r="A168" s="27"/>
      <c r="B168" s="28"/>
      <c r="C168" s="28"/>
      <c r="D168" s="28"/>
      <c r="E168" s="21"/>
      <c r="F168" s="21"/>
      <c r="G168" s="21"/>
      <c r="H168" s="29"/>
      <c r="J168" s="27"/>
      <c r="K168" s="28"/>
      <c r="L168" s="28"/>
      <c r="M168" s="28"/>
      <c r="N168" s="21"/>
      <c r="O168" s="21"/>
      <c r="P168" s="21"/>
      <c r="Q168" s="29"/>
      <c r="S168" s="27"/>
      <c r="T168" s="28"/>
      <c r="U168" s="28"/>
      <c r="V168" s="28"/>
      <c r="W168" s="21"/>
      <c r="X168" s="21"/>
      <c r="Y168" s="21"/>
      <c r="Z168" s="29"/>
      <c r="AB168" s="27"/>
      <c r="AC168" s="28"/>
      <c r="AD168" s="28"/>
      <c r="AE168" s="28"/>
      <c r="AF168" s="21"/>
      <c r="AG168" s="21"/>
      <c r="AH168" s="21"/>
      <c r="AI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  <c r="J169" s="27" t="s">
        <v>94</v>
      </c>
      <c r="K169" s="28" t="s">
        <v>95</v>
      </c>
      <c r="L169" s="28"/>
      <c r="M169" s="21"/>
      <c r="N169" s="28" t="s">
        <v>198</v>
      </c>
      <c r="O169" s="21"/>
      <c r="P169" s="21"/>
      <c r="Q169" s="29"/>
      <c r="S169" s="27" t="s">
        <v>94</v>
      </c>
      <c r="T169" s="28" t="s">
        <v>95</v>
      </c>
      <c r="U169" s="28"/>
      <c r="V169" s="21"/>
      <c r="W169" s="28" t="s">
        <v>198</v>
      </c>
      <c r="X169" s="21"/>
      <c r="Y169" s="21"/>
      <c r="Z169" s="29"/>
      <c r="AB169" s="27" t="s">
        <v>94</v>
      </c>
      <c r="AC169" s="28" t="s">
        <v>95</v>
      </c>
      <c r="AD169" s="28"/>
      <c r="AE169" s="21"/>
      <c r="AF169" s="28" t="s">
        <v>198</v>
      </c>
      <c r="AG169" s="21"/>
      <c r="AH169" s="21"/>
      <c r="AI169" s="29"/>
    </row>
    <row r="170" spans="1:35">
      <c r="A170" s="134">
        <f>K29</f>
        <v>36</v>
      </c>
      <c r="B170" s="170">
        <f>K30</f>
        <v>10000</v>
      </c>
      <c r="C170" s="136"/>
      <c r="D170" s="21"/>
      <c r="E170" s="137">
        <f>IF(A111="YES",A40,0)</f>
        <v>0</v>
      </c>
      <c r="F170" s="21"/>
      <c r="G170" s="21"/>
      <c r="H170" s="29"/>
      <c r="J170" s="134">
        <f>K29</f>
        <v>36</v>
      </c>
      <c r="K170" s="135">
        <f>K30</f>
        <v>10000</v>
      </c>
      <c r="L170" s="136"/>
      <c r="M170" s="21"/>
      <c r="N170" s="137">
        <f>IF(A111="YES",A40,0)</f>
        <v>0</v>
      </c>
      <c r="O170" s="21"/>
      <c r="P170" s="21"/>
      <c r="Q170" s="29"/>
      <c r="S170" s="134">
        <f>K29</f>
        <v>36</v>
      </c>
      <c r="T170" s="135">
        <f>K30</f>
        <v>10000</v>
      </c>
      <c r="U170" s="136"/>
      <c r="V170" s="21"/>
      <c r="W170" s="137">
        <f>IF(A111="YES",A40,0)</f>
        <v>0</v>
      </c>
      <c r="X170" s="21"/>
      <c r="Y170" s="21"/>
      <c r="Z170" s="29"/>
      <c r="AB170" s="134">
        <f>K29</f>
        <v>36</v>
      </c>
      <c r="AC170" s="135">
        <f>K30</f>
        <v>10000</v>
      </c>
      <c r="AD170" s="136"/>
      <c r="AE170" s="21"/>
      <c r="AF170" s="137">
        <f>IF(A111="YES",A40,0)</f>
        <v>0</v>
      </c>
      <c r="AG170" s="21"/>
      <c r="AH170" s="21"/>
      <c r="AI170" s="29"/>
    </row>
    <row r="171" spans="1:35">
      <c r="A171" s="27"/>
      <c r="B171" s="28"/>
      <c r="C171" s="28"/>
      <c r="D171" s="21"/>
      <c r="E171" s="28"/>
      <c r="F171" s="21"/>
      <c r="G171" s="21"/>
      <c r="H171" s="29"/>
      <c r="J171" s="27"/>
      <c r="K171" s="28"/>
      <c r="L171" s="28"/>
      <c r="M171" s="21"/>
      <c r="N171" s="28"/>
      <c r="O171" s="21"/>
      <c r="P171" s="21"/>
      <c r="Q171" s="29"/>
      <c r="S171" s="27"/>
      <c r="T171" s="28"/>
      <c r="U171" s="28"/>
      <c r="V171" s="21"/>
      <c r="W171" s="28"/>
      <c r="X171" s="21"/>
      <c r="Y171" s="21"/>
      <c r="Z171" s="29"/>
      <c r="AB171" s="27"/>
      <c r="AC171" s="28"/>
      <c r="AD171" s="28"/>
      <c r="AE171" s="21"/>
      <c r="AF171" s="28"/>
      <c r="AG171" s="21"/>
      <c r="AH171" s="21"/>
      <c r="AI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  <c r="J172" s="27" t="s">
        <v>199</v>
      </c>
      <c r="K172" s="28" t="s">
        <v>200</v>
      </c>
      <c r="L172" s="28"/>
      <c r="M172" s="21"/>
      <c r="N172" s="28" t="s">
        <v>201</v>
      </c>
      <c r="O172" s="21"/>
      <c r="P172" s="21"/>
      <c r="Q172" s="29"/>
      <c r="S172" s="27" t="s">
        <v>199</v>
      </c>
      <c r="T172" s="28" t="s">
        <v>200</v>
      </c>
      <c r="U172" s="28"/>
      <c r="V172" s="21"/>
      <c r="W172" s="28" t="s">
        <v>201</v>
      </c>
      <c r="X172" s="21"/>
      <c r="Y172" s="21"/>
      <c r="Z172" s="29"/>
      <c r="AB172" s="27" t="s">
        <v>199</v>
      </c>
      <c r="AC172" s="28" t="s">
        <v>200</v>
      </c>
      <c r="AD172" s="28"/>
      <c r="AE172" s="21"/>
      <c r="AF172" s="28" t="s">
        <v>201</v>
      </c>
      <c r="AG172" s="21"/>
      <c r="AH172" s="21"/>
      <c r="AI172" s="29"/>
    </row>
    <row r="173" spans="1:35">
      <c r="A173" s="138">
        <f>H141-H137-H139-H140</f>
        <v>20416.669999999998</v>
      </c>
      <c r="B173" s="34">
        <f>H137</f>
        <v>4083.3339999999998</v>
      </c>
      <c r="C173" s="38"/>
      <c r="D173" s="21"/>
      <c r="E173" s="137">
        <f>H139+H140</f>
        <v>0</v>
      </c>
      <c r="F173" s="21"/>
      <c r="G173" s="21"/>
      <c r="H173" s="29"/>
      <c r="J173" s="138" t="e">
        <f>Q141-Q137-Q139-Q140</f>
        <v>#VALUE!</v>
      </c>
      <c r="K173" s="34" t="e">
        <f>Q137</f>
        <v>#VALUE!</v>
      </c>
      <c r="L173" s="38"/>
      <c r="M173" s="21"/>
      <c r="N173" s="137">
        <f>Q139+Q140</f>
        <v>55</v>
      </c>
      <c r="O173" s="21"/>
      <c r="P173" s="21"/>
      <c r="Q173" s="29"/>
      <c r="S173" s="138" t="e">
        <f>Z141-Z137-Z139-Z140</f>
        <v>#VALUE!</v>
      </c>
      <c r="T173" s="34" t="e">
        <f>Z137</f>
        <v>#VALUE!</v>
      </c>
      <c r="U173" s="38"/>
      <c r="V173" s="21"/>
      <c r="W173" s="137">
        <f>Z139+Z140</f>
        <v>55</v>
      </c>
      <c r="X173" s="21"/>
      <c r="Y173" s="21"/>
      <c r="Z173" s="29"/>
      <c r="AB173" s="138" t="e">
        <f>AI141-AI137-AI139-AI140</f>
        <v>#VALUE!</v>
      </c>
      <c r="AC173" s="34" t="e">
        <f>AI137</f>
        <v>#VALUE!</v>
      </c>
      <c r="AD173" s="38"/>
      <c r="AE173" s="21"/>
      <c r="AF173" s="137">
        <f>AI139+AI140</f>
        <v>55</v>
      </c>
      <c r="AG173" s="21"/>
      <c r="AH173" s="21"/>
      <c r="AI173" s="29"/>
    </row>
    <row r="174" spans="1:35">
      <c r="A174" s="27"/>
      <c r="B174" s="28"/>
      <c r="C174" s="28"/>
      <c r="D174" s="21"/>
      <c r="E174" s="28"/>
      <c r="F174" s="21"/>
      <c r="G174" s="21"/>
      <c r="H174" s="29"/>
      <c r="J174" s="27"/>
      <c r="K174" s="28"/>
      <c r="L174" s="28"/>
      <c r="M174" s="21"/>
      <c r="N174" s="28"/>
      <c r="O174" s="21"/>
      <c r="P174" s="21"/>
      <c r="Q174" s="29"/>
      <c r="S174" s="27"/>
      <c r="T174" s="28"/>
      <c r="U174" s="28"/>
      <c r="V174" s="21"/>
      <c r="W174" s="28"/>
      <c r="X174" s="21"/>
      <c r="Y174" s="21"/>
      <c r="Z174" s="29"/>
      <c r="AB174" s="27"/>
      <c r="AC174" s="28"/>
      <c r="AD174" s="28"/>
      <c r="AE174" s="21"/>
      <c r="AF174" s="28"/>
      <c r="AG174" s="21"/>
      <c r="AH174" s="21"/>
      <c r="AI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  <c r="J175" s="27" t="s">
        <v>202</v>
      </c>
      <c r="K175" s="28" t="s">
        <v>148</v>
      </c>
      <c r="L175" s="28"/>
      <c r="M175" s="21"/>
      <c r="N175" s="28" t="s">
        <v>149</v>
      </c>
      <c r="O175" s="21"/>
      <c r="P175" s="21"/>
      <c r="Q175" s="29"/>
      <c r="S175" s="27" t="s">
        <v>202</v>
      </c>
      <c r="T175" s="28" t="s">
        <v>148</v>
      </c>
      <c r="U175" s="28"/>
      <c r="V175" s="21"/>
      <c r="W175" s="28" t="s">
        <v>149</v>
      </c>
      <c r="X175" s="21"/>
      <c r="Y175" s="21"/>
      <c r="Z175" s="29"/>
      <c r="AB175" s="27" t="s">
        <v>202</v>
      </c>
      <c r="AC175" s="28" t="s">
        <v>148</v>
      </c>
      <c r="AD175" s="28"/>
      <c r="AE175" s="21"/>
      <c r="AF175" s="28" t="s">
        <v>149</v>
      </c>
      <c r="AG175" s="21"/>
      <c r="AH175" s="21"/>
      <c r="AI175" s="29"/>
    </row>
    <row r="176" spans="1:35">
      <c r="A176" s="138">
        <f>H147</f>
        <v>24500.003999999997</v>
      </c>
      <c r="B176" s="34">
        <f>B111</f>
        <v>1000</v>
      </c>
      <c r="C176" s="34"/>
      <c r="D176" s="21"/>
      <c r="E176" s="34">
        <f>E111</f>
        <v>1000</v>
      </c>
      <c r="F176" s="21"/>
      <c r="G176" s="21"/>
      <c r="H176" s="90"/>
      <c r="J176" s="138" t="e">
        <f>Q141</f>
        <v>#VALUE!</v>
      </c>
      <c r="K176" s="34">
        <f>K111</f>
        <v>1000</v>
      </c>
      <c r="L176" s="34"/>
      <c r="M176" s="21"/>
      <c r="N176" s="34">
        <f>N111</f>
        <v>0</v>
      </c>
      <c r="O176" s="21"/>
      <c r="P176" s="21"/>
      <c r="Q176" s="90"/>
      <c r="S176" s="138" t="e">
        <f>Z141</f>
        <v>#VALUE!</v>
      </c>
      <c r="T176" s="34">
        <f>T111</f>
        <v>1000</v>
      </c>
      <c r="U176" s="34"/>
      <c r="V176" s="21"/>
      <c r="W176" s="34">
        <f>W111</f>
        <v>0</v>
      </c>
      <c r="X176" s="21"/>
      <c r="Y176" s="21"/>
      <c r="Z176" s="90"/>
      <c r="AB176" s="138" t="e">
        <f>AI141</f>
        <v>#VALUE!</v>
      </c>
      <c r="AC176" s="34">
        <f>AC111</f>
        <v>1000</v>
      </c>
      <c r="AD176" s="34"/>
      <c r="AE176" s="21"/>
      <c r="AF176" s="34">
        <f>AF111</f>
        <v>0</v>
      </c>
      <c r="AG176" s="21"/>
      <c r="AH176" s="21"/>
      <c r="AI176" s="90"/>
    </row>
    <row r="177" spans="1:35">
      <c r="A177" s="27"/>
      <c r="B177" s="28"/>
      <c r="C177" s="28"/>
      <c r="D177" s="21"/>
      <c r="E177" s="28"/>
      <c r="F177" s="21"/>
      <c r="G177" s="21"/>
      <c r="H177" s="29"/>
      <c r="J177" s="27"/>
      <c r="K177" s="28"/>
      <c r="L177" s="28"/>
      <c r="M177" s="21"/>
      <c r="N177" s="28"/>
      <c r="O177" s="21"/>
      <c r="P177" s="21"/>
      <c r="Q177" s="29"/>
      <c r="S177" s="27"/>
      <c r="T177" s="28"/>
      <c r="U177" s="28"/>
      <c r="V177" s="21"/>
      <c r="W177" s="28"/>
      <c r="X177" s="21"/>
      <c r="Y177" s="21"/>
      <c r="Z177" s="29"/>
      <c r="AB177" s="27"/>
      <c r="AC177" s="28"/>
      <c r="AD177" s="28"/>
      <c r="AE177" s="21"/>
      <c r="AF177" s="28"/>
      <c r="AG177" s="21"/>
      <c r="AH177" s="21"/>
      <c r="AI177" s="29"/>
    </row>
    <row r="178" spans="1:35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  <c r="J178" s="27" t="s">
        <v>150</v>
      </c>
      <c r="K178" s="28" t="s">
        <v>185</v>
      </c>
      <c r="L178" s="28"/>
      <c r="M178" s="21"/>
      <c r="N178" s="28" t="s">
        <v>191</v>
      </c>
      <c r="O178" s="21"/>
      <c r="P178" s="21"/>
      <c r="Q178" s="29"/>
      <c r="S178" s="27" t="s">
        <v>150</v>
      </c>
      <c r="T178" s="28" t="s">
        <v>185</v>
      </c>
      <c r="U178" s="28"/>
      <c r="V178" s="21"/>
      <c r="W178" s="28" t="s">
        <v>191</v>
      </c>
      <c r="X178" s="21"/>
      <c r="Y178" s="21"/>
      <c r="Z178" s="29"/>
      <c r="AB178" s="27" t="s">
        <v>150</v>
      </c>
      <c r="AC178" s="28" t="s">
        <v>185</v>
      </c>
      <c r="AD178" s="28"/>
      <c r="AE178" s="21"/>
      <c r="AF178" s="28" t="s">
        <v>191</v>
      </c>
      <c r="AG178" s="21"/>
      <c r="AH178" s="21"/>
      <c r="AI178" s="29"/>
    </row>
    <row r="179" spans="1:35">
      <c r="A179" s="94">
        <f>B176+E176</f>
        <v>2000</v>
      </c>
      <c r="B179" s="34">
        <f>G154</f>
        <v>0</v>
      </c>
      <c r="C179" s="34"/>
      <c r="D179" s="21"/>
      <c r="E179" s="34">
        <f>G158</f>
        <v>23920.003999999997</v>
      </c>
      <c r="F179" s="21"/>
      <c r="G179" s="21"/>
      <c r="H179" s="90"/>
      <c r="J179" s="94">
        <f>K176+N176</f>
        <v>1000</v>
      </c>
      <c r="K179" s="34">
        <f>P154</f>
        <v>-2000</v>
      </c>
      <c r="L179" s="34"/>
      <c r="M179" s="21"/>
      <c r="N179" s="34" t="e">
        <f>J176-J179-K179</f>
        <v>#VALUE!</v>
      </c>
      <c r="O179" s="21"/>
      <c r="P179" s="21"/>
      <c r="Q179" s="90"/>
      <c r="S179" s="94">
        <f>T176+W176</f>
        <v>1000</v>
      </c>
      <c r="T179" s="34">
        <f>Y154</f>
        <v>-2000</v>
      </c>
      <c r="U179" s="34"/>
      <c r="V179" s="21"/>
      <c r="W179" s="34" t="e">
        <f>S176-S179-T179</f>
        <v>#VALUE!</v>
      </c>
      <c r="X179" s="21"/>
      <c r="Y179" s="21"/>
      <c r="Z179" s="90"/>
      <c r="AB179" s="94">
        <f>AC176+AF176</f>
        <v>1000</v>
      </c>
      <c r="AC179" s="34">
        <f>AH154</f>
        <v>-2000</v>
      </c>
      <c r="AD179" s="34"/>
      <c r="AE179" s="21"/>
      <c r="AF179" s="34" t="e">
        <f>AB176-AB179-AC179</f>
        <v>#VALUE!</v>
      </c>
      <c r="AG179" s="21"/>
      <c r="AH179" s="21"/>
      <c r="AI179" s="90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  <c r="J181" s="27" t="s">
        <v>203</v>
      </c>
      <c r="K181" s="28" t="s">
        <v>66</v>
      </c>
      <c r="L181" s="28"/>
      <c r="M181" s="21"/>
      <c r="N181" s="28" t="s">
        <v>204</v>
      </c>
      <c r="O181" s="21"/>
      <c r="P181" s="21"/>
      <c r="Q181" s="29"/>
      <c r="S181" s="27" t="s">
        <v>203</v>
      </c>
      <c r="T181" s="28" t="s">
        <v>66</v>
      </c>
      <c r="U181" s="28"/>
      <c r="V181" s="21"/>
      <c r="W181" s="28" t="s">
        <v>204</v>
      </c>
      <c r="X181" s="21"/>
      <c r="Y181" s="21"/>
      <c r="Z181" s="29"/>
      <c r="AB181" s="27" t="s">
        <v>203</v>
      </c>
      <c r="AC181" s="28" t="s">
        <v>66</v>
      </c>
      <c r="AD181" s="28"/>
      <c r="AE181" s="21"/>
      <c r="AF181" s="28" t="s">
        <v>204</v>
      </c>
      <c r="AG181" s="21"/>
      <c r="AH181" s="21"/>
      <c r="AI181" s="29"/>
    </row>
    <row r="182" spans="1:35">
      <c r="A182" s="94">
        <f>(A167*B59)+E185-E179-A185</f>
        <v>5361.251383074934</v>
      </c>
      <c r="B182" s="34">
        <f>B114</f>
        <v>833.33333333333337</v>
      </c>
      <c r="C182" s="34"/>
      <c r="D182" s="21"/>
      <c r="E182" s="34">
        <f>E179+A182+(B182*1.2)+A185</f>
        <v>30291.255383074931</v>
      </c>
      <c r="F182" s="21"/>
      <c r="G182" s="21"/>
      <c r="H182" s="90"/>
      <c r="J182" s="94" t="e">
        <f>(J167*K59)+N185-N179-J185</f>
        <v>#VALUE!</v>
      </c>
      <c r="K182" s="34">
        <f>K114</f>
        <v>239.99</v>
      </c>
      <c r="L182" s="34"/>
      <c r="M182" s="21"/>
      <c r="N182" s="34" t="e">
        <f>N179+J182+K182+J185</f>
        <v>#VALUE!</v>
      </c>
      <c r="O182" s="21"/>
      <c r="P182" s="21"/>
      <c r="Q182" s="90"/>
      <c r="S182" s="94" t="e">
        <f>(S167*T59)+W185-W179-S185</f>
        <v>#VALUE!</v>
      </c>
      <c r="T182" s="34">
        <f>T114</f>
        <v>199.99</v>
      </c>
      <c r="U182" s="34"/>
      <c r="V182" s="21"/>
      <c r="W182" s="34" t="e">
        <f>W179+S182+T182+S185</f>
        <v>#VALUE!</v>
      </c>
      <c r="X182" s="21"/>
      <c r="Y182" s="21"/>
      <c r="Z182" s="90"/>
      <c r="AB182" s="94" t="e">
        <f>(AB167*AC59)+AF185-AF179-AB185</f>
        <v>#VALUE!</v>
      </c>
      <c r="AC182" s="34">
        <f>AC114</f>
        <v>239.99</v>
      </c>
      <c r="AD182" s="34"/>
      <c r="AE182" s="21"/>
      <c r="AF182" s="34" t="e">
        <f>AF179+AB182+AC182+AB185</f>
        <v>#VALUE!</v>
      </c>
      <c r="AG182" s="21"/>
      <c r="AH182" s="21"/>
      <c r="AI182" s="90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  <c r="J184" s="27" t="s">
        <v>205</v>
      </c>
      <c r="K184" s="28" t="s">
        <v>206</v>
      </c>
      <c r="L184" s="28"/>
      <c r="M184" s="21"/>
      <c r="N184" s="28" t="s">
        <v>207</v>
      </c>
      <c r="O184" s="21"/>
      <c r="P184" s="21"/>
      <c r="Q184" s="29"/>
      <c r="S184" s="27" t="s">
        <v>205</v>
      </c>
      <c r="T184" s="28" t="s">
        <v>206</v>
      </c>
      <c r="U184" s="28"/>
      <c r="V184" s="21"/>
      <c r="W184" s="28" t="s">
        <v>207</v>
      </c>
      <c r="X184" s="21"/>
      <c r="Y184" s="21"/>
      <c r="Z184" s="29"/>
      <c r="AB184" s="27" t="s">
        <v>205</v>
      </c>
      <c r="AC184" s="28" t="s">
        <v>206</v>
      </c>
      <c r="AD184" s="28"/>
      <c r="AE184" s="21"/>
      <c r="AF184" s="28" t="s">
        <v>207</v>
      </c>
      <c r="AG184" s="21"/>
      <c r="AH184" s="21"/>
      <c r="AI184" s="29"/>
    </row>
    <row r="185" spans="1:35">
      <c r="A185" s="94">
        <f>B60</f>
        <v>10</v>
      </c>
      <c r="B185" s="34">
        <f>A179+(B182*1.2)</f>
        <v>3000</v>
      </c>
      <c r="C185" s="34"/>
      <c r="D185" s="21"/>
      <c r="E185" s="34">
        <f>IF(A40=0,(E167+A185),(E170+A185))</f>
        <v>823.36820508541473</v>
      </c>
      <c r="F185" s="21"/>
      <c r="G185" s="34"/>
      <c r="H185" s="90"/>
      <c r="J185" s="94">
        <f>K60</f>
        <v>20</v>
      </c>
      <c r="K185" s="34">
        <f>J179+K182</f>
        <v>1239.99</v>
      </c>
      <c r="L185" s="34"/>
      <c r="M185" s="21"/>
      <c r="N185" s="34">
        <f>N170+J185</f>
        <v>20</v>
      </c>
      <c r="O185" s="21"/>
      <c r="P185" s="21"/>
      <c r="Q185" s="90"/>
      <c r="S185" s="94">
        <f>T60</f>
        <v>10</v>
      </c>
      <c r="T185" s="34">
        <f>S179+T182</f>
        <v>1199.99</v>
      </c>
      <c r="U185" s="34"/>
      <c r="V185" s="21"/>
      <c r="W185" s="34">
        <f>W170+S185</f>
        <v>10</v>
      </c>
      <c r="X185" s="21"/>
      <c r="Y185" s="21"/>
      <c r="Z185" s="90"/>
      <c r="AB185" s="94">
        <f>AC60</f>
        <v>10</v>
      </c>
      <c r="AC185" s="34">
        <f>AB179+AC182</f>
        <v>1239.99</v>
      </c>
      <c r="AD185" s="34"/>
      <c r="AE185" s="21"/>
      <c r="AF185" s="34">
        <f>AF170+AB185</f>
        <v>10</v>
      </c>
      <c r="AG185" s="21"/>
      <c r="AH185" s="21"/>
      <c r="AI185" s="90"/>
    </row>
    <row r="186" spans="1:35">
      <c r="A186" s="27"/>
      <c r="B186" s="28"/>
      <c r="C186" s="28"/>
      <c r="D186" s="28"/>
      <c r="E186" s="21"/>
      <c r="F186" s="21"/>
      <c r="G186" s="21"/>
      <c r="H186" s="29"/>
      <c r="J186" s="27"/>
      <c r="K186" s="28"/>
      <c r="L186" s="28"/>
      <c r="M186" s="28"/>
      <c r="N186" s="21"/>
      <c r="O186" s="21"/>
      <c r="P186" s="21"/>
      <c r="Q186" s="29"/>
      <c r="S186" s="27"/>
      <c r="T186" s="28"/>
      <c r="U186" s="28"/>
      <c r="V186" s="28"/>
      <c r="W186" s="21"/>
      <c r="X186" s="28"/>
      <c r="Y186" s="28"/>
      <c r="Z186" s="29"/>
      <c r="AB186" s="27"/>
      <c r="AC186" s="28"/>
      <c r="AD186" s="28"/>
      <c r="AE186" s="28"/>
      <c r="AF186" s="21"/>
      <c r="AG186" s="21"/>
      <c r="AH186" s="21"/>
      <c r="AI186" s="29"/>
    </row>
    <row r="187" spans="1:35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  <c r="J187" s="27" t="s">
        <v>208</v>
      </c>
      <c r="K187" s="28" t="s">
        <v>209</v>
      </c>
      <c r="L187" s="28"/>
      <c r="M187" s="28"/>
      <c r="N187" s="35" t="s">
        <v>210</v>
      </c>
      <c r="O187" s="21"/>
      <c r="P187" s="21"/>
      <c r="Q187" s="29"/>
      <c r="S187" s="27" t="s">
        <v>208</v>
      </c>
      <c r="T187" s="28" t="s">
        <v>209</v>
      </c>
      <c r="U187" s="28"/>
      <c r="V187" s="28"/>
      <c r="W187" s="35" t="s">
        <v>210</v>
      </c>
      <c r="X187" s="28"/>
      <c r="Y187" s="28"/>
      <c r="Z187" s="29"/>
      <c r="AB187" s="27" t="s">
        <v>208</v>
      </c>
      <c r="AC187" s="28" t="s">
        <v>209</v>
      </c>
      <c r="AD187" s="28"/>
      <c r="AE187" s="28"/>
      <c r="AF187" s="35" t="s">
        <v>210</v>
      </c>
      <c r="AG187" s="28"/>
      <c r="AH187" s="28"/>
      <c r="AI187" s="29"/>
    </row>
    <row r="188" spans="1:35">
      <c r="A188" s="94">
        <f>IF(E105="YES",B61*0.000002,0)*100</f>
        <v>0</v>
      </c>
      <c r="B188" s="34">
        <f>(G158*B67)</f>
        <v>1196.0001999999999</v>
      </c>
      <c r="C188" s="28"/>
      <c r="D188" s="28"/>
      <c r="E188" s="34">
        <f>(E40*A108)*0.1*(C45/100)</f>
        <v>0</v>
      </c>
      <c r="F188" s="21"/>
      <c r="G188" s="21"/>
      <c r="H188" s="29"/>
      <c r="J188" s="94">
        <f>IF(N105="YES",H15*0.000002,0)</f>
        <v>0</v>
      </c>
      <c r="K188" s="34" t="e">
        <f>(P158*K67)/1.2</f>
        <v>#VALUE!</v>
      </c>
      <c r="L188" s="28"/>
      <c r="M188" s="28"/>
      <c r="N188" s="34">
        <f>(E40*J108)*0.1</f>
        <v>0</v>
      </c>
      <c r="O188" s="21"/>
      <c r="P188" s="21"/>
      <c r="Q188" s="29"/>
      <c r="S188" s="94">
        <f>IF(W105="YES",Z15*0.000002,0)</f>
        <v>0</v>
      </c>
      <c r="T188" s="34" t="e">
        <f>(Y158*T67)/1.2</f>
        <v>#VALUE!</v>
      </c>
      <c r="U188" s="28"/>
      <c r="V188" s="28"/>
      <c r="W188" s="34">
        <f>(E40*S108)*0.1</f>
        <v>0</v>
      </c>
      <c r="X188" s="28"/>
      <c r="Y188" s="28"/>
      <c r="Z188" s="29"/>
      <c r="AB188" s="94">
        <f>IF(AF105="YES",AI15*0.000002,0)</f>
        <v>0</v>
      </c>
      <c r="AC188" s="34" t="e">
        <f>(AH158*AC67)/1.2</f>
        <v>#VALUE!</v>
      </c>
      <c r="AD188" s="28"/>
      <c r="AE188" s="28"/>
      <c r="AF188" s="34">
        <f>(E40*AB108)*0.1</f>
        <v>0</v>
      </c>
      <c r="AG188" s="28"/>
      <c r="AH188" s="28"/>
      <c r="AI188" s="29"/>
    </row>
    <row r="189" spans="1:35">
      <c r="A189" s="94"/>
      <c r="B189" s="34"/>
      <c r="C189" s="28"/>
      <c r="D189" s="28"/>
      <c r="E189" s="21"/>
      <c r="F189" s="21"/>
      <c r="G189" s="21"/>
      <c r="H189" s="29"/>
      <c r="J189" s="94"/>
      <c r="K189" s="34"/>
      <c r="L189" s="28"/>
      <c r="M189" s="28"/>
      <c r="N189" s="21"/>
      <c r="O189" s="21"/>
      <c r="P189" s="21"/>
      <c r="Q189" s="29"/>
      <c r="S189" s="94"/>
      <c r="T189" s="34"/>
      <c r="U189" s="28"/>
      <c r="V189" s="28"/>
      <c r="W189" s="21"/>
      <c r="X189" s="28"/>
      <c r="Y189" s="28"/>
      <c r="Z189" s="29"/>
      <c r="AB189" s="94"/>
      <c r="AC189" s="34"/>
      <c r="AD189" s="28"/>
      <c r="AE189" s="28"/>
      <c r="AF189" s="21"/>
      <c r="AG189" s="28"/>
      <c r="AH189" s="28"/>
      <c r="AI189" s="29"/>
    </row>
    <row r="190" spans="1:35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  <c r="J190" s="53" t="s">
        <v>211</v>
      </c>
      <c r="K190" s="35" t="s">
        <v>212</v>
      </c>
      <c r="L190" s="28"/>
      <c r="M190" s="28"/>
      <c r="N190" s="35" t="s">
        <v>213</v>
      </c>
      <c r="O190" s="21"/>
      <c r="P190" s="21"/>
      <c r="Q190" s="29"/>
      <c r="S190" s="53" t="s">
        <v>211</v>
      </c>
      <c r="T190" s="35" t="s">
        <v>212</v>
      </c>
      <c r="U190" s="28"/>
      <c r="V190" s="28"/>
      <c r="W190" s="35" t="s">
        <v>213</v>
      </c>
      <c r="X190" s="28"/>
      <c r="Y190" s="28"/>
      <c r="Z190" s="29"/>
      <c r="AB190" s="53" t="s">
        <v>211</v>
      </c>
      <c r="AC190" s="35" t="s">
        <v>212</v>
      </c>
      <c r="AD190" s="28"/>
      <c r="AE190" s="28"/>
      <c r="AF190" s="35" t="s">
        <v>213</v>
      </c>
      <c r="AG190" s="28"/>
      <c r="AH190" s="28"/>
      <c r="AI190" s="29"/>
    </row>
    <row r="191" spans="1:35">
      <c r="A191" s="94">
        <v>10</v>
      </c>
      <c r="B191" s="34">
        <f>B188+E188+A191</f>
        <v>1206.0001999999999</v>
      </c>
      <c r="C191" s="28"/>
      <c r="D191" s="28"/>
      <c r="E191" s="34">
        <f>H148</f>
        <v>1916.6699999999973</v>
      </c>
      <c r="F191" s="21"/>
      <c r="G191" s="21"/>
      <c r="H191" s="29"/>
      <c r="J191" s="94">
        <f>K185-100</f>
        <v>1139.99</v>
      </c>
      <c r="K191" s="34" t="e">
        <f>K188+N188+J191</f>
        <v>#VALUE!</v>
      </c>
      <c r="L191" s="28"/>
      <c r="M191" s="28"/>
      <c r="N191" s="34" t="e">
        <f>Q148</f>
        <v>#VALUE!</v>
      </c>
      <c r="O191" s="21"/>
      <c r="P191" s="21"/>
      <c r="Q191" s="29"/>
      <c r="S191" s="94">
        <f>T185-100</f>
        <v>1099.99</v>
      </c>
      <c r="T191" s="34" t="e">
        <f>T188+W188+S191</f>
        <v>#VALUE!</v>
      </c>
      <c r="U191" s="28"/>
      <c r="V191" s="28"/>
      <c r="W191" s="34" t="e">
        <f>Z148</f>
        <v>#VALUE!</v>
      </c>
      <c r="X191" s="28"/>
      <c r="Y191" s="28"/>
      <c r="Z191" s="29"/>
      <c r="AB191" s="94">
        <f>AC185-100</f>
        <v>1139.99</v>
      </c>
      <c r="AC191" s="34" t="e">
        <f>AC188+AF188+AB191</f>
        <v>#VALUE!</v>
      </c>
      <c r="AD191" s="28"/>
      <c r="AE191" s="28"/>
      <c r="AF191" s="34" t="e">
        <f>AI148</f>
        <v>#VALUE!</v>
      </c>
      <c r="AG191" s="28"/>
      <c r="AH191" s="28"/>
      <c r="AI191" s="29"/>
    </row>
    <row r="192" spans="1:35">
      <c r="A192" s="27"/>
      <c r="B192" s="28"/>
      <c r="C192" s="28"/>
      <c r="D192" s="28"/>
      <c r="E192" s="21"/>
      <c r="F192" s="21"/>
      <c r="G192" s="21"/>
      <c r="H192" s="29"/>
      <c r="J192" s="27"/>
      <c r="K192" s="28"/>
      <c r="L192" s="28"/>
      <c r="M192" s="28"/>
      <c r="N192" s="21"/>
      <c r="O192" s="21"/>
      <c r="P192" s="21"/>
      <c r="Q192" s="29"/>
      <c r="S192" s="27"/>
      <c r="T192" s="28"/>
      <c r="U192" s="28"/>
      <c r="V192" s="28"/>
      <c r="W192" s="21"/>
      <c r="X192" s="21"/>
      <c r="Y192" s="21"/>
      <c r="Z192" s="29"/>
      <c r="AB192" s="27"/>
      <c r="AC192" s="28"/>
      <c r="AD192" s="28"/>
      <c r="AE192" s="28"/>
      <c r="AF192" s="21"/>
      <c r="AG192" s="21"/>
      <c r="AH192" s="21"/>
      <c r="AI192" s="29"/>
    </row>
    <row r="193" spans="1:35">
      <c r="A193" s="58" t="s">
        <v>214</v>
      </c>
      <c r="B193" s="28"/>
      <c r="C193" s="28"/>
      <c r="D193" s="59"/>
      <c r="E193" s="59"/>
      <c r="F193" s="59"/>
      <c r="G193" s="59"/>
      <c r="H193" s="60"/>
      <c r="J193" s="58" t="s">
        <v>214</v>
      </c>
      <c r="K193" s="28"/>
      <c r="L193" s="28"/>
      <c r="M193" s="59"/>
      <c r="N193" s="59"/>
      <c r="O193" s="59"/>
      <c r="P193" s="59"/>
      <c r="Q193" s="60"/>
      <c r="S193" s="58" t="s">
        <v>214</v>
      </c>
      <c r="T193" s="28"/>
      <c r="U193" s="28"/>
      <c r="V193" s="59"/>
      <c r="W193" s="59"/>
      <c r="X193" s="59"/>
      <c r="Y193" s="59"/>
      <c r="Z193" s="60"/>
      <c r="AB193" s="58" t="s">
        <v>214</v>
      </c>
      <c r="AC193" s="28"/>
      <c r="AD193" s="28"/>
      <c r="AE193" s="59"/>
      <c r="AF193" s="59"/>
      <c r="AG193" s="59"/>
      <c r="AH193" s="59"/>
      <c r="AI193" s="60"/>
    </row>
    <row r="194" spans="1:35">
      <c r="A194" s="27"/>
      <c r="B194" s="61"/>
      <c r="C194" s="61"/>
      <c r="D194" s="28"/>
      <c r="E194" s="21"/>
      <c r="F194" s="21"/>
      <c r="G194" s="21"/>
      <c r="H194" s="29"/>
      <c r="J194" s="27"/>
      <c r="K194" s="61"/>
      <c r="L194" s="61"/>
      <c r="M194" s="28"/>
      <c r="N194" s="21"/>
      <c r="O194" s="21"/>
      <c r="P194" s="21"/>
      <c r="Q194" s="29"/>
      <c r="S194" s="27"/>
      <c r="T194" s="61"/>
      <c r="U194" s="61"/>
      <c r="V194" s="28"/>
      <c r="W194" s="21"/>
      <c r="X194" s="21"/>
      <c r="Y194" s="21"/>
      <c r="Z194" s="29"/>
      <c r="AB194" s="27"/>
      <c r="AC194" s="61"/>
      <c r="AD194" s="61"/>
      <c r="AE194" s="28"/>
      <c r="AF194" s="21"/>
      <c r="AG194" s="21"/>
      <c r="AH194" s="21"/>
      <c r="AI194" s="29"/>
    </row>
    <row r="195" spans="1:35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69" t="s">
        <v>94</v>
      </c>
      <c r="K195" s="341" t="s">
        <v>95</v>
      </c>
      <c r="L195" s="341"/>
      <c r="M195" s="341"/>
      <c r="N195" s="21"/>
      <c r="O195" s="21"/>
      <c r="P195" s="21"/>
      <c r="Q195" s="29"/>
      <c r="S195" s="369" t="s">
        <v>94</v>
      </c>
      <c r="T195" s="341" t="s">
        <v>95</v>
      </c>
      <c r="U195" s="341"/>
      <c r="V195" s="341"/>
      <c r="W195" s="21"/>
      <c r="X195" s="21"/>
      <c r="Y195" s="21"/>
      <c r="Z195" s="29"/>
      <c r="AB195" s="369" t="s">
        <v>94</v>
      </c>
      <c r="AC195" s="341" t="s">
        <v>95</v>
      </c>
      <c r="AD195" s="341"/>
      <c r="AE195" s="341"/>
      <c r="AF195" s="21"/>
      <c r="AG195" s="21"/>
      <c r="AH195" s="21"/>
      <c r="AI195" s="29"/>
    </row>
    <row r="196" spans="1:35" ht="19.5" customHeight="1">
      <c r="A196" s="369"/>
      <c r="B196" s="342">
        <f>K30</f>
        <v>10000</v>
      </c>
      <c r="C196" s="342"/>
      <c r="D196" s="342"/>
      <c r="E196" s="21"/>
      <c r="F196" s="21"/>
      <c r="G196" s="21"/>
      <c r="H196" s="29"/>
      <c r="J196" s="369"/>
      <c r="K196" s="342">
        <f>K30</f>
        <v>10000</v>
      </c>
      <c r="L196" s="342"/>
      <c r="M196" s="342"/>
      <c r="N196" s="21"/>
      <c r="O196" s="21"/>
      <c r="P196" s="21"/>
      <c r="Q196" s="29"/>
      <c r="S196" s="369"/>
      <c r="T196" s="342">
        <f>K30</f>
        <v>10000</v>
      </c>
      <c r="U196" s="342"/>
      <c r="V196" s="342"/>
      <c r="W196" s="21"/>
      <c r="X196" s="21"/>
      <c r="Y196" s="21"/>
      <c r="Z196" s="29"/>
      <c r="AB196" s="369"/>
      <c r="AC196" s="342">
        <f>K30</f>
        <v>10000</v>
      </c>
      <c r="AD196" s="342"/>
      <c r="AE196" s="342"/>
      <c r="AF196" s="21"/>
      <c r="AG196" s="21"/>
      <c r="AH196" s="21"/>
      <c r="AI196" s="29"/>
    </row>
    <row r="197" spans="1:35">
      <c r="A197" s="62">
        <f>K29</f>
        <v>36</v>
      </c>
      <c r="B197" s="343">
        <f>B96</f>
        <v>813.36820508541473</v>
      </c>
      <c r="C197" s="343"/>
      <c r="D197" s="343"/>
      <c r="E197" s="21"/>
      <c r="F197" s="21"/>
      <c r="G197" s="21"/>
      <c r="H197" s="29"/>
      <c r="J197" s="62">
        <f>K29</f>
        <v>36</v>
      </c>
      <c r="K197" s="343" t="e">
        <f>K96</f>
        <v>#VALUE!</v>
      </c>
      <c r="L197" s="343"/>
      <c r="M197" s="343"/>
      <c r="N197" s="21"/>
      <c r="O197" s="21"/>
      <c r="P197" s="21"/>
      <c r="Q197" s="29"/>
      <c r="S197" s="62">
        <f>K29</f>
        <v>36</v>
      </c>
      <c r="T197" s="343" t="e">
        <f>T96</f>
        <v>#VALUE!</v>
      </c>
      <c r="U197" s="343"/>
      <c r="V197" s="343"/>
      <c r="W197" s="21"/>
      <c r="X197" s="21"/>
      <c r="Y197" s="21"/>
      <c r="Z197" s="29"/>
      <c r="AB197" s="62">
        <f>K29</f>
        <v>36</v>
      </c>
      <c r="AC197" s="343" t="e">
        <f>AC96</f>
        <v>#VALUE!</v>
      </c>
      <c r="AD197" s="343"/>
      <c r="AE197" s="343"/>
      <c r="AF197" s="21"/>
      <c r="AG197" s="21"/>
      <c r="AH197" s="21"/>
      <c r="AI197" s="29"/>
    </row>
    <row r="198" spans="1:35">
      <c r="A198" s="27"/>
      <c r="B198" s="28"/>
      <c r="C198" s="28"/>
      <c r="D198" s="28"/>
      <c r="E198" s="21"/>
      <c r="F198" s="21"/>
      <c r="G198" s="21"/>
      <c r="H198" s="29"/>
      <c r="J198" s="27"/>
      <c r="K198" s="28"/>
      <c r="L198" s="28"/>
      <c r="M198" s="28"/>
      <c r="N198" s="21"/>
      <c r="O198" s="21"/>
      <c r="P198" s="21"/>
      <c r="Q198" s="29"/>
      <c r="S198" s="27"/>
      <c r="T198" s="28"/>
      <c r="U198" s="28"/>
      <c r="V198" s="28"/>
      <c r="W198" s="21"/>
      <c r="X198" s="21"/>
      <c r="Y198" s="21"/>
      <c r="Z198" s="29"/>
      <c r="AB198" s="27"/>
      <c r="AC198" s="28"/>
      <c r="AD198" s="28"/>
      <c r="AE198" s="28"/>
      <c r="AF198" s="21"/>
      <c r="AG198" s="21"/>
      <c r="AH198" s="21"/>
      <c r="AI198" s="29"/>
    </row>
    <row r="199" spans="1:35">
      <c r="A199" s="27"/>
      <c r="B199" s="28"/>
      <c r="C199" s="28"/>
      <c r="D199" s="28"/>
      <c r="E199" s="21"/>
      <c r="F199" s="21"/>
      <c r="G199" s="21"/>
      <c r="H199" s="29"/>
      <c r="J199" s="27"/>
      <c r="K199" s="28"/>
      <c r="L199" s="28"/>
      <c r="M199" s="28"/>
      <c r="N199" s="21"/>
      <c r="O199" s="21"/>
      <c r="P199" s="21"/>
      <c r="Q199" s="29"/>
      <c r="S199" s="27"/>
      <c r="T199" s="28"/>
      <c r="U199" s="28"/>
      <c r="V199" s="28"/>
      <c r="W199" s="21"/>
      <c r="X199" s="21"/>
      <c r="Y199" s="21"/>
      <c r="Z199" s="29"/>
      <c r="AB199" s="27"/>
      <c r="AC199" s="28"/>
      <c r="AD199" s="28"/>
      <c r="AE199" s="28"/>
      <c r="AF199" s="21"/>
      <c r="AG199" s="21"/>
      <c r="AH199" s="21"/>
      <c r="AI199" s="29"/>
    </row>
    <row r="200" spans="1:35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  <c r="J200" s="27"/>
      <c r="K200" s="28"/>
      <c r="L200" s="28"/>
      <c r="M200" s="28"/>
      <c r="N200" s="21"/>
      <c r="O200" s="21"/>
      <c r="P200" s="21"/>
      <c r="Q200" s="29"/>
      <c r="S200" s="27"/>
      <c r="T200" s="28"/>
      <c r="U200" s="28"/>
      <c r="V200" s="28"/>
      <c r="W200" s="21"/>
      <c r="X200" s="21"/>
      <c r="Y200" s="21"/>
      <c r="Z200" s="29"/>
      <c r="AB200" s="27"/>
      <c r="AC200" s="28"/>
      <c r="AD200" s="28"/>
      <c r="AE200" s="28"/>
      <c r="AF200" s="21"/>
      <c r="AG200" s="21"/>
      <c r="AH200" s="21"/>
      <c r="AI200" s="29"/>
    </row>
    <row r="201" spans="1:35">
      <c r="A201" s="32">
        <f>IF(A40=0,((G167*(B59+1))-E179),((G167*B59)+E185-E179-A185))</f>
        <v>3351.7960000000021</v>
      </c>
      <c r="B201" s="38">
        <f>E179+A201+(B182*1.2)+A185</f>
        <v>28281.8</v>
      </c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49"/>
      <c r="B202" s="50"/>
      <c r="C202" s="50"/>
      <c r="D202" s="50"/>
      <c r="E202" s="50"/>
      <c r="F202" s="50"/>
      <c r="G202" s="50"/>
      <c r="H202" s="57"/>
      <c r="J202" s="49"/>
      <c r="K202" s="50"/>
      <c r="L202" s="50"/>
      <c r="M202" s="50"/>
      <c r="N202" s="50"/>
      <c r="O202" s="50"/>
      <c r="P202" s="50"/>
      <c r="Q202" s="57"/>
      <c r="S202" s="49"/>
      <c r="T202" s="50"/>
      <c r="U202" s="50"/>
      <c r="V202" s="50"/>
      <c r="W202" s="50"/>
      <c r="X202" s="50"/>
      <c r="Y202" s="50"/>
      <c r="Z202" s="57"/>
      <c r="AB202" s="49"/>
      <c r="AC202" s="50"/>
      <c r="AD202" s="50"/>
      <c r="AE202" s="50"/>
      <c r="AF202" s="50"/>
      <c r="AG202" s="50"/>
      <c r="AH202" s="50"/>
      <c r="AI202" s="57"/>
    </row>
    <row r="206" spans="1:35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5">
      <c r="A207" s="27"/>
      <c r="B207" s="28"/>
      <c r="C207" s="28"/>
      <c r="D207" s="28"/>
      <c r="E207" s="21"/>
      <c r="F207" s="21"/>
      <c r="G207" s="21"/>
      <c r="H207" s="29"/>
    </row>
    <row r="208" spans="1:35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42" t="s">
        <v>217</v>
      </c>
      <c r="B209" s="131">
        <f>A197</f>
        <v>36</v>
      </c>
      <c r="C209" s="131"/>
      <c r="D209" s="131"/>
      <c r="E209" s="131">
        <f>B196</f>
        <v>10000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813.36820508541473</v>
      </c>
      <c r="B212" s="133" t="str">
        <f>B167</f>
        <v>0</v>
      </c>
      <c r="C212" s="131"/>
      <c r="D212" s="131"/>
      <c r="E212" s="133">
        <f>E167</f>
        <v>813.36820508541473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20416.669999999998</v>
      </c>
      <c r="B215" s="34">
        <f>B173</f>
        <v>4083.3339999999998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24500.003999999997</v>
      </c>
      <c r="B218" s="34">
        <f>B176</f>
        <v>1000</v>
      </c>
      <c r="C218" s="34"/>
      <c r="D218" s="21"/>
      <c r="E218" s="34">
        <f>E176</f>
        <v>1000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2000</v>
      </c>
      <c r="B221" s="34">
        <f>B179</f>
        <v>0</v>
      </c>
      <c r="C221" s="34"/>
      <c r="D221" s="21"/>
      <c r="E221" s="34">
        <f>E179</f>
        <v>23920.003999999997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5361.251383074934</v>
      </c>
      <c r="B224" s="34">
        <f>B182</f>
        <v>833.33333333333337</v>
      </c>
      <c r="C224" s="34"/>
      <c r="D224" s="21"/>
      <c r="E224" s="34">
        <f>E182</f>
        <v>30291.255383074931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3000</v>
      </c>
      <c r="C227" s="34"/>
      <c r="D227" s="21"/>
      <c r="E227" s="34">
        <f>B59</f>
        <v>35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813.36820508541473</v>
      </c>
      <c r="B230" s="34" t="str">
        <f>B167</f>
        <v>0</v>
      </c>
      <c r="C230" s="38"/>
      <c r="D230" s="38"/>
      <c r="E230" s="34">
        <f>E167</f>
        <v>813.36820508541473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219</v>
      </c>
      <c r="B232" s="28" t="s">
        <v>220</v>
      </c>
      <c r="C232" s="28"/>
      <c r="D232" s="28"/>
      <c r="E232" s="28" t="s">
        <v>80</v>
      </c>
      <c r="F232" s="21"/>
      <c r="G232" s="21"/>
      <c r="H232" s="29"/>
    </row>
    <row r="233" spans="1:8">
      <c r="A233" s="94">
        <f>E170</f>
        <v>0</v>
      </c>
      <c r="B233" s="34">
        <f>E185</f>
        <v>823.36820508541473</v>
      </c>
      <c r="C233" s="28"/>
      <c r="D233" s="28"/>
      <c r="E233" s="34">
        <f>J18*0.000006*100</f>
        <v>22.443000000000001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221</v>
      </c>
      <c r="B235" s="35" t="s">
        <v>85</v>
      </c>
      <c r="C235" s="28"/>
      <c r="D235" s="28"/>
      <c r="E235" s="35" t="s">
        <v>142</v>
      </c>
      <c r="F235" s="21"/>
      <c r="G235" s="21"/>
      <c r="H235" s="29"/>
    </row>
    <row r="236" spans="1:8">
      <c r="A236" s="94">
        <f>IF(E105="YES",J18*0.000002,0)*100</f>
        <v>0</v>
      </c>
      <c r="B236" s="34">
        <f>E233+A236</f>
        <v>22.443000000000001</v>
      </c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1916.6699999999973</v>
      </c>
      <c r="B240" s="34">
        <f>B68</f>
        <v>1196.0001999999999</v>
      </c>
      <c r="C240" s="28"/>
      <c r="D240" s="28"/>
      <c r="E240" s="34">
        <f>E188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1702.6701999999973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K35</f>
        <v>7.0000000000000007E-2</v>
      </c>
      <c r="C253" s="144"/>
      <c r="D253" s="374" t="s">
        <v>226</v>
      </c>
      <c r="E253" s="374"/>
      <c r="F253" s="143">
        <f>B83</f>
        <v>0.12000000000000001</v>
      </c>
      <c r="G253" s="21"/>
      <c r="H253" s="29"/>
    </row>
    <row r="254" spans="1:8">
      <c r="A254" s="139" t="s">
        <v>227</v>
      </c>
      <c r="B254" s="146">
        <f>(E182-B182)-(B201-B182-A185)</f>
        <v>2019.4553830749319</v>
      </c>
      <c r="C254" s="144"/>
      <c r="D254" s="374" t="s">
        <v>228</v>
      </c>
      <c r="E254" s="374"/>
      <c r="F254" s="146">
        <f>F261+F267+F269+B270+B271</f>
        <v>1196.0001999999999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833.45518307493194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10">
      <c r="A257" s="27" t="s">
        <v>225</v>
      </c>
      <c r="B257" s="151">
        <f>B253</f>
        <v>7.0000000000000007E-2</v>
      </c>
      <c r="C257" s="144"/>
      <c r="D257" s="144"/>
      <c r="E257" s="144"/>
      <c r="F257" s="144"/>
      <c r="G257" s="21"/>
      <c r="H257" s="29"/>
    </row>
    <row r="258" spans="1:10">
      <c r="A258" s="152"/>
      <c r="B258" s="153"/>
      <c r="C258" s="154"/>
      <c r="D258" s="154"/>
      <c r="E258" s="149"/>
      <c r="F258" s="149"/>
      <c r="G258" s="149"/>
      <c r="H258" s="150"/>
    </row>
    <row r="259" spans="1:10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10">
      <c r="A260" s="93" t="s">
        <v>226</v>
      </c>
      <c r="B260" s="155">
        <f>B83</f>
        <v>0.12000000000000001</v>
      </c>
      <c r="C260" s="38"/>
      <c r="D260" s="363" t="s">
        <v>227</v>
      </c>
      <c r="E260" s="363"/>
      <c r="F260" s="115">
        <f>B254</f>
        <v>2019.4553830749319</v>
      </c>
      <c r="G260" s="21"/>
      <c r="H260" s="29"/>
    </row>
    <row r="261" spans="1:10">
      <c r="A261" s="27" t="s">
        <v>233</v>
      </c>
      <c r="B261" s="155">
        <f>B67</f>
        <v>0.05</v>
      </c>
      <c r="C261" s="28"/>
      <c r="D261" s="363" t="s">
        <v>233</v>
      </c>
      <c r="E261" s="363"/>
      <c r="F261" s="119">
        <f>B68</f>
        <v>1196.0001999999999</v>
      </c>
      <c r="G261" s="21"/>
      <c r="H261" s="29"/>
    </row>
    <row r="262" spans="1:10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10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833.45518307493194</v>
      </c>
      <c r="G263" s="21"/>
      <c r="H263" s="29"/>
    </row>
    <row r="264" spans="1:10">
      <c r="A264" s="94"/>
      <c r="B264" s="34"/>
      <c r="C264" s="28"/>
      <c r="D264" s="28"/>
      <c r="E264" s="34"/>
      <c r="F264" s="21"/>
      <c r="G264" s="21"/>
      <c r="H264" s="29"/>
    </row>
    <row r="265" spans="1:10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10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10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10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10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10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10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  <c r="J271" s="4">
        <v>4</v>
      </c>
    </row>
    <row r="272" spans="1:10">
      <c r="A272" s="49"/>
      <c r="B272" s="50"/>
      <c r="C272" s="50"/>
      <c r="D272" s="50"/>
      <c r="E272" s="50"/>
      <c r="F272" s="50"/>
      <c r="G272" s="50"/>
      <c r="H272" s="57"/>
    </row>
  </sheetData>
  <mergeCells count="260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E36:G36"/>
    <mergeCell ref="J38:K38"/>
    <mergeCell ref="B40:D40"/>
    <mergeCell ref="C45:E45"/>
    <mergeCell ref="A50:A51"/>
    <mergeCell ref="B50:D50"/>
    <mergeCell ref="B51:D51"/>
    <mergeCell ref="B52:D52"/>
    <mergeCell ref="A100:H100"/>
    <mergeCell ref="J100:Q100"/>
    <mergeCell ref="A1:F1"/>
    <mergeCell ref="D7:E18"/>
    <mergeCell ref="A16:C18"/>
    <mergeCell ref="A19:D19"/>
    <mergeCell ref="A21:D21"/>
    <mergeCell ref="A24:H24"/>
    <mergeCell ref="A28:H28"/>
    <mergeCell ref="B30:D30"/>
    <mergeCell ref="E33:G33"/>
  </mergeCells>
  <dataValidations count="1">
    <dataValidation type="list" allowBlank="1" showInputMessage="1" showErrorMessage="1" sqref="B105 K105 N105 T105 W105 AC105 AF105 B108:D108 K108:M108 T108:V108 AC108:AE108 J111 S111 AB111 A144:A146 J144:J146 S144:S146 AB144:AB146" xr:uid="{00000000-0002-0000-2800-000002000000}">
      <formula1>#REF!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2800-000000000000}">
          <x14:formula1>
            <xm:f>HirePurchaseNonRegulated!$K$9:$K$10</xm:f>
          </x14:formula1>
          <x14:formula2>
            <xm:f>0</xm:f>
          </x14:formula2>
          <xm:sqref>B26 E105 A111</xm:sqref>
        </x14:dataValidation>
        <x14:dataValidation type="list" allowBlank="1" showErrorMessage="1" xr:uid="{00000000-0002-0000-2800-000001000000}">
          <x14:formula1>
            <xm:f>HirePurchaseNonRegulated!$K$9:$K$10</xm:f>
          </x14:formula1>
          <x14:formula2>
            <xm:f>0</xm:f>
          </x14:formula2>
          <xm:sqref>B70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AP272"/>
  <sheetViews>
    <sheetView topLeftCell="A249" zoomScale="110" zoomScaleNormal="110" workbookViewId="0">
      <selection activeCell="F262" sqref="F262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91" t="s">
        <v>14</v>
      </c>
      <c r="B1" s="391"/>
      <c r="C1" s="391"/>
      <c r="D1" s="391"/>
      <c r="E1" s="391"/>
      <c r="F1" s="391"/>
      <c r="G1" s="86"/>
      <c r="H1" s="86"/>
      <c r="I1" s="5"/>
      <c r="J1" s="5"/>
    </row>
    <row r="2" spans="1:25" ht="2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286"/>
      <c r="H2" s="287"/>
      <c r="I2" s="5"/>
      <c r="J2" s="5"/>
    </row>
    <row r="3" spans="1:25">
      <c r="A3" s="191"/>
      <c r="B3" s="192"/>
      <c r="C3" s="192"/>
      <c r="D3" s="192"/>
      <c r="E3" s="192"/>
      <c r="F3" s="193" t="s">
        <v>10</v>
      </c>
      <c r="G3" s="288"/>
      <c r="H3" s="289"/>
      <c r="I3" s="5"/>
      <c r="J3" s="5"/>
    </row>
    <row r="4" spans="1:25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103"/>
      <c r="H4" s="105"/>
      <c r="I4" s="5"/>
      <c r="J4" s="5"/>
    </row>
    <row r="5" spans="1:25">
      <c r="A5" s="55"/>
      <c r="B5" s="55"/>
      <c r="C5" s="55"/>
      <c r="D5" s="55"/>
      <c r="E5" s="55"/>
      <c r="F5" s="55" t="s">
        <v>10</v>
      </c>
      <c r="G5" s="288"/>
      <c r="H5" s="29"/>
      <c r="I5" s="5"/>
      <c r="J5" s="5"/>
    </row>
    <row r="6" spans="1:25">
      <c r="A6" s="55"/>
      <c r="B6" s="55"/>
      <c r="C6" s="55"/>
      <c r="D6" s="55"/>
      <c r="E6" s="55"/>
      <c r="F6" s="55"/>
      <c r="G6" s="121"/>
      <c r="H6" s="29"/>
      <c r="I6" s="5"/>
      <c r="J6" s="5"/>
    </row>
    <row r="7" spans="1:25">
      <c r="A7" s="12" t="s">
        <v>19</v>
      </c>
      <c r="B7" s="12" t="s">
        <v>20</v>
      </c>
      <c r="C7" s="12" t="s">
        <v>16</v>
      </c>
      <c r="D7" s="392"/>
      <c r="E7" s="392"/>
      <c r="F7" s="55"/>
      <c r="G7" s="121"/>
      <c r="H7" s="29"/>
      <c r="I7" s="5"/>
      <c r="J7" s="5"/>
    </row>
    <row r="8" spans="1:25">
      <c r="A8" s="196"/>
      <c r="B8" s="55"/>
      <c r="C8" s="55"/>
      <c r="D8" s="392"/>
      <c r="E8" s="392"/>
      <c r="F8" s="55"/>
      <c r="G8" s="28"/>
      <c r="H8" s="29"/>
      <c r="I8" s="5"/>
      <c r="J8" s="5"/>
      <c r="L8" s="14" t="s">
        <v>17</v>
      </c>
      <c r="M8" s="11">
        <f>H13+H14</f>
        <v>0</v>
      </c>
    </row>
    <row r="9" spans="1:25" ht="21">
      <c r="A9" s="12" t="s">
        <v>21</v>
      </c>
      <c r="B9" s="15">
        <v>18500</v>
      </c>
      <c r="C9" s="11">
        <f>B9*0.2</f>
        <v>3700</v>
      </c>
      <c r="D9" s="392"/>
      <c r="E9" s="392"/>
      <c r="F9" s="55"/>
      <c r="G9" s="109"/>
      <c r="H9" s="290"/>
      <c r="I9" s="5"/>
      <c r="J9" s="5"/>
      <c r="K9" s="4" t="s">
        <v>31</v>
      </c>
      <c r="L9" s="11"/>
      <c r="M9" s="11"/>
    </row>
    <row r="10" spans="1:25">
      <c r="A10" s="197"/>
      <c r="B10" s="55"/>
      <c r="C10" s="55"/>
      <c r="D10" s="392"/>
      <c r="E10" s="392"/>
      <c r="F10" s="55"/>
      <c r="G10" s="121"/>
      <c r="H10" s="289"/>
      <c r="I10" s="5"/>
      <c r="J10" s="5"/>
      <c r="K10" s="4" t="s">
        <v>32</v>
      </c>
      <c r="L10" s="16" t="s">
        <v>15</v>
      </c>
      <c r="M10" s="11">
        <f>H15-H11-M8</f>
        <v>0</v>
      </c>
    </row>
    <row r="11" spans="1:25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121"/>
      <c r="H11" s="29"/>
      <c r="I11" s="5"/>
      <c r="J11" s="5"/>
      <c r="L11" s="11"/>
      <c r="M11" s="11"/>
    </row>
    <row r="12" spans="1:25">
      <c r="A12" s="197"/>
      <c r="B12" s="55"/>
      <c r="C12" s="55"/>
      <c r="D12" s="392"/>
      <c r="E12" s="392"/>
      <c r="F12" s="55"/>
      <c r="G12" s="121"/>
      <c r="H12" s="289"/>
      <c r="I12" s="5"/>
      <c r="J12" s="5"/>
    </row>
    <row r="13" spans="1:25">
      <c r="A13" s="12" t="s">
        <v>23</v>
      </c>
      <c r="B13" s="15">
        <v>0</v>
      </c>
      <c r="C13" s="11"/>
      <c r="D13" s="392"/>
      <c r="E13" s="392"/>
      <c r="F13" s="55"/>
      <c r="G13" s="121"/>
      <c r="H13" s="289"/>
      <c r="I13" s="5"/>
      <c r="J13" s="5"/>
    </row>
    <row r="14" spans="1:25">
      <c r="A14" s="197"/>
      <c r="B14" s="55"/>
      <c r="C14" s="55"/>
      <c r="D14" s="392"/>
      <c r="E14" s="392"/>
      <c r="F14" s="55"/>
      <c r="G14" s="121"/>
      <c r="H14" s="289"/>
      <c r="I14" s="5"/>
      <c r="J14" s="5" t="s">
        <v>24</v>
      </c>
    </row>
    <row r="15" spans="1:25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21"/>
      <c r="H15" s="291"/>
      <c r="I15" s="5"/>
      <c r="J15" s="17">
        <f>H15</f>
        <v>0</v>
      </c>
    </row>
    <row r="16" spans="1:25">
      <c r="A16" s="393"/>
      <c r="B16" s="393"/>
      <c r="C16" s="393"/>
      <c r="D16" s="392"/>
      <c r="E16" s="392"/>
      <c r="F16" s="55"/>
      <c r="G16" s="121"/>
      <c r="H16" s="289"/>
      <c r="I16" s="5"/>
      <c r="J16" s="5"/>
      <c r="Y16" s="18" t="s">
        <v>26</v>
      </c>
    </row>
    <row r="17" spans="1:26">
      <c r="A17" s="393"/>
      <c r="B17" s="393"/>
      <c r="C17" s="393"/>
      <c r="D17" s="392"/>
      <c r="E17" s="392"/>
      <c r="F17" s="55"/>
      <c r="G17" s="34"/>
      <c r="H17" s="29"/>
      <c r="I17" s="5"/>
      <c r="J17" s="5" t="s">
        <v>27</v>
      </c>
      <c r="Y17" s="18" t="s">
        <v>28</v>
      </c>
    </row>
    <row r="18" spans="1:26">
      <c r="A18" s="393"/>
      <c r="B18" s="393"/>
      <c r="C18" s="393"/>
      <c r="D18" s="392"/>
      <c r="E18" s="392"/>
      <c r="F18" s="55"/>
      <c r="G18" s="35"/>
      <c r="H18" s="292"/>
      <c r="I18" s="5"/>
      <c r="J18" s="17">
        <v>37405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35"/>
      <c r="H19" s="292"/>
      <c r="I19" s="5"/>
      <c r="J19" s="5"/>
      <c r="Z19" s="5" t="s">
        <v>31</v>
      </c>
    </row>
    <row r="20" spans="1:26">
      <c r="A20" s="199"/>
      <c r="B20" s="55"/>
      <c r="C20" s="55"/>
      <c r="D20" s="55"/>
      <c r="E20" s="200"/>
      <c r="F20" s="55"/>
      <c r="G20" s="35"/>
      <c r="H20" s="292"/>
      <c r="I20" s="5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293"/>
      <c r="H21" s="294"/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354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>
      <c r="A26" s="32" t="s">
        <v>138</v>
      </c>
      <c r="B26" s="36" t="s">
        <v>386</v>
      </c>
      <c r="C26" s="28"/>
      <c r="D26" s="28"/>
      <c r="E26" s="28"/>
      <c r="F26" s="28"/>
      <c r="G26" s="28"/>
      <c r="H26" s="29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 ht="23.25">
      <c r="A28" s="335" t="s">
        <v>136</v>
      </c>
      <c r="B28" s="335"/>
      <c r="C28" s="335"/>
      <c r="D28" s="335"/>
      <c r="E28" s="335"/>
      <c r="F28" s="335"/>
      <c r="G28" s="335"/>
      <c r="H28" s="335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>
        <v>36</v>
      </c>
      <c r="I29" s="28"/>
      <c r="J29" s="25" t="s">
        <v>94</v>
      </c>
      <c r="K29" s="295">
        <v>36</v>
      </c>
    </row>
    <row r="30" spans="1:26">
      <c r="A30" s="27" t="s">
        <v>193</v>
      </c>
      <c r="B30" s="346" t="s">
        <v>387</v>
      </c>
      <c r="C30" s="346"/>
      <c r="D30" s="346"/>
      <c r="E30" s="28"/>
      <c r="F30" s="28"/>
      <c r="G30" s="28"/>
      <c r="H30" s="29">
        <v>10000</v>
      </c>
      <c r="I30" s="28"/>
      <c r="J30" s="25" t="s">
        <v>45</v>
      </c>
      <c r="K30" s="33">
        <v>10000</v>
      </c>
    </row>
    <row r="31" spans="1:26">
      <c r="A31" s="27"/>
      <c r="B31" s="28"/>
      <c r="C31" s="28"/>
      <c r="D31" s="28"/>
      <c r="E31" s="28"/>
      <c r="F31" s="28"/>
      <c r="G31" s="28"/>
      <c r="H31" s="29">
        <v>27500</v>
      </c>
      <c r="I31" s="28"/>
      <c r="J31" s="25" t="s">
        <v>48</v>
      </c>
      <c r="K31" s="37">
        <v>0</v>
      </c>
    </row>
    <row r="32" spans="1:26" ht="36">
      <c r="A32" s="27" t="s">
        <v>94</v>
      </c>
      <c r="B32" s="28" t="s">
        <v>95</v>
      </c>
      <c r="C32" s="28"/>
      <c r="D32" s="28"/>
      <c r="E32" s="28" t="s">
        <v>355</v>
      </c>
      <c r="F32" s="28"/>
      <c r="G32" s="28"/>
      <c r="H32" s="29"/>
      <c r="I32" s="5"/>
      <c r="J32" s="25" t="s">
        <v>49</v>
      </c>
      <c r="K32" s="37">
        <v>0</v>
      </c>
    </row>
    <row r="33" spans="1:16" ht="36">
      <c r="A33" s="134">
        <f>A52</f>
        <v>36</v>
      </c>
      <c r="B33" s="173">
        <f>B51</f>
        <v>10000</v>
      </c>
      <c r="C33" s="28"/>
      <c r="D33" s="28"/>
      <c r="E33" s="402">
        <f>K48</f>
        <v>571.22629200937934</v>
      </c>
      <c r="F33" s="402"/>
      <c r="G33" s="402"/>
      <c r="H33" s="42"/>
      <c r="I33" s="5"/>
      <c r="J33" s="30" t="s">
        <v>356</v>
      </c>
      <c r="K33" s="43">
        <f>E21</f>
        <v>18500</v>
      </c>
      <c r="L33" s="4">
        <f>H21-H11+(H16*20%)</f>
        <v>0</v>
      </c>
    </row>
    <row r="34" spans="1:16">
      <c r="A34" s="27"/>
      <c r="B34" s="28"/>
      <c r="C34" s="28"/>
      <c r="D34" s="28"/>
      <c r="E34" s="38"/>
      <c r="F34" s="38"/>
      <c r="G34" s="38"/>
      <c r="H34" s="42"/>
      <c r="I34" s="5"/>
      <c r="J34" s="5"/>
      <c r="K34" s="5"/>
    </row>
    <row r="35" spans="1:16">
      <c r="A35" s="27" t="s">
        <v>357</v>
      </c>
      <c r="B35" s="28" t="s">
        <v>358</v>
      </c>
      <c r="C35" s="28"/>
      <c r="E35" s="28" t="s">
        <v>359</v>
      </c>
      <c r="F35" s="38"/>
      <c r="G35" s="38"/>
      <c r="H35" s="42"/>
      <c r="I35" s="5"/>
      <c r="J35" s="45" t="s">
        <v>59</v>
      </c>
      <c r="K35" s="4">
        <v>7.0000000000000007E-2</v>
      </c>
    </row>
    <row r="36" spans="1:16">
      <c r="A36" s="138">
        <f>K47</f>
        <v>571.22629200937934</v>
      </c>
      <c r="B36" s="173" t="str">
        <f>IF(B26="YES",K42,"0.00")</f>
        <v>0.00</v>
      </c>
      <c r="C36" s="173"/>
      <c r="D36" s="173"/>
      <c r="E36" s="402">
        <f>K31</f>
        <v>0</v>
      </c>
      <c r="F36" s="402"/>
      <c r="G36" s="402"/>
      <c r="H36" s="42"/>
      <c r="I36" s="5"/>
      <c r="J36" s="5" t="s">
        <v>63</v>
      </c>
      <c r="K36" s="5">
        <f>K29</f>
        <v>36</v>
      </c>
    </row>
    <row r="37" spans="1:16">
      <c r="A37" s="94"/>
      <c r="B37" s="34"/>
      <c r="C37" s="38"/>
      <c r="D37" s="38"/>
      <c r="E37" s="38"/>
      <c r="F37" s="38"/>
      <c r="G37" s="38"/>
      <c r="H37" s="42"/>
      <c r="I37" s="5"/>
      <c r="J37" s="5"/>
      <c r="K37" s="5"/>
    </row>
    <row r="38" spans="1:16">
      <c r="A38" s="27"/>
      <c r="B38" s="28"/>
      <c r="C38" s="38"/>
      <c r="D38" s="38"/>
      <c r="E38" s="38"/>
      <c r="F38" s="38"/>
      <c r="G38" s="38"/>
      <c r="H38" s="42"/>
      <c r="J38" s="337" t="s">
        <v>65</v>
      </c>
      <c r="K38" s="337"/>
      <c r="L38" s="5">
        <v>42030.76</v>
      </c>
      <c r="N38" s="4">
        <f>80.88*36</f>
        <v>2911.68</v>
      </c>
    </row>
    <row r="39" spans="1:16">
      <c r="A39" s="27" t="s">
        <v>360</v>
      </c>
      <c r="B39" s="28" t="s">
        <v>361</v>
      </c>
      <c r="C39" s="28"/>
      <c r="E39" s="28" t="s">
        <v>362</v>
      </c>
      <c r="F39" s="38"/>
      <c r="G39" s="38"/>
      <c r="H39" s="42"/>
      <c r="J39" s="5" t="s">
        <v>96</v>
      </c>
      <c r="K39" s="5">
        <f>K33</f>
        <v>18500</v>
      </c>
      <c r="L39" s="5">
        <f>(L47*K46)+K44</f>
        <v>25909.171561306546</v>
      </c>
      <c r="N39" s="4">
        <f>K39-L39</f>
        <v>-7409.1715613065462</v>
      </c>
    </row>
    <row r="40" spans="1:16">
      <c r="A40" s="92">
        <f>E36*A45/100</f>
        <v>0</v>
      </c>
      <c r="B40" s="348" t="str">
        <f>IF(B26="YES",K42,"0.00")</f>
        <v>0.00</v>
      </c>
      <c r="C40" s="348"/>
      <c r="D40" s="348"/>
      <c r="E40" s="137">
        <f>K32</f>
        <v>0</v>
      </c>
      <c r="F40" s="38"/>
      <c r="G40" s="38"/>
      <c r="H40" s="42"/>
      <c r="J40" s="5" t="s">
        <v>118</v>
      </c>
      <c r="K40" s="5">
        <f>(A40)/1.2</f>
        <v>0</v>
      </c>
      <c r="L40" s="5">
        <f>K39-L39</f>
        <v>-7409.1715613065462</v>
      </c>
      <c r="N40" s="4">
        <f>N38-N39</f>
        <v>10320.851561306547</v>
      </c>
    </row>
    <row r="41" spans="1:16">
      <c r="A41" s="27"/>
      <c r="B41" s="28"/>
      <c r="C41" s="28"/>
      <c r="D41" s="28"/>
      <c r="E41" s="28"/>
      <c r="F41" s="38"/>
      <c r="G41" s="38"/>
      <c r="H41" s="42"/>
      <c r="J41" s="5" t="s">
        <v>363</v>
      </c>
      <c r="K41" s="5">
        <f>K35/12</f>
        <v>5.8333333333333336E-3</v>
      </c>
      <c r="L41" s="5"/>
    </row>
    <row r="42" spans="1:16">
      <c r="A42" s="49"/>
      <c r="B42" s="50"/>
      <c r="C42" s="50"/>
      <c r="D42" s="50"/>
      <c r="E42" s="50"/>
      <c r="F42" s="50"/>
      <c r="G42" s="51"/>
      <c r="H42" s="52"/>
      <c r="J42" s="5" t="s">
        <v>364</v>
      </c>
      <c r="K42" s="5">
        <f>(K32/K36)*C45/100</f>
        <v>0</v>
      </c>
      <c r="L42" s="5"/>
    </row>
    <row r="43" spans="1:16">
      <c r="A43" s="22"/>
      <c r="B43" s="23"/>
      <c r="C43" s="23"/>
      <c r="D43" s="23"/>
      <c r="E43" s="23"/>
      <c r="F43" s="23"/>
      <c r="G43" s="23"/>
      <c r="H43" s="24"/>
      <c r="J43" s="5" t="s">
        <v>365</v>
      </c>
      <c r="K43" s="5"/>
      <c r="L43" s="5"/>
    </row>
    <row r="44" spans="1:16">
      <c r="A44" s="53" t="s">
        <v>89</v>
      </c>
      <c r="B44" s="28"/>
      <c r="C44" s="28" t="s">
        <v>90</v>
      </c>
      <c r="D44" s="28"/>
      <c r="E44" s="28"/>
      <c r="F44" s="28"/>
      <c r="G44" s="28"/>
      <c r="H44" s="29"/>
      <c r="J44" s="5" t="s">
        <v>366</v>
      </c>
      <c r="K44" s="5">
        <f>(K40/(1+K41)^(K36+1))</f>
        <v>0</v>
      </c>
      <c r="L44" s="5"/>
    </row>
    <row r="45" spans="1:16">
      <c r="A45" s="54">
        <v>100</v>
      </c>
      <c r="B45" s="28"/>
      <c r="C45" s="339">
        <v>40</v>
      </c>
      <c r="D45" s="339"/>
      <c r="E45" s="339"/>
      <c r="F45" s="28"/>
      <c r="G45" s="28"/>
      <c r="H45" s="29"/>
      <c r="J45" s="5" t="s">
        <v>367</v>
      </c>
      <c r="K45" s="5">
        <f>(K39-K44)</f>
        <v>18500</v>
      </c>
      <c r="L45" s="5"/>
    </row>
    <row r="46" spans="1:16">
      <c r="A46" s="49"/>
      <c r="B46" s="50"/>
      <c r="C46" s="50"/>
      <c r="D46" s="50"/>
      <c r="E46" s="50"/>
      <c r="F46" s="50"/>
      <c r="G46" s="50"/>
      <c r="H46" s="57"/>
      <c r="J46" s="5" t="s">
        <v>368</v>
      </c>
      <c r="K46" s="5">
        <f>((1-(1/((1+K41)^K36)))/K41)</f>
        <v>32.386464451633181</v>
      </c>
      <c r="L46" s="5"/>
    </row>
    <row r="47" spans="1:16">
      <c r="A47" s="22"/>
      <c r="B47" s="23"/>
      <c r="C47" s="23"/>
      <c r="D47" s="23"/>
      <c r="E47" s="23"/>
      <c r="F47" s="23"/>
      <c r="G47" s="23"/>
      <c r="H47" s="24"/>
      <c r="J47" s="5" t="s">
        <v>369</v>
      </c>
      <c r="K47" s="5">
        <f>K45/K46</f>
        <v>571.22629200937934</v>
      </c>
      <c r="L47" s="5">
        <f>L49-K42</f>
        <v>800</v>
      </c>
      <c r="M47" s="4">
        <f>K47-L47</f>
        <v>-228.77370799062066</v>
      </c>
    </row>
    <row r="48" spans="1:16" ht="37.5">
      <c r="A48" s="58" t="s">
        <v>93</v>
      </c>
      <c r="B48" s="28"/>
      <c r="C48" s="28"/>
      <c r="D48" s="59"/>
      <c r="E48" s="59"/>
      <c r="F48" s="59"/>
      <c r="G48" s="59"/>
      <c r="H48" s="60"/>
      <c r="J48" s="48" t="s">
        <v>370</v>
      </c>
      <c r="K48" s="5">
        <f>IF(B26="YES",K47+K42,K47)</f>
        <v>571.22629200937934</v>
      </c>
      <c r="L48" s="5"/>
    </row>
    <row r="49" spans="1:35">
      <c r="A49" s="27"/>
      <c r="B49" s="61"/>
      <c r="C49" s="61"/>
      <c r="D49" s="28"/>
      <c r="E49" s="28"/>
      <c r="F49" s="28"/>
      <c r="G49" s="28"/>
      <c r="H49" s="29"/>
      <c r="J49" s="5" t="s">
        <v>371</v>
      </c>
      <c r="K49" s="5"/>
      <c r="L49" s="5">
        <v>800</v>
      </c>
    </row>
    <row r="50" spans="1:35" ht="21">
      <c r="A50" s="369" t="s">
        <v>94</v>
      </c>
      <c r="B50" s="341" t="s">
        <v>95</v>
      </c>
      <c r="C50" s="341"/>
      <c r="D50" s="341"/>
      <c r="E50" s="28"/>
      <c r="F50" s="28"/>
      <c r="G50" s="28"/>
      <c r="H50" s="29"/>
      <c r="I50" s="5"/>
      <c r="J50" s="5"/>
      <c r="K50" s="5"/>
    </row>
    <row r="51" spans="1:35" ht="19.5" customHeight="1">
      <c r="A51" s="369"/>
      <c r="B51" s="342">
        <f>K30</f>
        <v>10000</v>
      </c>
      <c r="C51" s="342"/>
      <c r="D51" s="342"/>
      <c r="E51" s="28"/>
      <c r="F51" s="28"/>
      <c r="G51" s="28"/>
      <c r="H51" s="29"/>
      <c r="I51" s="5"/>
      <c r="J51" s="5"/>
      <c r="K51" s="5"/>
    </row>
    <row r="52" spans="1:35">
      <c r="A52" s="62">
        <f>K29</f>
        <v>36</v>
      </c>
      <c r="B52" s="343">
        <f>K48</f>
        <v>571.22629200937934</v>
      </c>
      <c r="C52" s="343"/>
      <c r="D52" s="343"/>
      <c r="E52" s="28"/>
      <c r="F52" s="28"/>
      <c r="G52" s="28"/>
      <c r="H52" s="29"/>
      <c r="I52" s="5"/>
      <c r="J52" s="5"/>
      <c r="K52" s="5"/>
    </row>
    <row r="53" spans="1:35">
      <c r="A53" s="27"/>
      <c r="B53" s="28"/>
      <c r="C53" s="28"/>
      <c r="D53" s="28"/>
      <c r="E53" s="28"/>
      <c r="F53" s="28"/>
      <c r="G53" s="28"/>
      <c r="H53" s="29"/>
      <c r="I53" s="5"/>
      <c r="J53" s="5"/>
      <c r="K53" s="5"/>
    </row>
    <row r="54" spans="1:35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35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35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35">
      <c r="A57" s="22"/>
      <c r="B57" s="23"/>
      <c r="C57" s="23"/>
      <c r="D57" s="23"/>
      <c r="E57" s="63"/>
      <c r="F57" s="63"/>
      <c r="G57" s="63"/>
      <c r="H57" s="24"/>
      <c r="J57" s="22"/>
      <c r="K57" s="23"/>
      <c r="L57" s="23"/>
      <c r="M57" s="23"/>
      <c r="N57" s="63"/>
      <c r="O57" s="63"/>
      <c r="P57" s="63"/>
      <c r="Q57" s="24"/>
      <c r="S57" s="22"/>
      <c r="T57" s="23"/>
      <c r="U57" s="23"/>
      <c r="V57" s="23"/>
      <c r="W57" s="63"/>
      <c r="X57" s="63"/>
      <c r="Y57" s="63"/>
      <c r="Z57" s="24"/>
      <c r="AB57" s="22"/>
      <c r="AC57" s="23"/>
      <c r="AD57" s="23"/>
      <c r="AE57" s="23"/>
      <c r="AF57" s="63"/>
      <c r="AG57" s="63"/>
      <c r="AH57" s="63"/>
      <c r="AI57" s="24"/>
    </row>
    <row r="58" spans="1:35">
      <c r="A58" s="27" t="s">
        <v>96</v>
      </c>
      <c r="B58" s="28">
        <v>1</v>
      </c>
      <c r="C58" s="28"/>
      <c r="D58" s="28"/>
      <c r="E58" s="21"/>
      <c r="F58" s="21"/>
      <c r="G58" s="21"/>
      <c r="H58" s="29"/>
      <c r="J58" s="27" t="s">
        <v>96</v>
      </c>
      <c r="K58" s="28">
        <v>1</v>
      </c>
      <c r="L58" s="28"/>
      <c r="M58" s="28"/>
      <c r="N58" s="21"/>
      <c r="O58" s="21"/>
      <c r="P58" s="21"/>
      <c r="Q58" s="29"/>
      <c r="S58" s="27" t="s">
        <v>96</v>
      </c>
      <c r="T58" s="28">
        <v>1</v>
      </c>
      <c r="U58" s="28"/>
      <c r="V58" s="28"/>
      <c r="W58" s="21"/>
      <c r="X58" s="21"/>
      <c r="Y58" s="21"/>
      <c r="Z58" s="29"/>
      <c r="AB58" s="27" t="s">
        <v>96</v>
      </c>
      <c r="AC58" s="28">
        <v>1</v>
      </c>
      <c r="AD58" s="28"/>
      <c r="AE58" s="28"/>
      <c r="AF58" s="21"/>
      <c r="AG58" s="21"/>
      <c r="AH58" s="21"/>
      <c r="AI58" s="29"/>
    </row>
    <row r="59" spans="1:35">
      <c r="A59" s="27" t="s">
        <v>97</v>
      </c>
      <c r="B59" s="28">
        <f>K29-B58</f>
        <v>35</v>
      </c>
      <c r="C59" s="28"/>
      <c r="D59" s="28"/>
      <c r="E59" s="21"/>
      <c r="F59" s="21"/>
      <c r="G59" s="21"/>
      <c r="H59" s="29"/>
      <c r="J59" s="27" t="s">
        <v>97</v>
      </c>
      <c r="K59" s="28">
        <f>K29-K58</f>
        <v>35</v>
      </c>
      <c r="L59" s="28"/>
      <c r="M59" s="28"/>
      <c r="N59" s="21"/>
      <c r="O59" s="21"/>
      <c r="P59" s="21"/>
      <c r="Q59" s="29"/>
      <c r="S59" s="27" t="s">
        <v>97</v>
      </c>
      <c r="T59" s="28">
        <f>K29-T58</f>
        <v>35</v>
      </c>
      <c r="U59" s="28"/>
      <c r="V59" s="28"/>
      <c r="W59" s="21"/>
      <c r="X59" s="21"/>
      <c r="Y59" s="21"/>
      <c r="Z59" s="29"/>
      <c r="AB59" s="27" t="s">
        <v>97</v>
      </c>
      <c r="AC59" s="28">
        <f>K29-AC58</f>
        <v>35</v>
      </c>
      <c r="AD59" s="28"/>
      <c r="AE59" s="28"/>
      <c r="AF59" s="21"/>
      <c r="AG59" s="21"/>
      <c r="AH59" s="21"/>
      <c r="AI59" s="29"/>
    </row>
    <row r="60" spans="1:35">
      <c r="A60" s="64" t="s">
        <v>98</v>
      </c>
      <c r="B60" s="65">
        <v>10</v>
      </c>
      <c r="C60" s="28"/>
      <c r="D60" s="28"/>
      <c r="E60" s="21"/>
      <c r="F60" s="21"/>
      <c r="G60" s="21"/>
      <c r="H60" s="29"/>
      <c r="J60" s="64" t="s">
        <v>98</v>
      </c>
      <c r="K60" s="65">
        <v>20</v>
      </c>
      <c r="L60" s="28"/>
      <c r="M60" s="28"/>
      <c r="N60" s="21"/>
      <c r="O60" s="21"/>
      <c r="P60" s="21"/>
      <c r="Q60" s="29"/>
      <c r="S60" s="64" t="s">
        <v>98</v>
      </c>
      <c r="T60" s="65">
        <v>10</v>
      </c>
      <c r="U60" s="28"/>
      <c r="V60" s="28"/>
      <c r="W60" s="21"/>
      <c r="X60" s="21"/>
      <c r="Y60" s="21"/>
      <c r="Z60" s="29"/>
      <c r="AB60" s="64" t="s">
        <v>98</v>
      </c>
      <c r="AC60" s="65">
        <v>10</v>
      </c>
      <c r="AD60" s="28"/>
      <c r="AE60" s="28"/>
      <c r="AF60" s="21"/>
      <c r="AG60" s="21"/>
      <c r="AH60" s="21"/>
      <c r="AI60" s="29"/>
    </row>
    <row r="61" spans="1:35">
      <c r="A61" s="27" t="s">
        <v>27</v>
      </c>
      <c r="B61" s="28">
        <f>J18</f>
        <v>37405</v>
      </c>
      <c r="C61" s="28"/>
      <c r="D61" s="28"/>
      <c r="E61" s="21"/>
      <c r="F61" s="21"/>
      <c r="G61" s="21"/>
      <c r="H61" s="29"/>
      <c r="J61" s="27" t="s">
        <v>27</v>
      </c>
      <c r="K61" s="28">
        <f>J18</f>
        <v>37405</v>
      </c>
      <c r="L61" s="28"/>
      <c r="M61" s="28"/>
      <c r="N61" s="21"/>
      <c r="O61" s="21"/>
      <c r="P61" s="21"/>
      <c r="Q61" s="29"/>
      <c r="S61" s="27" t="s">
        <v>27</v>
      </c>
      <c r="T61" s="28">
        <f>J18</f>
        <v>37405</v>
      </c>
      <c r="U61" s="28"/>
      <c r="V61" s="28"/>
      <c r="W61" s="21"/>
      <c r="X61" s="21"/>
      <c r="Y61" s="21"/>
      <c r="Z61" s="29"/>
      <c r="AB61" s="27" t="s">
        <v>27</v>
      </c>
      <c r="AC61" s="28">
        <f>J18</f>
        <v>37405</v>
      </c>
      <c r="AD61" s="28"/>
      <c r="AE61" s="28"/>
      <c r="AF61" s="21"/>
      <c r="AG61" s="21"/>
      <c r="AH61" s="21"/>
      <c r="AI61" s="29"/>
    </row>
    <row r="62" spans="1:35">
      <c r="A62" s="66" t="s">
        <v>99</v>
      </c>
      <c r="B62" s="67">
        <v>0</v>
      </c>
      <c r="C62" s="28"/>
      <c r="D62" s="28"/>
      <c r="E62" s="21"/>
      <c r="F62" s="21"/>
      <c r="G62" s="21"/>
      <c r="H62" s="29"/>
      <c r="J62" s="66" t="s">
        <v>99</v>
      </c>
      <c r="K62" s="67">
        <v>0.06</v>
      </c>
      <c r="L62" s="28"/>
      <c r="M62" s="28"/>
      <c r="N62" s="21"/>
      <c r="O62" s="21"/>
      <c r="P62" s="21"/>
      <c r="Q62" s="29"/>
      <c r="S62" s="66" t="s">
        <v>99</v>
      </c>
      <c r="T62" s="67">
        <f>IF(AND(K29&gt;=12,K29&lt;=24),0.0105,IF(AND(K29&gt;=48),-0.0075,0))</f>
        <v>0</v>
      </c>
      <c r="U62" s="28"/>
      <c r="V62" s="28"/>
      <c r="W62" s="21"/>
      <c r="X62" s="21"/>
      <c r="Y62" s="21"/>
      <c r="Z62" s="29"/>
      <c r="AB62" s="66" t="s">
        <v>99</v>
      </c>
      <c r="AC62" s="67">
        <f>IF(AND(K29&gt;=12,K29&lt;=24),0.0105,IF(AND(K29&gt;=48),-0.0075,0))</f>
        <v>0</v>
      </c>
      <c r="AD62" s="28"/>
      <c r="AE62" s="28"/>
      <c r="AF62" s="21"/>
      <c r="AG62" s="21"/>
      <c r="AH62" s="21"/>
      <c r="AI62" s="29"/>
    </row>
    <row r="63" spans="1:35">
      <c r="A63" s="68" t="s">
        <v>100</v>
      </c>
      <c r="B63" s="69">
        <v>7.0000000000000007E-2</v>
      </c>
      <c r="C63" s="28"/>
      <c r="D63" s="28"/>
      <c r="E63" s="21"/>
      <c r="F63" s="21"/>
      <c r="G63" s="21"/>
      <c r="H63" s="29"/>
      <c r="J63" s="68" t="s">
        <v>100</v>
      </c>
      <c r="K63" s="69">
        <v>0.08</v>
      </c>
      <c r="L63" s="28"/>
      <c r="M63" s="28"/>
      <c r="N63" s="21"/>
      <c r="O63" s="21"/>
      <c r="P63" s="21"/>
      <c r="Q63" s="29"/>
      <c r="S63" s="68" t="s">
        <v>100</v>
      </c>
      <c r="T63" s="69">
        <v>5.8999999999999997E-2</v>
      </c>
      <c r="U63" s="28"/>
      <c r="V63" s="28"/>
      <c r="W63" s="21"/>
      <c r="X63" s="21"/>
      <c r="Y63" s="21"/>
      <c r="Z63" s="29"/>
      <c r="AB63" s="68" t="s">
        <v>100</v>
      </c>
      <c r="AC63" s="69">
        <v>5.8999999999999997E-2</v>
      </c>
      <c r="AD63" s="28"/>
      <c r="AE63" s="28"/>
      <c r="AF63" s="21"/>
      <c r="AG63" s="21"/>
      <c r="AH63" s="21"/>
      <c r="AI63" s="29"/>
    </row>
    <row r="64" spans="1:35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J64" s="70" t="s">
        <v>101</v>
      </c>
      <c r="K64" s="71">
        <v>0.1</v>
      </c>
      <c r="L64" s="28"/>
      <c r="M64" s="28"/>
      <c r="N64" s="21"/>
      <c r="O64" s="21"/>
      <c r="P64" s="21"/>
      <c r="Q64" s="29"/>
      <c r="S64" s="70" t="s">
        <v>101</v>
      </c>
      <c r="T64" s="71">
        <f>IF(T108=AP108,2.4%,7.2%)</f>
        <v>7.2000000000000008E-2</v>
      </c>
      <c r="U64" s="28"/>
      <c r="V64" s="28"/>
      <c r="W64" s="21"/>
      <c r="X64" s="21"/>
      <c r="Y64" s="21"/>
      <c r="Z64" s="29"/>
      <c r="AB64" s="70" t="s">
        <v>101</v>
      </c>
      <c r="AC64" s="71">
        <f>IF(AC108=AP108,2.4%,7.2%)</f>
        <v>7.2000000000000008E-2</v>
      </c>
      <c r="AD64" s="28"/>
      <c r="AE64" s="28"/>
      <c r="AF64" s="21"/>
      <c r="AG64" s="21"/>
      <c r="AH64" s="21"/>
      <c r="AI64" s="29"/>
    </row>
    <row r="65" spans="1:35">
      <c r="A65" s="49" t="s">
        <v>102</v>
      </c>
      <c r="B65" s="57">
        <f>(B89*B59)-(K47*K29)</f>
        <v>7242.8783129847106</v>
      </c>
      <c r="C65" s="28"/>
      <c r="D65" s="28"/>
      <c r="E65" s="21"/>
      <c r="F65" s="21"/>
      <c r="G65" s="21"/>
      <c r="H65" s="29"/>
      <c r="J65" s="49" t="s">
        <v>102</v>
      </c>
      <c r="K65" s="57" t="e">
        <f>(K89*K59)-(K47*K29)</f>
        <v>#VALUE!</v>
      </c>
      <c r="L65" s="28"/>
      <c r="M65" s="28"/>
      <c r="N65" s="21"/>
      <c r="O65" s="21"/>
      <c r="P65" s="21"/>
      <c r="Q65" s="29"/>
      <c r="S65" s="49" t="s">
        <v>102</v>
      </c>
      <c r="T65" s="57" t="e">
        <f>(T89*T59)-(K47*K29)</f>
        <v>#VALUE!</v>
      </c>
      <c r="U65" s="28"/>
      <c r="V65" s="28"/>
      <c r="W65" s="21"/>
      <c r="X65" s="21"/>
      <c r="Y65" s="21"/>
      <c r="Z65" s="29"/>
      <c r="AB65" s="49" t="s">
        <v>102</v>
      </c>
      <c r="AC65" s="57" t="e">
        <f>(AC89*AC59)-(K47*K29)</f>
        <v>#VALUE!</v>
      </c>
      <c r="AD65" s="28"/>
      <c r="AE65" s="28"/>
      <c r="AF65" s="21"/>
      <c r="AG65" s="21"/>
      <c r="AH65" s="21"/>
      <c r="AI65" s="29"/>
    </row>
    <row r="66" spans="1:35">
      <c r="A66" s="66" t="s">
        <v>103</v>
      </c>
      <c r="B66" s="67">
        <v>0.03</v>
      </c>
      <c r="C66" s="28"/>
      <c r="D66" s="28"/>
      <c r="E66" s="21"/>
      <c r="F66" s="21"/>
      <c r="G66" s="21"/>
      <c r="H66" s="29"/>
      <c r="J66" s="66" t="s">
        <v>103</v>
      </c>
      <c r="K66" s="67">
        <v>0.05</v>
      </c>
      <c r="L66" s="28"/>
      <c r="M66" s="28"/>
      <c r="N66" s="21"/>
      <c r="O66" s="21"/>
      <c r="P66" s="21"/>
      <c r="Q66" s="29"/>
      <c r="S66" s="66" t="s">
        <v>103</v>
      </c>
      <c r="T66" s="67">
        <v>5.0000000000000001E-3</v>
      </c>
      <c r="U66" s="28"/>
      <c r="V66" s="28"/>
      <c r="W66" s="21"/>
      <c r="X66" s="21"/>
      <c r="Y66" s="21"/>
      <c r="Z66" s="29"/>
      <c r="AB66" s="66" t="s">
        <v>103</v>
      </c>
      <c r="AC66" s="67">
        <v>5.0000000000000001E-3</v>
      </c>
      <c r="AD66" s="28"/>
      <c r="AE66" s="28"/>
      <c r="AF66" s="21"/>
      <c r="AG66" s="21"/>
      <c r="AH66" s="21"/>
      <c r="AI66" s="29"/>
    </row>
    <row r="67" spans="1:35">
      <c r="A67" s="27"/>
      <c r="B67" s="72">
        <f>B66</f>
        <v>0.03</v>
      </c>
      <c r="C67" s="28"/>
      <c r="D67" s="28"/>
      <c r="E67" s="21"/>
      <c r="F67" s="21"/>
      <c r="G67" s="21"/>
      <c r="H67" s="29"/>
      <c r="J67" s="27" t="s">
        <v>104</v>
      </c>
      <c r="K67" s="72">
        <f>K66+(K66*0.25*(K29/12-1))</f>
        <v>7.5000000000000011E-2</v>
      </c>
      <c r="L67" s="28"/>
      <c r="M67" s="28"/>
      <c r="N67" s="21"/>
      <c r="O67" s="21"/>
      <c r="P67" s="21"/>
      <c r="Q67" s="29"/>
      <c r="S67" s="27" t="s">
        <v>104</v>
      </c>
      <c r="T67" s="72">
        <f>T66+(T66*0.5*(K29/12-1))</f>
        <v>0.01</v>
      </c>
      <c r="U67" s="28"/>
      <c r="V67" s="28"/>
      <c r="W67" s="21"/>
      <c r="X67" s="21"/>
      <c r="Y67" s="21"/>
      <c r="Z67" s="29"/>
      <c r="AB67" s="27" t="s">
        <v>104</v>
      </c>
      <c r="AC67" s="72">
        <f>AC66+(AC66*0.5*(K29/12-1))</f>
        <v>0.01</v>
      </c>
      <c r="AD67" s="28"/>
      <c r="AE67" s="28"/>
      <c r="AF67" s="21"/>
      <c r="AG67" s="21"/>
      <c r="AH67" s="21"/>
      <c r="AI67" s="29"/>
    </row>
    <row r="68" spans="1:35">
      <c r="A68" s="49" t="s">
        <v>105</v>
      </c>
      <c r="B68" s="57">
        <f>(G158*B67)</f>
        <v>717.60011999999983</v>
      </c>
      <c r="C68" s="28"/>
      <c r="D68" s="28"/>
      <c r="E68" s="21"/>
      <c r="F68" s="21"/>
      <c r="G68" s="21"/>
      <c r="H68" s="29"/>
      <c r="J68" s="49" t="s">
        <v>105</v>
      </c>
      <c r="K68" s="57">
        <f>K61*K67</f>
        <v>2805.3750000000005</v>
      </c>
      <c r="L68" s="28"/>
      <c r="M68" s="28"/>
      <c r="N68" s="21"/>
      <c r="O68" s="21"/>
      <c r="P68" s="21"/>
      <c r="Q68" s="29"/>
      <c r="S68" s="49" t="s">
        <v>105</v>
      </c>
      <c r="T68" s="57">
        <f>T61*T67</f>
        <v>374.05</v>
      </c>
      <c r="U68" s="28"/>
      <c r="V68" s="28"/>
      <c r="W68" s="21"/>
      <c r="X68" s="21"/>
      <c r="Y68" s="21"/>
      <c r="Z68" s="29"/>
      <c r="AB68" s="49" t="s">
        <v>105</v>
      </c>
      <c r="AC68" s="57" t="e">
        <f>AH158*AC67</f>
        <v>#VALUE!</v>
      </c>
      <c r="AD68" s="28"/>
      <c r="AE68" s="28"/>
      <c r="AF68" s="21"/>
      <c r="AG68" s="21"/>
      <c r="AH68" s="21"/>
      <c r="AI68" s="29"/>
    </row>
    <row r="69" spans="1:35">
      <c r="A69" s="66" t="s">
        <v>106</v>
      </c>
      <c r="B69" s="67">
        <v>0</v>
      </c>
      <c r="C69" s="28"/>
      <c r="D69" s="28"/>
      <c r="E69" s="21"/>
      <c r="F69" s="21"/>
      <c r="G69" s="21"/>
      <c r="H69" s="29"/>
      <c r="J69" s="66" t="s">
        <v>106</v>
      </c>
      <c r="K69" s="67">
        <v>0</v>
      </c>
      <c r="L69" s="28"/>
      <c r="M69" s="28"/>
      <c r="N69" s="21"/>
      <c r="O69" s="21"/>
      <c r="P69" s="21"/>
      <c r="Q69" s="29"/>
      <c r="S69" s="66" t="s">
        <v>106</v>
      </c>
      <c r="T69" s="67">
        <v>0</v>
      </c>
      <c r="U69" s="28"/>
      <c r="V69" s="28"/>
      <c r="W69" s="21"/>
      <c r="X69" s="21"/>
      <c r="Y69" s="21"/>
      <c r="Z69" s="29"/>
      <c r="AB69" s="66" t="s">
        <v>106</v>
      </c>
      <c r="AC69" s="67">
        <v>0</v>
      </c>
      <c r="AD69" s="28"/>
      <c r="AE69" s="28"/>
      <c r="AF69" s="21"/>
      <c r="AG69" s="21"/>
      <c r="AH69" s="21"/>
      <c r="AI69" s="29"/>
    </row>
    <row r="70" spans="1:35">
      <c r="A70" s="68" t="s">
        <v>107</v>
      </c>
      <c r="B70" s="69">
        <v>0</v>
      </c>
      <c r="C70" s="28"/>
      <c r="D70" s="28"/>
      <c r="E70" s="21"/>
      <c r="F70" s="21"/>
      <c r="G70" s="21"/>
      <c r="H70" s="29"/>
      <c r="J70" s="68" t="s">
        <v>107</v>
      </c>
      <c r="K70" s="69">
        <v>0</v>
      </c>
      <c r="L70" s="28"/>
      <c r="M70" s="28"/>
      <c r="N70" s="21"/>
      <c r="O70" s="21"/>
      <c r="P70" s="21"/>
      <c r="Q70" s="29"/>
      <c r="S70" s="68" t="s">
        <v>107</v>
      </c>
      <c r="T70" s="69">
        <v>0</v>
      </c>
      <c r="U70" s="28"/>
      <c r="V70" s="28"/>
      <c r="W70" s="21"/>
      <c r="X70" s="21"/>
      <c r="Y70" s="21"/>
      <c r="Z70" s="29"/>
      <c r="AB70" s="68" t="s">
        <v>107</v>
      </c>
      <c r="AC70" s="69">
        <v>0</v>
      </c>
      <c r="AD70" s="28"/>
      <c r="AE70" s="28"/>
      <c r="AF70" s="21"/>
      <c r="AG70" s="21"/>
      <c r="AH70" s="21"/>
      <c r="AI70" s="29"/>
    </row>
    <row r="71" spans="1:35">
      <c r="A71" s="49" t="s">
        <v>108</v>
      </c>
      <c r="B71" s="73">
        <f>B69*(1+B70)</f>
        <v>0</v>
      </c>
      <c r="C71" s="28"/>
      <c r="D71" s="28"/>
      <c r="E71" s="21"/>
      <c r="F71" s="21"/>
      <c r="G71" s="21"/>
      <c r="H71" s="29"/>
      <c r="J71" s="49" t="s">
        <v>108</v>
      </c>
      <c r="K71" s="73">
        <f>K69*(1+K70)</f>
        <v>0</v>
      </c>
      <c r="L71" s="28"/>
      <c r="M71" s="28"/>
      <c r="N71" s="21"/>
      <c r="O71" s="21"/>
      <c r="P71" s="21"/>
      <c r="Q71" s="29"/>
      <c r="S71" s="49" t="s">
        <v>108</v>
      </c>
      <c r="T71" s="73">
        <f>T69*(1+T70)</f>
        <v>0</v>
      </c>
      <c r="U71" s="28"/>
      <c r="V71" s="28"/>
      <c r="W71" s="21"/>
      <c r="X71" s="21"/>
      <c r="Y71" s="21"/>
      <c r="Z71" s="29"/>
      <c r="AB71" s="49" t="s">
        <v>108</v>
      </c>
      <c r="AC71" s="73">
        <f>AC69*(1+AC70)</f>
        <v>0</v>
      </c>
      <c r="AD71" s="28"/>
      <c r="AE71" s="28"/>
      <c r="AF71" s="21"/>
      <c r="AG71" s="21"/>
      <c r="AH71" s="21"/>
      <c r="AI71" s="29"/>
    </row>
    <row r="72" spans="1:35">
      <c r="A72" s="66" t="s">
        <v>109</v>
      </c>
      <c r="B72" s="74">
        <v>0</v>
      </c>
      <c r="C72" s="28"/>
      <c r="D72" s="28"/>
      <c r="E72" s="21"/>
      <c r="F72" s="21"/>
      <c r="G72" s="21"/>
      <c r="H72" s="29"/>
      <c r="J72" s="66" t="s">
        <v>109</v>
      </c>
      <c r="K72" s="74">
        <v>0</v>
      </c>
      <c r="L72" s="28"/>
      <c r="M72" s="28"/>
      <c r="N72" s="21"/>
      <c r="O72" s="21"/>
      <c r="P72" s="21"/>
      <c r="Q72" s="29"/>
      <c r="S72" s="66" t="s">
        <v>109</v>
      </c>
      <c r="T72" s="74">
        <v>0</v>
      </c>
      <c r="U72" s="28"/>
      <c r="V72" s="28"/>
      <c r="W72" s="21"/>
      <c r="X72" s="21"/>
      <c r="Y72" s="21"/>
      <c r="Z72" s="29"/>
      <c r="AB72" s="66" t="s">
        <v>109</v>
      </c>
      <c r="AC72" s="74">
        <v>0</v>
      </c>
      <c r="AD72" s="28"/>
      <c r="AE72" s="28"/>
      <c r="AF72" s="21"/>
      <c r="AG72" s="21"/>
      <c r="AH72" s="21"/>
      <c r="AI72" s="29"/>
    </row>
    <row r="73" spans="1:35">
      <c r="A73" s="68" t="s">
        <v>110</v>
      </c>
      <c r="B73" s="65">
        <v>0</v>
      </c>
      <c r="C73" s="28"/>
      <c r="D73" s="28"/>
      <c r="E73" s="21"/>
      <c r="F73" s="21"/>
      <c r="G73" s="21"/>
      <c r="H73" s="29"/>
      <c r="J73" s="68" t="s">
        <v>110</v>
      </c>
      <c r="K73" s="65">
        <v>0</v>
      </c>
      <c r="L73" s="28"/>
      <c r="M73" s="28"/>
      <c r="N73" s="21"/>
      <c r="O73" s="21"/>
      <c r="P73" s="21"/>
      <c r="Q73" s="29"/>
      <c r="S73" s="68" t="s">
        <v>110</v>
      </c>
      <c r="T73" s="65">
        <v>0</v>
      </c>
      <c r="U73" s="28"/>
      <c r="V73" s="28"/>
      <c r="W73" s="21"/>
      <c r="X73" s="21"/>
      <c r="Y73" s="21"/>
      <c r="Z73" s="29"/>
      <c r="AB73" s="68" t="s">
        <v>110</v>
      </c>
      <c r="AC73" s="65">
        <v>0</v>
      </c>
      <c r="AD73" s="28"/>
      <c r="AE73" s="28"/>
      <c r="AF73" s="21"/>
      <c r="AG73" s="21"/>
      <c r="AH73" s="21"/>
      <c r="AI73" s="29"/>
    </row>
    <row r="74" spans="1:35">
      <c r="A74" s="49" t="s">
        <v>111</v>
      </c>
      <c r="B74" s="57">
        <f>B73*K29</f>
        <v>0</v>
      </c>
      <c r="C74" s="28"/>
      <c r="D74" s="28">
        <f>B74+B72</f>
        <v>0</v>
      </c>
      <c r="E74" s="21"/>
      <c r="F74" s="21"/>
      <c r="G74" s="21"/>
      <c r="H74" s="29"/>
      <c r="J74" s="49" t="s">
        <v>111</v>
      </c>
      <c r="K74" s="57">
        <f>K73*K29</f>
        <v>0</v>
      </c>
      <c r="L74" s="28"/>
      <c r="M74" s="28">
        <f>K74+K72</f>
        <v>0</v>
      </c>
      <c r="N74" s="21"/>
      <c r="O74" s="21"/>
      <c r="P74" s="21"/>
      <c r="Q74" s="29"/>
      <c r="S74" s="49" t="s">
        <v>111</v>
      </c>
      <c r="T74" s="57">
        <f>T73*K29</f>
        <v>0</v>
      </c>
      <c r="U74" s="28"/>
      <c r="V74" s="28">
        <f>T74+T72</f>
        <v>0</v>
      </c>
      <c r="W74" s="21"/>
      <c r="X74" s="21"/>
      <c r="Y74" s="21"/>
      <c r="Z74" s="29"/>
      <c r="AB74" s="49" t="s">
        <v>111</v>
      </c>
      <c r="AC74" s="57">
        <f>AC73*K29</f>
        <v>0</v>
      </c>
      <c r="AD74" s="28"/>
      <c r="AE74" s="28">
        <f>AC74+AC72</f>
        <v>0</v>
      </c>
      <c r="AF74" s="21"/>
      <c r="AG74" s="21"/>
      <c r="AH74" s="21"/>
      <c r="AI74" s="29"/>
    </row>
    <row r="75" spans="1:35">
      <c r="A75" s="68" t="s">
        <v>112</v>
      </c>
      <c r="B75" s="65">
        <v>0</v>
      </c>
      <c r="C75" s="28"/>
      <c r="D75" s="28">
        <f>B75</f>
        <v>0</v>
      </c>
      <c r="E75" s="21"/>
      <c r="F75" s="21"/>
      <c r="G75" s="21"/>
      <c r="H75" s="29"/>
      <c r="J75" s="68" t="s">
        <v>112</v>
      </c>
      <c r="K75" s="65">
        <v>0</v>
      </c>
      <c r="L75" s="28"/>
      <c r="M75" s="28">
        <f>K75</f>
        <v>0</v>
      </c>
      <c r="N75" s="21"/>
      <c r="O75" s="21"/>
      <c r="P75" s="21"/>
      <c r="Q75" s="29"/>
      <c r="S75" s="68" t="s">
        <v>112</v>
      </c>
      <c r="T75" s="65">
        <v>0</v>
      </c>
      <c r="U75" s="28"/>
      <c r="V75" s="28">
        <f>T75</f>
        <v>0</v>
      </c>
      <c r="W75" s="21"/>
      <c r="X75" s="21"/>
      <c r="Y75" s="21"/>
      <c r="Z75" s="29"/>
      <c r="AB75" s="68" t="s">
        <v>112</v>
      </c>
      <c r="AC75" s="65">
        <v>0</v>
      </c>
      <c r="AD75" s="28"/>
      <c r="AE75" s="28">
        <f>AC75</f>
        <v>0</v>
      </c>
      <c r="AF75" s="21"/>
      <c r="AG75" s="21"/>
      <c r="AH75" s="21"/>
      <c r="AI75" s="29"/>
    </row>
    <row r="76" spans="1:35">
      <c r="A76" s="70" t="s">
        <v>113</v>
      </c>
      <c r="B76" s="75">
        <v>0</v>
      </c>
      <c r="C76" s="28"/>
      <c r="D76" s="28">
        <f>B76</f>
        <v>0</v>
      </c>
      <c r="E76" s="21"/>
      <c r="F76" s="28"/>
      <c r="G76" s="21"/>
      <c r="H76" s="29"/>
      <c r="J76" s="70" t="s">
        <v>113</v>
      </c>
      <c r="K76" s="75">
        <v>0</v>
      </c>
      <c r="L76" s="28"/>
      <c r="M76" s="28">
        <f>K76</f>
        <v>0</v>
      </c>
      <c r="N76" s="21"/>
      <c r="O76" s="21"/>
      <c r="P76" s="21"/>
      <c r="Q76" s="29"/>
      <c r="S76" s="70" t="s">
        <v>113</v>
      </c>
      <c r="T76" s="75">
        <v>0</v>
      </c>
      <c r="U76" s="28"/>
      <c r="V76" s="28">
        <f>T76</f>
        <v>0</v>
      </c>
      <c r="W76" s="21"/>
      <c r="X76" s="21"/>
      <c r="Y76" s="21"/>
      <c r="Z76" s="29"/>
      <c r="AB76" s="70" t="s">
        <v>113</v>
      </c>
      <c r="AC76" s="75">
        <v>0</v>
      </c>
      <c r="AD76" s="28"/>
      <c r="AE76" s="28">
        <f>AC76</f>
        <v>0</v>
      </c>
      <c r="AF76" s="21"/>
      <c r="AG76" s="21"/>
      <c r="AH76" s="21"/>
      <c r="AI76" s="29"/>
    </row>
    <row r="77" spans="1:35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  <c r="J77" s="76" t="s">
        <v>114</v>
      </c>
      <c r="K77" s="77">
        <f>SUM(M65:M76)</f>
        <v>0</v>
      </c>
      <c r="L77" s="28"/>
      <c r="M77" s="28"/>
      <c r="N77" s="21"/>
      <c r="O77" s="21"/>
      <c r="P77" s="21"/>
      <c r="Q77" s="29"/>
      <c r="S77" s="76" t="s">
        <v>114</v>
      </c>
      <c r="T77" s="77">
        <f>SUM(V65:V76)</f>
        <v>0</v>
      </c>
      <c r="U77" s="28"/>
      <c r="V77" s="28"/>
      <c r="W77" s="21"/>
      <c r="X77" s="21"/>
      <c r="Y77" s="21"/>
      <c r="Z77" s="29"/>
      <c r="AB77" s="76" t="s">
        <v>114</v>
      </c>
      <c r="AC77" s="77">
        <f>SUM(AE65:AE76)</f>
        <v>0</v>
      </c>
      <c r="AD77" s="28"/>
      <c r="AE77" s="28"/>
      <c r="AF77" s="21"/>
      <c r="AG77" s="21"/>
      <c r="AH77" s="21"/>
      <c r="AI77" s="29"/>
    </row>
    <row r="78" spans="1:35">
      <c r="A78" s="27" t="s">
        <v>115</v>
      </c>
      <c r="B78" s="29">
        <f>B77/K29</f>
        <v>0</v>
      </c>
      <c r="C78" s="28"/>
      <c r="D78" s="28"/>
      <c r="E78" s="21"/>
      <c r="F78" s="21"/>
      <c r="G78" s="21"/>
      <c r="H78" s="29"/>
      <c r="J78" s="27" t="s">
        <v>115</v>
      </c>
      <c r="K78" s="29">
        <f>K77/K29</f>
        <v>0</v>
      </c>
      <c r="L78" s="28"/>
      <c r="M78" s="28"/>
      <c r="N78" s="21"/>
      <c r="O78" s="21"/>
      <c r="P78" s="21"/>
      <c r="Q78" s="29"/>
      <c r="S78" s="27" t="s">
        <v>115</v>
      </c>
      <c r="T78" s="29">
        <f>T77/K29</f>
        <v>0</v>
      </c>
      <c r="U78" s="28"/>
      <c r="V78" s="28"/>
      <c r="W78" s="21"/>
      <c r="X78" s="21"/>
      <c r="Y78" s="21"/>
      <c r="Z78" s="29"/>
      <c r="AB78" s="27" t="s">
        <v>115</v>
      </c>
      <c r="AC78" s="29">
        <f>AC77/K29</f>
        <v>0</v>
      </c>
      <c r="AD78" s="28"/>
      <c r="AE78" s="28"/>
      <c r="AF78" s="21"/>
      <c r="AG78" s="21"/>
      <c r="AH78" s="21"/>
      <c r="AI78" s="29"/>
    </row>
    <row r="79" spans="1:35">
      <c r="A79" s="78" t="s">
        <v>116</v>
      </c>
      <c r="B79" s="52">
        <f>K47</f>
        <v>571.22629200937934</v>
      </c>
      <c r="C79" s="28"/>
      <c r="D79" s="28"/>
      <c r="E79" s="21"/>
      <c r="F79" s="21"/>
      <c r="G79" s="21"/>
      <c r="H79" s="29"/>
      <c r="J79" s="78" t="s">
        <v>116</v>
      </c>
      <c r="K79" s="52">
        <f>K47</f>
        <v>571.22629200937934</v>
      </c>
      <c r="L79" s="28"/>
      <c r="M79" s="28"/>
      <c r="N79" s="21"/>
      <c r="O79" s="21"/>
      <c r="P79" s="21"/>
      <c r="Q79" s="29"/>
      <c r="S79" s="78" t="s">
        <v>116</v>
      </c>
      <c r="T79" s="52">
        <f>B52</f>
        <v>571.22629200937934</v>
      </c>
      <c r="U79" s="28"/>
      <c r="V79" s="28"/>
      <c r="W79" s="21"/>
      <c r="X79" s="21"/>
      <c r="Y79" s="21"/>
      <c r="Z79" s="29"/>
      <c r="AB79" s="78" t="s">
        <v>116</v>
      </c>
      <c r="AC79" s="52">
        <f>B52</f>
        <v>571.22629200937934</v>
      </c>
      <c r="AD79" s="28"/>
      <c r="AE79" s="28"/>
      <c r="AF79" s="21"/>
      <c r="AG79" s="21"/>
      <c r="AH79" s="21"/>
      <c r="AI79" s="29"/>
    </row>
    <row r="80" spans="1:35">
      <c r="A80" s="27"/>
      <c r="B80" s="28"/>
      <c r="C80" s="28"/>
      <c r="D80" s="28"/>
      <c r="E80" s="21"/>
      <c r="F80" s="21"/>
      <c r="G80" s="21"/>
      <c r="H80" s="29"/>
      <c r="J80" s="27"/>
      <c r="K80" s="28"/>
      <c r="L80" s="28"/>
      <c r="M80" s="28"/>
      <c r="N80" s="21"/>
      <c r="O80" s="21"/>
      <c r="P80" s="21"/>
      <c r="Q80" s="29"/>
      <c r="S80" s="27"/>
      <c r="T80" s="28"/>
      <c r="U80" s="28"/>
      <c r="V80" s="28"/>
      <c r="W80" s="21"/>
      <c r="X80" s="21"/>
      <c r="Y80" s="21"/>
      <c r="Z80" s="29"/>
      <c r="AB80" s="27"/>
      <c r="AC80" s="28"/>
      <c r="AD80" s="28"/>
      <c r="AE80" s="28"/>
      <c r="AF80" s="21"/>
      <c r="AG80" s="21"/>
      <c r="AH80" s="21"/>
      <c r="AI80" s="29"/>
    </row>
    <row r="81" spans="1:35">
      <c r="A81" s="22" t="s">
        <v>117</v>
      </c>
      <c r="B81" s="24">
        <f>G158</f>
        <v>23920.003999999997</v>
      </c>
      <c r="C81" s="28"/>
      <c r="D81" s="28"/>
      <c r="E81" s="21"/>
      <c r="F81" s="22" t="s">
        <v>117</v>
      </c>
      <c r="G81" s="24">
        <f>G158</f>
        <v>23920.003999999997</v>
      </c>
      <c r="H81" s="29"/>
      <c r="J81" s="22" t="s">
        <v>117</v>
      </c>
      <c r="K81" s="24" t="e">
        <f>P158</f>
        <v>#VALUE!</v>
      </c>
      <c r="L81" s="28"/>
      <c r="M81" s="28"/>
      <c r="N81" s="21"/>
      <c r="O81" s="21"/>
      <c r="P81" s="21"/>
      <c r="Q81" s="29"/>
      <c r="S81" s="22" t="s">
        <v>117</v>
      </c>
      <c r="T81" s="24" t="e">
        <f>Y158</f>
        <v>#VALUE!</v>
      </c>
      <c r="U81" s="28"/>
      <c r="V81" s="28"/>
      <c r="W81" s="21"/>
      <c r="X81" s="21"/>
      <c r="Y81" s="21"/>
      <c r="Z81" s="29"/>
      <c r="AB81" s="22" t="s">
        <v>117</v>
      </c>
      <c r="AC81" s="24" t="e">
        <f>AH158</f>
        <v>#VALUE!</v>
      </c>
      <c r="AD81" s="28"/>
      <c r="AE81" s="28"/>
      <c r="AF81" s="21"/>
      <c r="AG81" s="21"/>
      <c r="AH81" s="21"/>
      <c r="AI81" s="29"/>
    </row>
    <row r="82" spans="1:35">
      <c r="A82" s="27" t="s">
        <v>118</v>
      </c>
      <c r="B82" s="29">
        <f>IF(A111="YES",A40,0)</f>
        <v>0</v>
      </c>
      <c r="C82" s="28"/>
      <c r="D82" s="28"/>
      <c r="E82" s="21"/>
      <c r="F82" s="27" t="s">
        <v>118</v>
      </c>
      <c r="G82" s="29">
        <f>IF(A111="YES",A40,0)</f>
        <v>0</v>
      </c>
      <c r="H82" s="29"/>
      <c r="J82" s="27" t="s">
        <v>118</v>
      </c>
      <c r="K82" s="29">
        <f>IF(J111="YES",A40,0)</f>
        <v>0</v>
      </c>
      <c r="L82" s="28"/>
      <c r="M82" s="28"/>
      <c r="N82" s="21"/>
      <c r="O82" s="21"/>
      <c r="P82" s="21"/>
      <c r="Q82" s="29"/>
      <c r="S82" s="27" t="s">
        <v>118</v>
      </c>
      <c r="T82" s="29">
        <f>A40</f>
        <v>0</v>
      </c>
      <c r="U82" s="28"/>
      <c r="V82" s="28"/>
      <c r="W82" s="21"/>
      <c r="X82" s="21"/>
      <c r="Y82" s="21"/>
      <c r="Z82" s="29"/>
      <c r="AB82" s="27" t="s">
        <v>118</v>
      </c>
      <c r="AC82" s="29">
        <f>A40</f>
        <v>0</v>
      </c>
      <c r="AD82" s="28"/>
      <c r="AE82" s="28"/>
      <c r="AF82" s="21"/>
      <c r="AG82" s="21"/>
      <c r="AH82" s="21"/>
      <c r="AI82" s="29"/>
    </row>
    <row r="83" spans="1:35">
      <c r="A83" s="27" t="s">
        <v>119</v>
      </c>
      <c r="B83" s="79">
        <f>B62+B63+B64</f>
        <v>0.12000000000000001</v>
      </c>
      <c r="C83" s="28"/>
      <c r="D83" s="28"/>
      <c r="E83" s="21"/>
      <c r="F83" s="27" t="s">
        <v>119</v>
      </c>
      <c r="G83" s="79">
        <f>B63</f>
        <v>7.0000000000000007E-2</v>
      </c>
      <c r="H83" s="29"/>
      <c r="J83" s="27" t="s">
        <v>119</v>
      </c>
      <c r="K83" s="72">
        <f>K62+K63+K64</f>
        <v>0.24000000000000002</v>
      </c>
      <c r="L83" s="28"/>
      <c r="M83" s="28"/>
      <c r="N83" s="21"/>
      <c r="O83" s="21"/>
      <c r="P83" s="21"/>
      <c r="Q83" s="29"/>
      <c r="S83" s="27" t="s">
        <v>119</v>
      </c>
      <c r="T83" s="72">
        <f>T62+T63+T64</f>
        <v>0.13100000000000001</v>
      </c>
      <c r="U83" s="28"/>
      <c r="V83" s="28"/>
      <c r="W83" s="21"/>
      <c r="X83" s="21"/>
      <c r="Y83" s="21"/>
      <c r="Z83" s="29"/>
      <c r="AB83" s="27" t="s">
        <v>119</v>
      </c>
      <c r="AC83" s="72">
        <f>AC62+AC63+AC64</f>
        <v>0.13100000000000001</v>
      </c>
      <c r="AD83" s="28"/>
      <c r="AE83" s="28"/>
      <c r="AF83" s="21"/>
      <c r="AG83" s="21"/>
      <c r="AH83" s="21"/>
      <c r="AI83" s="29"/>
    </row>
    <row r="84" spans="1:35">
      <c r="A84" s="27" t="s">
        <v>120</v>
      </c>
      <c r="B84" s="72">
        <f>B83/12</f>
        <v>0.01</v>
      </c>
      <c r="C84" s="28"/>
      <c r="D84" s="28"/>
      <c r="E84" s="21"/>
      <c r="F84" s="27" t="s">
        <v>120</v>
      </c>
      <c r="G84" s="72">
        <f>G83/12</f>
        <v>5.8333333333333336E-3</v>
      </c>
      <c r="H84" s="29"/>
      <c r="J84" s="27" t="s">
        <v>120</v>
      </c>
      <c r="K84" s="72">
        <f>K83/12</f>
        <v>0.02</v>
      </c>
      <c r="L84" s="28"/>
      <c r="M84" s="28"/>
      <c r="N84" s="21"/>
      <c r="O84" s="21"/>
      <c r="P84" s="21"/>
      <c r="Q84" s="29"/>
      <c r="S84" s="27" t="s">
        <v>120</v>
      </c>
      <c r="T84" s="72">
        <f>T83/12</f>
        <v>1.0916666666666667E-2</v>
      </c>
      <c r="U84" s="28"/>
      <c r="V84" s="28"/>
      <c r="W84" s="21"/>
      <c r="X84" s="21"/>
      <c r="Y84" s="21"/>
      <c r="Z84" s="29"/>
      <c r="AB84" s="27" t="s">
        <v>120</v>
      </c>
      <c r="AC84" s="72">
        <f>AC83/12</f>
        <v>1.0916666666666667E-2</v>
      </c>
      <c r="AD84" s="28"/>
      <c r="AE84" s="28"/>
      <c r="AF84" s="21"/>
      <c r="AG84" s="21"/>
      <c r="AH84" s="21"/>
      <c r="AI84" s="29"/>
    </row>
    <row r="85" spans="1:35">
      <c r="A85" s="27" t="s">
        <v>121</v>
      </c>
      <c r="B85" s="29">
        <f>IF(B82=0,(B59+B58),(B59))</f>
        <v>36</v>
      </c>
      <c r="C85" s="28"/>
      <c r="D85" s="28"/>
      <c r="E85" s="21"/>
      <c r="F85" s="27" t="s">
        <v>121</v>
      </c>
      <c r="G85" s="29">
        <f>IF(G82=0,(B59+B58),(B59))</f>
        <v>36</v>
      </c>
      <c r="H85" s="29"/>
      <c r="J85" s="27" t="s">
        <v>121</v>
      </c>
      <c r="K85" s="29">
        <f>IF(K82=0,(K59+K58),(K59))</f>
        <v>36</v>
      </c>
      <c r="L85" s="28"/>
      <c r="M85" s="28"/>
      <c r="N85" s="21"/>
      <c r="O85" s="21"/>
      <c r="P85" s="21"/>
      <c r="Q85" s="29"/>
      <c r="S85" s="27" t="s">
        <v>121</v>
      </c>
      <c r="T85" s="29">
        <f>T59</f>
        <v>35</v>
      </c>
      <c r="U85" s="28"/>
      <c r="V85" s="28"/>
      <c r="W85" s="21"/>
      <c r="X85" s="21"/>
      <c r="Y85" s="21"/>
      <c r="Z85" s="29"/>
      <c r="AB85" s="27" t="s">
        <v>121</v>
      </c>
      <c r="AC85" s="29">
        <f>AC59</f>
        <v>35</v>
      </c>
      <c r="AD85" s="28"/>
      <c r="AE85" s="28"/>
      <c r="AF85" s="21"/>
      <c r="AG85" s="21"/>
      <c r="AH85" s="21"/>
      <c r="AI85" s="29"/>
    </row>
    <row r="86" spans="1:35">
      <c r="A86" s="27" t="s">
        <v>122</v>
      </c>
      <c r="B86" s="29">
        <f>(B82/((1+B84)^(B85+1)))</f>
        <v>0</v>
      </c>
      <c r="C86" s="28"/>
      <c r="D86" s="28"/>
      <c r="E86" s="21"/>
      <c r="F86" s="27" t="s">
        <v>122</v>
      </c>
      <c r="G86" s="29">
        <f>(G82/((1+G84)^(G85+1)))</f>
        <v>0</v>
      </c>
      <c r="H86" s="29"/>
      <c r="J86" s="27" t="s">
        <v>122</v>
      </c>
      <c r="K86" s="29">
        <f>(K82/((1+K84)^(K85+1)))</f>
        <v>0</v>
      </c>
      <c r="L86" s="28"/>
      <c r="M86" s="28"/>
      <c r="N86" s="21"/>
      <c r="O86" s="21"/>
      <c r="P86" s="21"/>
      <c r="Q86" s="29"/>
      <c r="S86" s="27" t="s">
        <v>122</v>
      </c>
      <c r="T86" s="29">
        <f>(T82/((1+T84)^(T85+1)))</f>
        <v>0</v>
      </c>
      <c r="U86" s="28"/>
      <c r="V86" s="28"/>
      <c r="W86" s="21"/>
      <c r="X86" s="21"/>
      <c r="Y86" s="21"/>
      <c r="Z86" s="29"/>
      <c r="AB86" s="27" t="s">
        <v>122</v>
      </c>
      <c r="AC86" s="29">
        <f>(AC82/((1+AC84)^(AC85+1)))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123</v>
      </c>
      <c r="B87" s="29">
        <f>((1-(1/((1+B84)^B85)))/B84)</f>
        <v>30.10750503727413</v>
      </c>
      <c r="C87" s="28"/>
      <c r="D87" s="28"/>
      <c r="E87" s="21"/>
      <c r="F87" s="27" t="s">
        <v>123</v>
      </c>
      <c r="G87" s="29">
        <f>((1-(1/((1+G84)^G85)))/G84)</f>
        <v>32.386464451633181</v>
      </c>
      <c r="H87" s="29"/>
      <c r="J87" s="27" t="s">
        <v>123</v>
      </c>
      <c r="K87" s="29">
        <f>((1-(1/((1+K84)^K85)))/K84)</f>
        <v>25.488842482387387</v>
      </c>
      <c r="L87" s="28"/>
      <c r="M87" s="28"/>
      <c r="N87" s="21"/>
      <c r="O87" s="21"/>
      <c r="P87" s="21"/>
      <c r="Q87" s="29"/>
      <c r="S87" s="27" t="s">
        <v>123</v>
      </c>
      <c r="T87" s="29">
        <f>((1-(1/((1+T84)^T85)))/T84)</f>
        <v>28.960065194107752</v>
      </c>
      <c r="U87" s="28"/>
      <c r="V87" s="28"/>
      <c r="W87" s="21"/>
      <c r="X87" s="21"/>
      <c r="Y87" s="21"/>
      <c r="Z87" s="29"/>
      <c r="AB87" s="27" t="s">
        <v>123</v>
      </c>
      <c r="AC87" s="29">
        <f>((1-(1/((1+AC84)^AC85)))/AC84)</f>
        <v>28.960065194107752</v>
      </c>
      <c r="AD87" s="28"/>
      <c r="AE87" s="28"/>
      <c r="AF87" s="21"/>
      <c r="AG87" s="21"/>
      <c r="AH87" s="21"/>
      <c r="AI87" s="29"/>
    </row>
    <row r="88" spans="1:35">
      <c r="A88" s="27" t="s">
        <v>124</v>
      </c>
      <c r="B88" s="29">
        <f>B81-B86</f>
        <v>23920.003999999997</v>
      </c>
      <c r="C88" s="28"/>
      <c r="D88" s="28"/>
      <c r="E88" s="21"/>
      <c r="F88" s="27" t="s">
        <v>124</v>
      </c>
      <c r="G88" s="29">
        <f>G81-G86</f>
        <v>23920.003999999997</v>
      </c>
      <c r="H88" s="29"/>
      <c r="J88" s="27" t="s">
        <v>124</v>
      </c>
      <c r="K88" s="29" t="e">
        <f>K81-K86</f>
        <v>#VALUE!</v>
      </c>
      <c r="L88" s="28"/>
      <c r="M88" s="28"/>
      <c r="N88" s="21"/>
      <c r="O88" s="21"/>
      <c r="P88" s="21"/>
      <c r="Q88" s="29"/>
      <c r="S88" s="27" t="s">
        <v>124</v>
      </c>
      <c r="T88" s="29" t="e">
        <f>T81-T86</f>
        <v>#VALUE!</v>
      </c>
      <c r="U88" s="28"/>
      <c r="V88" s="28"/>
      <c r="W88" s="21"/>
      <c r="X88" s="21"/>
      <c r="Y88" s="21"/>
      <c r="Z88" s="29"/>
      <c r="AB88" s="27" t="s">
        <v>124</v>
      </c>
      <c r="AC88" s="29" t="e">
        <f>AC81-AC86</f>
        <v>#VALUE!</v>
      </c>
      <c r="AD88" s="28"/>
      <c r="AE88" s="28"/>
      <c r="AF88" s="21"/>
      <c r="AG88" s="21"/>
      <c r="AH88" s="21"/>
      <c r="AI88" s="29"/>
    </row>
    <row r="89" spans="1:35">
      <c r="A89" s="27" t="s">
        <v>125</v>
      </c>
      <c r="B89" s="29">
        <f>(B88/B87)</f>
        <v>794.48642358063898</v>
      </c>
      <c r="C89" s="28"/>
      <c r="D89" s="28"/>
      <c r="E89" s="21"/>
      <c r="F89" s="27" t="s">
        <v>125</v>
      </c>
      <c r="G89" s="29">
        <f>(G88/G87)</f>
        <v>738.5802805280822</v>
      </c>
      <c r="H89" s="29"/>
      <c r="J89" s="27" t="s">
        <v>125</v>
      </c>
      <c r="K89" s="29" t="e">
        <f>(K88/K87)</f>
        <v>#VALUE!</v>
      </c>
      <c r="L89" s="28"/>
      <c r="M89" s="28"/>
      <c r="N89" s="21"/>
      <c r="O89" s="21"/>
      <c r="P89" s="21"/>
      <c r="Q89" s="29"/>
      <c r="S89" s="27" t="s">
        <v>125</v>
      </c>
      <c r="T89" s="29" t="e">
        <f>(T88/T87)</f>
        <v>#VALUE!</v>
      </c>
      <c r="U89" s="28"/>
      <c r="V89" s="28"/>
      <c r="W89" s="21"/>
      <c r="X89" s="21"/>
      <c r="Y89" s="21"/>
      <c r="Z89" s="29"/>
      <c r="AB89" s="27" t="s">
        <v>125</v>
      </c>
      <c r="AC89" s="29" t="e">
        <f>(AC88/AC87)</f>
        <v>#VALUE!</v>
      </c>
      <c r="AD89" s="28"/>
      <c r="AE89" s="28"/>
      <c r="AF89" s="21"/>
      <c r="AG89" s="21"/>
      <c r="AH89" s="21"/>
      <c r="AI89" s="29"/>
    </row>
    <row r="90" spans="1:35">
      <c r="A90" s="27" t="s">
        <v>126</v>
      </c>
      <c r="B90" s="29">
        <f>((B89*(B85))+B77)</f>
        <v>28601.511248903003</v>
      </c>
      <c r="C90" s="28"/>
      <c r="D90" s="28"/>
      <c r="E90" s="21"/>
      <c r="F90" s="27" t="s">
        <v>126</v>
      </c>
      <c r="G90" s="29">
        <f>((G89*(G85))+G77)</f>
        <v>26588.890099010958</v>
      </c>
      <c r="H90" s="29"/>
      <c r="J90" s="27" t="s">
        <v>126</v>
      </c>
      <c r="K90" s="29" t="e">
        <f>((K89*(K85))+K77)</f>
        <v>#VALUE!</v>
      </c>
      <c r="L90" s="28"/>
      <c r="M90" s="28"/>
      <c r="N90" s="21"/>
      <c r="O90" s="21"/>
      <c r="P90" s="21"/>
      <c r="Q90" s="29"/>
      <c r="S90" s="27" t="s">
        <v>126</v>
      </c>
      <c r="T90" s="29" t="e">
        <f>(T89*(T85))+T77</f>
        <v>#VALUE!</v>
      </c>
      <c r="U90" s="28"/>
      <c r="V90" s="28"/>
      <c r="W90" s="21"/>
      <c r="X90" s="21"/>
      <c r="Y90" s="21"/>
      <c r="Z90" s="29"/>
      <c r="AB90" s="27" t="s">
        <v>126</v>
      </c>
      <c r="AC90" s="29" t="e">
        <f>(AC89*(AC59))+AC77</f>
        <v>#VALUE!</v>
      </c>
      <c r="AD90" s="28"/>
      <c r="AE90" s="28"/>
      <c r="AF90" s="21"/>
      <c r="AG90" s="21"/>
      <c r="AH90" s="21"/>
      <c r="AI90" s="29"/>
    </row>
    <row r="91" spans="1:35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  <c r="J91" s="27" t="s">
        <v>127</v>
      </c>
      <c r="K91" s="29" t="e">
        <f>(K90/(1-K71))*K71</f>
        <v>#VALUE!</v>
      </c>
      <c r="L91" s="28"/>
      <c r="M91" s="28"/>
      <c r="N91" s="21"/>
      <c r="O91" s="21"/>
      <c r="P91" s="21"/>
      <c r="Q91" s="29"/>
      <c r="S91" s="27" t="s">
        <v>127</v>
      </c>
      <c r="T91" s="29" t="e">
        <f>(T90/(1-T71))*T71</f>
        <v>#VALUE!</v>
      </c>
      <c r="U91" s="28"/>
      <c r="V91" s="28"/>
      <c r="W91" s="21"/>
      <c r="X91" s="21"/>
      <c r="Y91" s="21"/>
      <c r="Z91" s="29"/>
      <c r="AB91" s="27" t="s">
        <v>127</v>
      </c>
      <c r="AC91" s="29" t="e">
        <f>(AC90/(1-AC71))*AC71</f>
        <v>#VALUE!</v>
      </c>
      <c r="AD91" s="28"/>
      <c r="AE91" s="28"/>
      <c r="AF91" s="21"/>
      <c r="AG91" s="21"/>
      <c r="AH91" s="21"/>
      <c r="AI91" s="29"/>
    </row>
    <row r="92" spans="1:35">
      <c r="A92" s="49" t="s">
        <v>128</v>
      </c>
      <c r="B92" s="57">
        <f>(B90+B91)</f>
        <v>28601.511248903003</v>
      </c>
      <c r="C92" s="28"/>
      <c r="D92" s="28"/>
      <c r="E92" s="21"/>
      <c r="F92" s="49" t="s">
        <v>128</v>
      </c>
      <c r="G92" s="57">
        <f>(G90+G91)</f>
        <v>26588.890099010958</v>
      </c>
      <c r="H92" s="29"/>
      <c r="J92" s="49" t="s">
        <v>128</v>
      </c>
      <c r="K92" s="57" t="e">
        <f>(K90+K91)</f>
        <v>#VALUE!</v>
      </c>
      <c r="L92" s="28"/>
      <c r="M92" s="28"/>
      <c r="N92" s="21"/>
      <c r="O92" s="21"/>
      <c r="P92" s="21"/>
      <c r="Q92" s="29"/>
      <c r="S92" s="49" t="s">
        <v>128</v>
      </c>
      <c r="T92" s="57" t="e">
        <f>(T90+T91)</f>
        <v>#VALUE!</v>
      </c>
      <c r="U92" s="28"/>
      <c r="V92" s="28"/>
      <c r="W92" s="21"/>
      <c r="X92" s="21"/>
      <c r="Y92" s="21"/>
      <c r="Z92" s="29"/>
      <c r="AB92" s="49" t="s">
        <v>128</v>
      </c>
      <c r="AC92" s="57" t="e">
        <f>(AC90+AC91)</f>
        <v>#VALUE!</v>
      </c>
      <c r="AD92" s="28"/>
      <c r="AE92" s="28"/>
      <c r="AF92" s="21"/>
      <c r="AG92" s="21"/>
      <c r="AH92" s="21"/>
      <c r="AI92" s="29"/>
    </row>
    <row r="93" spans="1:35">
      <c r="A93" s="27"/>
      <c r="B93" s="28"/>
      <c r="C93" s="28"/>
      <c r="D93" s="28"/>
      <c r="E93" s="21"/>
      <c r="F93" s="27"/>
      <c r="G93" s="28"/>
      <c r="H93" s="29"/>
      <c r="J93" s="27"/>
      <c r="K93" s="28"/>
      <c r="L93" s="28"/>
      <c r="M93" s="28"/>
      <c r="N93" s="21"/>
      <c r="O93" s="21"/>
      <c r="P93" s="21"/>
      <c r="Q93" s="29"/>
      <c r="S93" s="27"/>
      <c r="T93" s="28"/>
      <c r="U93" s="28"/>
      <c r="V93" s="28"/>
      <c r="W93" s="21"/>
      <c r="X93" s="21"/>
      <c r="Y93" s="21"/>
      <c r="Z93" s="29"/>
      <c r="AB93" s="27"/>
      <c r="AC93" s="28"/>
      <c r="AD93" s="28"/>
      <c r="AE93" s="28"/>
      <c r="AF93" s="21"/>
      <c r="AG93" s="21"/>
      <c r="AH93" s="21"/>
      <c r="AI93" s="29"/>
    </row>
    <row r="94" spans="1:35">
      <c r="A94" s="76" t="s">
        <v>129</v>
      </c>
      <c r="B94" s="80" t="str">
        <f>IF(B26="YES",((E40/B85)*(1+A108)*1.2*(C45/100)),"0")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  <c r="J94" s="76" t="s">
        <v>129</v>
      </c>
      <c r="K94" s="77">
        <f>((E40/K85)*(1+J108))*1.2</f>
        <v>0</v>
      </c>
      <c r="L94" s="28"/>
      <c r="M94" s="28"/>
      <c r="N94" s="21"/>
      <c r="O94" s="21"/>
      <c r="P94" s="21"/>
      <c r="Q94" s="29"/>
      <c r="S94" s="76" t="s">
        <v>129</v>
      </c>
      <c r="T94" s="77">
        <f>((E40/T85)*(1+S108))</f>
        <v>0</v>
      </c>
      <c r="U94" s="28"/>
      <c r="V94" s="28"/>
      <c r="W94" s="21"/>
      <c r="X94" s="21"/>
      <c r="Y94" s="21"/>
      <c r="Z94" s="29"/>
      <c r="AB94" s="76" t="s">
        <v>129</v>
      </c>
      <c r="AC94" s="77">
        <f>((E40/AC85)*(1+AB108))*1.2</f>
        <v>0</v>
      </c>
      <c r="AD94" s="28"/>
      <c r="AE94" s="28"/>
      <c r="AF94" s="21"/>
      <c r="AG94" s="21"/>
      <c r="AH94" s="21"/>
      <c r="AI94" s="29"/>
    </row>
    <row r="95" spans="1:35">
      <c r="A95" s="81" t="s">
        <v>130</v>
      </c>
      <c r="B95" s="82">
        <f>B92/(B85)</f>
        <v>794.48642358063898</v>
      </c>
      <c r="C95" s="28"/>
      <c r="D95" s="28"/>
      <c r="E95" s="21"/>
      <c r="F95" s="81" t="s">
        <v>130</v>
      </c>
      <c r="G95" s="82">
        <f>G92/(G85)</f>
        <v>738.5802805280822</v>
      </c>
      <c r="H95" s="29"/>
      <c r="J95" s="81" t="s">
        <v>130</v>
      </c>
      <c r="K95" s="82" t="e">
        <f>K92/(K85)</f>
        <v>#VALUE!</v>
      </c>
      <c r="L95" s="28"/>
      <c r="M95" s="28"/>
      <c r="N95" s="21"/>
      <c r="O95" s="21"/>
      <c r="P95" s="21"/>
      <c r="Q95" s="29"/>
      <c r="S95" s="81" t="s">
        <v>130</v>
      </c>
      <c r="T95" s="82" t="e">
        <f>T92/(T85)</f>
        <v>#VALUE!</v>
      </c>
      <c r="U95" s="28"/>
      <c r="V95" s="28"/>
      <c r="W95" s="21"/>
      <c r="X95" s="21"/>
      <c r="Y95" s="21"/>
      <c r="Z95" s="29"/>
      <c r="AB95" s="81" t="s">
        <v>130</v>
      </c>
      <c r="AC95" s="82" t="e">
        <f>AC92/(AC59)</f>
        <v>#VALUE!</v>
      </c>
      <c r="AD95" s="28"/>
      <c r="AE95" s="28"/>
      <c r="AF95" s="21"/>
      <c r="AG95" s="21"/>
      <c r="AH95" s="21"/>
      <c r="AI95" s="29"/>
    </row>
    <row r="96" spans="1:35">
      <c r="A96" s="83" t="s">
        <v>131</v>
      </c>
      <c r="B96" s="84">
        <f>B94+B95</f>
        <v>794.48642358063898</v>
      </c>
      <c r="C96" s="28"/>
      <c r="D96" s="28"/>
      <c r="E96" s="21"/>
      <c r="F96" s="83" t="s">
        <v>131</v>
      </c>
      <c r="G96" s="84">
        <f>G94+G95</f>
        <v>738.5802805280822</v>
      </c>
      <c r="H96" s="29"/>
      <c r="J96" s="83" t="s">
        <v>131</v>
      </c>
      <c r="K96" s="84" t="e">
        <f>(K94+K95)</f>
        <v>#VALUE!</v>
      </c>
      <c r="L96" s="28"/>
      <c r="M96" s="28"/>
      <c r="N96" s="21"/>
      <c r="O96" s="21"/>
      <c r="P96" s="21"/>
      <c r="Q96" s="29"/>
      <c r="S96" s="83" t="s">
        <v>131</v>
      </c>
      <c r="T96" s="84" t="e">
        <f>T94+T95</f>
        <v>#VALUE!</v>
      </c>
      <c r="U96" s="28"/>
      <c r="V96" s="28"/>
      <c r="W96" s="21"/>
      <c r="X96" s="21"/>
      <c r="Y96" s="21"/>
      <c r="Z96" s="29"/>
      <c r="AB96" s="83" t="s">
        <v>131</v>
      </c>
      <c r="AC96" s="84" t="e">
        <f>AC94+AC95</f>
        <v>#VALUE!</v>
      </c>
      <c r="AD96" s="28"/>
      <c r="AE96" s="28"/>
      <c r="AF96" s="21"/>
      <c r="AG96" s="21"/>
      <c r="AH96" s="21"/>
      <c r="AI96" s="29"/>
    </row>
    <row r="97" spans="1:42">
      <c r="A97" s="49"/>
      <c r="B97" s="50"/>
      <c r="C97" s="50"/>
      <c r="D97" s="50"/>
      <c r="E97" s="85"/>
      <c r="F97" s="85"/>
      <c r="G97" s="85"/>
      <c r="H97" s="57"/>
      <c r="J97" s="49"/>
      <c r="K97" s="50"/>
      <c r="L97" s="50"/>
      <c r="M97" s="50"/>
      <c r="N97" s="85"/>
      <c r="O97" s="85"/>
      <c r="P97" s="85"/>
      <c r="Q97" s="57"/>
      <c r="S97" s="49"/>
      <c r="T97" s="50"/>
      <c r="U97" s="50"/>
      <c r="V97" s="50"/>
      <c r="W97" s="85"/>
      <c r="X97" s="85"/>
      <c r="Y97" s="85"/>
      <c r="Z97" s="57"/>
      <c r="AB97" s="49"/>
      <c r="AC97" s="50"/>
      <c r="AD97" s="50"/>
      <c r="AE97" s="50"/>
      <c r="AF97" s="85"/>
      <c r="AG97" s="85"/>
      <c r="AH97" s="85"/>
      <c r="AI97" s="57"/>
    </row>
    <row r="98" spans="1:42" ht="14.25">
      <c r="A98" s="21"/>
      <c r="B98" s="21"/>
      <c r="C98" s="21"/>
      <c r="D98" s="21"/>
      <c r="E98" s="21"/>
      <c r="F98" s="21"/>
      <c r="G98" s="21"/>
      <c r="H98" s="21"/>
      <c r="J98" s="21"/>
      <c r="K98" s="21"/>
      <c r="L98" s="21"/>
      <c r="M98" s="21"/>
      <c r="N98" s="21"/>
      <c r="O98" s="21"/>
      <c r="P98" s="21"/>
      <c r="Q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</row>
    <row r="99" spans="1:42" ht="14.25">
      <c r="A99" s="21"/>
      <c r="B99" s="21"/>
      <c r="C99" s="21"/>
      <c r="D99" s="21"/>
      <c r="E99" s="21"/>
      <c r="F99" s="21"/>
      <c r="G99" s="21"/>
      <c r="H99" s="21"/>
      <c r="J99" s="21"/>
      <c r="K99" s="21"/>
      <c r="L99" s="21"/>
      <c r="M99" s="21"/>
      <c r="N99" s="21"/>
      <c r="O99" s="21"/>
      <c r="P99" s="21"/>
      <c r="Q99" s="21"/>
      <c r="S99" s="21"/>
      <c r="T99" s="21"/>
      <c r="U99" s="21"/>
      <c r="V99" s="21"/>
      <c r="W99" s="21"/>
      <c r="X99" s="21"/>
      <c r="Y99" s="21"/>
      <c r="Z99" s="21"/>
      <c r="AB99" s="21"/>
      <c r="AC99" s="21"/>
      <c r="AD99" s="21"/>
      <c r="AE99" s="21"/>
      <c r="AF99" s="21"/>
      <c r="AG99" s="21"/>
      <c r="AH99" s="21"/>
      <c r="AI99" s="21"/>
    </row>
    <row r="100" spans="1:42" ht="47.25" customHeight="1">
      <c r="A100" s="344" t="s">
        <v>132</v>
      </c>
      <c r="B100" s="344"/>
      <c r="C100" s="344"/>
      <c r="D100" s="344"/>
      <c r="E100" s="344"/>
      <c r="F100" s="344"/>
      <c r="G100" s="344"/>
      <c r="H100" s="344"/>
      <c r="J100" s="344" t="s">
        <v>133</v>
      </c>
      <c r="K100" s="344"/>
      <c r="L100" s="344"/>
      <c r="M100" s="344"/>
      <c r="N100" s="344"/>
      <c r="O100" s="344"/>
      <c r="P100" s="344"/>
      <c r="Q100" s="344"/>
      <c r="S100" s="344" t="s">
        <v>134</v>
      </c>
      <c r="T100" s="344"/>
      <c r="U100" s="344"/>
      <c r="V100" s="344"/>
      <c r="W100" s="344"/>
      <c r="X100" s="344"/>
      <c r="Y100" s="344"/>
      <c r="Z100" s="344"/>
      <c r="AB100" s="344" t="s">
        <v>135</v>
      </c>
      <c r="AC100" s="344"/>
      <c r="AD100" s="344"/>
      <c r="AE100" s="344"/>
      <c r="AF100" s="344"/>
      <c r="AG100" s="344"/>
      <c r="AH100" s="344"/>
      <c r="AI100" s="344"/>
    </row>
    <row r="101" spans="1:42">
      <c r="A101" s="22"/>
      <c r="B101" s="23"/>
      <c r="C101" s="23"/>
      <c r="D101" s="23"/>
      <c r="E101" s="63"/>
      <c r="F101" s="63"/>
      <c r="G101" s="63"/>
      <c r="H101" s="87"/>
      <c r="J101" s="22"/>
      <c r="K101" s="23"/>
      <c r="L101" s="23"/>
      <c r="M101" s="23"/>
      <c r="N101" s="63"/>
      <c r="O101" s="63"/>
      <c r="P101" s="63"/>
      <c r="Q101" s="87"/>
      <c r="S101" s="22"/>
      <c r="T101" s="23"/>
      <c r="U101" s="23"/>
      <c r="V101" s="23"/>
      <c r="W101" s="63"/>
      <c r="X101" s="63"/>
      <c r="Y101" s="63"/>
      <c r="Z101" s="87"/>
      <c r="AB101" s="22"/>
      <c r="AC101" s="23"/>
      <c r="AD101" s="23"/>
      <c r="AE101" s="23"/>
      <c r="AF101" s="63"/>
      <c r="AG101" s="63"/>
      <c r="AH101" s="63"/>
      <c r="AI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35" t="s">
        <v>136</v>
      </c>
      <c r="K102" s="335"/>
      <c r="L102" s="335"/>
      <c r="M102" s="335"/>
      <c r="N102" s="335"/>
      <c r="O102" s="335"/>
      <c r="P102" s="335"/>
      <c r="Q102" s="335"/>
      <c r="S102" s="335" t="s">
        <v>136</v>
      </c>
      <c r="T102" s="335"/>
      <c r="U102" s="335"/>
      <c r="V102" s="335"/>
      <c r="W102" s="335"/>
      <c r="X102" s="335"/>
      <c r="Y102" s="335"/>
      <c r="Z102" s="335"/>
      <c r="AB102" s="335" t="s">
        <v>136</v>
      </c>
      <c r="AC102" s="335"/>
      <c r="AD102" s="335"/>
      <c r="AE102" s="335"/>
      <c r="AF102" s="335"/>
      <c r="AG102" s="335"/>
      <c r="AH102" s="335"/>
      <c r="AI102" s="335"/>
    </row>
    <row r="103" spans="1:42">
      <c r="A103" s="27"/>
      <c r="B103" s="28"/>
      <c r="C103" s="28"/>
      <c r="D103" s="28"/>
      <c r="E103" s="21"/>
      <c r="F103" s="21"/>
      <c r="G103" s="21"/>
      <c r="H103" s="88"/>
      <c r="J103" s="27"/>
      <c r="K103" s="28"/>
      <c r="L103" s="28"/>
      <c r="M103" s="28"/>
      <c r="N103" s="21"/>
      <c r="O103" s="21"/>
      <c r="P103" s="21"/>
      <c r="Q103" s="88"/>
      <c r="S103" s="27"/>
      <c r="T103" s="28"/>
      <c r="U103" s="28"/>
      <c r="V103" s="28"/>
      <c r="W103" s="21"/>
      <c r="X103" s="21"/>
      <c r="Y103" s="21"/>
      <c r="Z103" s="88"/>
      <c r="AB103" s="27"/>
      <c r="AC103" s="28"/>
      <c r="AD103" s="28"/>
      <c r="AE103" s="28"/>
      <c r="AF103" s="21"/>
      <c r="AG103" s="21"/>
      <c r="AH103" s="21"/>
      <c r="AI103" s="88"/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J104" s="27" t="s">
        <v>137</v>
      </c>
      <c r="K104" s="28" t="s">
        <v>36</v>
      </c>
      <c r="L104" s="28"/>
      <c r="M104" s="28"/>
      <c r="N104" s="28" t="s">
        <v>138</v>
      </c>
      <c r="O104" s="28"/>
      <c r="P104" s="28"/>
      <c r="Q104" s="29"/>
      <c r="S104" s="27" t="s">
        <v>137</v>
      </c>
      <c r="T104" s="28" t="s">
        <v>36</v>
      </c>
      <c r="U104" s="28"/>
      <c r="V104" s="28"/>
      <c r="W104" s="28" t="s">
        <v>138</v>
      </c>
      <c r="X104" s="28"/>
      <c r="Y104" s="28"/>
      <c r="Z104" s="29"/>
      <c r="AB104" s="27" t="s">
        <v>137</v>
      </c>
      <c r="AC104" s="28" t="s">
        <v>36</v>
      </c>
      <c r="AD104" s="28"/>
      <c r="AE104" s="28"/>
      <c r="AF104" s="28" t="s">
        <v>138</v>
      </c>
      <c r="AG104" s="28"/>
      <c r="AH104" s="28"/>
      <c r="AI104" s="29"/>
    </row>
    <row r="105" spans="1:42">
      <c r="A105" s="32" t="s">
        <v>139</v>
      </c>
      <c r="B105" s="345" t="s">
        <v>140</v>
      </c>
      <c r="C105" s="345"/>
      <c r="D105" s="345"/>
      <c r="E105" s="403" t="s">
        <v>386</v>
      </c>
      <c r="F105" s="403"/>
      <c r="G105" s="403"/>
      <c r="H105" s="88"/>
      <c r="J105" s="32" t="s">
        <v>139</v>
      </c>
      <c r="K105" s="345" t="s">
        <v>140</v>
      </c>
      <c r="L105" s="345"/>
      <c r="M105" s="345"/>
      <c r="N105" s="346" t="s">
        <v>31</v>
      </c>
      <c r="O105" s="346"/>
      <c r="P105" s="346"/>
      <c r="Q105" s="88"/>
      <c r="S105" s="32" t="s">
        <v>139</v>
      </c>
      <c r="T105" s="345" t="s">
        <v>140</v>
      </c>
      <c r="U105" s="345"/>
      <c r="V105" s="345"/>
      <c r="W105" s="346" t="s">
        <v>31</v>
      </c>
      <c r="X105" s="346"/>
      <c r="Y105" s="346"/>
      <c r="Z105" s="88"/>
      <c r="AB105" s="32" t="s">
        <v>139</v>
      </c>
      <c r="AC105" s="345" t="s">
        <v>140</v>
      </c>
      <c r="AD105" s="345"/>
      <c r="AE105" s="345"/>
      <c r="AF105" s="346" t="s">
        <v>31</v>
      </c>
      <c r="AG105" s="346"/>
      <c r="AH105" s="346"/>
      <c r="AI105" s="88"/>
    </row>
    <row r="106" spans="1:42">
      <c r="A106" s="27"/>
      <c r="B106" s="28"/>
      <c r="C106" s="28"/>
      <c r="D106" s="21"/>
      <c r="E106" s="28"/>
      <c r="F106" s="28"/>
      <c r="G106" s="21"/>
      <c r="H106" s="29"/>
      <c r="J106" s="27"/>
      <c r="K106" s="28"/>
      <c r="L106" s="28"/>
      <c r="M106" s="21"/>
      <c r="N106" s="28"/>
      <c r="O106" s="28"/>
      <c r="P106" s="21"/>
      <c r="Q106" s="29"/>
      <c r="S106" s="27"/>
      <c r="T106" s="28"/>
      <c r="U106" s="28"/>
      <c r="V106" s="21"/>
      <c r="W106" s="28"/>
      <c r="X106" s="28"/>
      <c r="Y106" s="21"/>
      <c r="Z106" s="29"/>
      <c r="AB106" s="27"/>
      <c r="AC106" s="28"/>
      <c r="AD106" s="28"/>
      <c r="AE106" s="21"/>
      <c r="AF106" s="28"/>
      <c r="AG106" s="28"/>
      <c r="AH106" s="21"/>
      <c r="AI106" s="29"/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J107" s="27" t="s">
        <v>141</v>
      </c>
      <c r="K107" s="28" t="s">
        <v>142</v>
      </c>
      <c r="L107" s="28"/>
      <c r="M107" s="21"/>
      <c r="N107" s="28" t="s">
        <v>143</v>
      </c>
      <c r="O107" s="28"/>
      <c r="P107" s="21"/>
      <c r="Q107" s="88"/>
      <c r="S107" s="27" t="s">
        <v>141</v>
      </c>
      <c r="T107" s="28" t="s">
        <v>142</v>
      </c>
      <c r="U107" s="28"/>
      <c r="V107" s="21"/>
      <c r="W107" s="28" t="s">
        <v>143</v>
      </c>
      <c r="X107" s="28"/>
      <c r="Y107" s="21"/>
      <c r="Z107" s="88"/>
      <c r="AB107" s="27" t="s">
        <v>141</v>
      </c>
      <c r="AC107" s="28" t="s">
        <v>142</v>
      </c>
      <c r="AD107" s="28"/>
      <c r="AE107" s="21"/>
      <c r="AF107" s="28" t="s">
        <v>143</v>
      </c>
      <c r="AG107" s="28"/>
      <c r="AH107" s="21"/>
      <c r="AI107" s="88"/>
    </row>
    <row r="108" spans="1:42">
      <c r="A108" s="91">
        <v>0.2</v>
      </c>
      <c r="B108" s="348">
        <v>0</v>
      </c>
      <c r="C108" s="348"/>
      <c r="D108" s="348">
        <v>0</v>
      </c>
      <c r="E108" s="349">
        <f>B83</f>
        <v>0.12000000000000001</v>
      </c>
      <c r="F108" s="349"/>
      <c r="G108" s="349"/>
      <c r="H108" s="42"/>
      <c r="J108" s="91">
        <v>0.3</v>
      </c>
      <c r="K108" s="348" t="s">
        <v>144</v>
      </c>
      <c r="L108" s="348"/>
      <c r="M108" s="348"/>
      <c r="N108" s="349">
        <f>K83</f>
        <v>0.24000000000000002</v>
      </c>
      <c r="O108" s="349"/>
      <c r="P108" s="349"/>
      <c r="Q108" s="42"/>
      <c r="S108" s="91">
        <v>0.2</v>
      </c>
      <c r="T108" s="348" t="s">
        <v>145</v>
      </c>
      <c r="U108" s="348"/>
      <c r="V108" s="348"/>
      <c r="W108" s="349">
        <f>T83</f>
        <v>0.13100000000000001</v>
      </c>
      <c r="X108" s="349"/>
      <c r="Y108" s="349"/>
      <c r="Z108" s="42"/>
      <c r="AB108" s="91">
        <v>0.2</v>
      </c>
      <c r="AC108" s="348" t="s">
        <v>145</v>
      </c>
      <c r="AD108" s="348"/>
      <c r="AE108" s="348"/>
      <c r="AF108" s="350">
        <f>AC83</f>
        <v>0.13100000000000001</v>
      </c>
      <c r="AG108" s="350"/>
      <c r="AH108" s="350"/>
      <c r="AI108" s="42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J109" s="27"/>
      <c r="K109" s="28"/>
      <c r="L109" s="28"/>
      <c r="M109" s="28"/>
      <c r="N109" s="28"/>
      <c r="O109" s="28"/>
      <c r="P109" s="28"/>
      <c r="Q109" s="29"/>
      <c r="S109" s="27"/>
      <c r="T109" s="28"/>
      <c r="U109" s="28"/>
      <c r="V109" s="28"/>
      <c r="W109" s="28"/>
      <c r="X109" s="28"/>
      <c r="Y109" s="28"/>
      <c r="Z109" s="29"/>
      <c r="AB109" s="27"/>
      <c r="AC109" s="28"/>
      <c r="AD109" s="28"/>
      <c r="AE109" s="28"/>
      <c r="AF109" s="28"/>
      <c r="AG109" s="28"/>
      <c r="AH109" s="28"/>
      <c r="AI109" s="29"/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J110" s="27" t="s">
        <v>147</v>
      </c>
      <c r="K110" s="28" t="s">
        <v>148</v>
      </c>
      <c r="L110" s="28"/>
      <c r="M110" s="28"/>
      <c r="N110" s="28" t="s">
        <v>149</v>
      </c>
      <c r="O110" s="28"/>
      <c r="P110" s="28"/>
      <c r="Q110" s="29"/>
      <c r="S110" s="27" t="s">
        <v>147</v>
      </c>
      <c r="T110" s="28" t="s">
        <v>148</v>
      </c>
      <c r="U110" s="28"/>
      <c r="V110" s="28"/>
      <c r="W110" s="28" t="s">
        <v>149</v>
      </c>
      <c r="X110" s="28"/>
      <c r="Y110" s="28"/>
      <c r="Z110" s="29"/>
      <c r="AB110" s="27" t="s">
        <v>147</v>
      </c>
      <c r="AC110" s="28" t="s">
        <v>148</v>
      </c>
      <c r="AD110" s="28"/>
      <c r="AE110" s="28"/>
      <c r="AF110" s="28" t="s">
        <v>149</v>
      </c>
      <c r="AG110" s="28"/>
      <c r="AH110" s="28"/>
      <c r="AI110" s="29"/>
    </row>
    <row r="111" spans="1:42">
      <c r="A111" s="36" t="s">
        <v>385</v>
      </c>
      <c r="B111" s="348">
        <v>1000</v>
      </c>
      <c r="C111" s="348"/>
      <c r="D111" s="348"/>
      <c r="E111" s="348">
        <v>1000</v>
      </c>
      <c r="F111" s="348"/>
      <c r="G111" s="348"/>
      <c r="H111" s="88"/>
      <c r="J111" s="36" t="s">
        <v>32</v>
      </c>
      <c r="K111" s="348">
        <v>1000</v>
      </c>
      <c r="L111" s="348"/>
      <c r="M111" s="348"/>
      <c r="N111" s="348">
        <v>0</v>
      </c>
      <c r="O111" s="348"/>
      <c r="P111" s="348"/>
      <c r="Q111" s="88"/>
      <c r="S111" s="36" t="s">
        <v>31</v>
      </c>
      <c r="T111" s="348">
        <v>1000</v>
      </c>
      <c r="U111" s="348"/>
      <c r="V111" s="348"/>
      <c r="W111" s="348">
        <v>0</v>
      </c>
      <c r="X111" s="348"/>
      <c r="Y111" s="348"/>
      <c r="Z111" s="88"/>
      <c r="AB111" s="36" t="s">
        <v>31</v>
      </c>
      <c r="AC111" s="348">
        <v>1000</v>
      </c>
      <c r="AD111" s="348"/>
      <c r="AE111" s="348"/>
      <c r="AF111" s="348">
        <v>0</v>
      </c>
      <c r="AG111" s="348"/>
      <c r="AH111" s="348"/>
      <c r="AI111" s="88"/>
    </row>
    <row r="112" spans="1:42">
      <c r="A112" s="27"/>
      <c r="B112" s="28"/>
      <c r="C112" s="28"/>
      <c r="D112" s="28"/>
      <c r="E112" s="28"/>
      <c r="F112" s="28"/>
      <c r="G112" s="21"/>
      <c r="H112" s="88"/>
      <c r="J112" s="27"/>
      <c r="K112" s="28"/>
      <c r="L112" s="28"/>
      <c r="M112" s="28"/>
      <c r="N112" s="28"/>
      <c r="O112" s="28"/>
      <c r="P112" s="21"/>
      <c r="Q112" s="88"/>
      <c r="S112" s="27"/>
      <c r="T112" s="28"/>
      <c r="U112" s="28"/>
      <c r="V112" s="28"/>
      <c r="W112" s="28"/>
      <c r="X112" s="28"/>
      <c r="Y112" s="21"/>
      <c r="Z112" s="88"/>
      <c r="AB112" s="27"/>
      <c r="AC112" s="28"/>
      <c r="AD112" s="28"/>
      <c r="AE112" s="28"/>
      <c r="AF112" s="28"/>
      <c r="AG112" s="28"/>
      <c r="AH112" s="21"/>
      <c r="AI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  <c r="J113" s="93" t="s">
        <v>150</v>
      </c>
      <c r="K113" s="28" t="s">
        <v>151</v>
      </c>
      <c r="L113" s="28"/>
      <c r="M113" s="28"/>
      <c r="N113" s="28" t="s">
        <v>152</v>
      </c>
      <c r="O113" s="28"/>
      <c r="P113" s="21"/>
      <c r="Q113" s="88"/>
      <c r="S113" s="93" t="s">
        <v>150</v>
      </c>
      <c r="T113" s="28" t="s">
        <v>151</v>
      </c>
      <c r="U113" s="28"/>
      <c r="V113" s="28"/>
      <c r="W113" s="28" t="s">
        <v>152</v>
      </c>
      <c r="X113" s="28"/>
      <c r="Y113" s="21"/>
      <c r="Z113" s="88"/>
      <c r="AB113" s="93" t="s">
        <v>150</v>
      </c>
      <c r="AC113" s="28" t="s">
        <v>151</v>
      </c>
      <c r="AD113" s="28"/>
      <c r="AE113" s="28"/>
      <c r="AF113" s="28" t="s">
        <v>152</v>
      </c>
      <c r="AG113" s="28"/>
      <c r="AH113" s="21"/>
      <c r="AI113" s="88"/>
    </row>
    <row r="114" spans="1:35">
      <c r="A114" s="94">
        <f>B111+E111</f>
        <v>2000</v>
      </c>
      <c r="B114" s="348">
        <v>1000</v>
      </c>
      <c r="C114" s="348"/>
      <c r="D114" s="348"/>
      <c r="E114" s="348">
        <v>0</v>
      </c>
      <c r="F114" s="348"/>
      <c r="G114" s="348"/>
      <c r="H114" s="88"/>
      <c r="J114" s="94">
        <f>K111+N111</f>
        <v>1000</v>
      </c>
      <c r="K114" s="348">
        <v>239.99</v>
      </c>
      <c r="L114" s="348"/>
      <c r="M114" s="348"/>
      <c r="N114" s="348">
        <v>0</v>
      </c>
      <c r="O114" s="348"/>
      <c r="P114" s="348"/>
      <c r="Q114" s="88"/>
      <c r="S114" s="94">
        <f>T111+W111</f>
        <v>1000</v>
      </c>
      <c r="T114" s="348">
        <v>199.99</v>
      </c>
      <c r="U114" s="348"/>
      <c r="V114" s="348"/>
      <c r="W114" s="348">
        <v>0</v>
      </c>
      <c r="X114" s="348"/>
      <c r="Y114" s="348"/>
      <c r="Z114" s="88"/>
      <c r="AB114" s="94">
        <f>AC111+AF111</f>
        <v>1000</v>
      </c>
      <c r="AC114" s="348">
        <v>239.99</v>
      </c>
      <c r="AD114" s="348"/>
      <c r="AE114" s="348"/>
      <c r="AF114" s="348">
        <v>0</v>
      </c>
      <c r="AG114" s="348"/>
      <c r="AH114" s="348"/>
      <c r="AI114" s="88"/>
    </row>
    <row r="115" spans="1:35" ht="14.25">
      <c r="A115" s="95"/>
      <c r="B115" s="21"/>
      <c r="C115" s="21"/>
      <c r="D115" s="21"/>
      <c r="E115" s="21"/>
      <c r="F115" s="21"/>
      <c r="G115" s="21"/>
      <c r="H115" s="88"/>
      <c r="J115" s="95"/>
      <c r="K115" s="21"/>
      <c r="L115" s="21"/>
      <c r="M115" s="21"/>
      <c r="N115" s="21"/>
      <c r="O115" s="21"/>
      <c r="P115" s="21"/>
      <c r="Q115" s="88"/>
      <c r="S115" s="95"/>
      <c r="T115" s="21"/>
      <c r="U115" s="21"/>
      <c r="V115" s="21"/>
      <c r="W115" s="21"/>
      <c r="X115" s="21"/>
      <c r="Y115" s="21"/>
      <c r="Z115" s="88"/>
      <c r="AB115" s="95"/>
      <c r="AC115" s="21"/>
      <c r="AD115" s="21"/>
      <c r="AE115" s="21"/>
      <c r="AF115" s="21"/>
      <c r="AG115" s="21"/>
      <c r="AH115" s="21"/>
      <c r="AI115" s="88"/>
    </row>
    <row r="116" spans="1:35" ht="14.25">
      <c r="A116" s="95"/>
      <c r="B116" s="21"/>
      <c r="C116" s="21"/>
      <c r="D116" s="21"/>
      <c r="E116" s="21"/>
      <c r="F116" s="21"/>
      <c r="G116" s="21"/>
      <c r="H116" s="88"/>
      <c r="J116" s="95"/>
      <c r="K116" s="21"/>
      <c r="L116" s="21"/>
      <c r="M116" s="21"/>
      <c r="N116" s="21"/>
      <c r="O116" s="21"/>
      <c r="P116" s="21"/>
      <c r="Q116" s="88"/>
      <c r="S116" s="95"/>
      <c r="T116" s="21"/>
      <c r="U116" s="21"/>
      <c r="V116" s="21"/>
      <c r="W116" s="21"/>
      <c r="X116" s="21"/>
      <c r="Y116" s="21"/>
      <c r="Z116" s="88"/>
      <c r="AB116" s="95"/>
      <c r="AC116" s="21"/>
      <c r="AD116" s="21"/>
      <c r="AE116" s="21"/>
      <c r="AF116" s="21"/>
      <c r="AG116" s="21"/>
      <c r="AH116" s="21"/>
      <c r="AI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35" t="s">
        <v>153</v>
      </c>
      <c r="K117" s="335"/>
      <c r="L117" s="335"/>
      <c r="M117" s="335"/>
      <c r="N117" s="335"/>
      <c r="O117" s="335"/>
      <c r="P117" s="335"/>
      <c r="Q117" s="335"/>
      <c r="S117" s="335" t="s">
        <v>153</v>
      </c>
      <c r="T117" s="335"/>
      <c r="U117" s="335"/>
      <c r="V117" s="335"/>
      <c r="W117" s="335"/>
      <c r="X117" s="335"/>
      <c r="Y117" s="335"/>
      <c r="Z117" s="335"/>
      <c r="AB117" s="335" t="s">
        <v>153</v>
      </c>
      <c r="AC117" s="335"/>
      <c r="AD117" s="335"/>
      <c r="AE117" s="335"/>
      <c r="AF117" s="335"/>
      <c r="AG117" s="335"/>
      <c r="AH117" s="335"/>
      <c r="AI117" s="335"/>
    </row>
    <row r="118" spans="1:35" ht="14.25">
      <c r="A118" s="95"/>
      <c r="B118" s="21"/>
      <c r="C118" s="21"/>
      <c r="D118" s="21"/>
      <c r="E118" s="21"/>
      <c r="F118" s="21"/>
      <c r="G118" s="21"/>
      <c r="H118" s="88"/>
      <c r="J118" s="95"/>
      <c r="K118" s="21"/>
      <c r="L118" s="21"/>
      <c r="M118" s="21"/>
      <c r="N118" s="21"/>
      <c r="O118" s="21"/>
      <c r="P118" s="21"/>
      <c r="Q118" s="88"/>
      <c r="S118" s="95"/>
      <c r="T118" s="21"/>
      <c r="U118" s="21"/>
      <c r="V118" s="21"/>
      <c r="W118" s="21"/>
      <c r="X118" s="21"/>
      <c r="Y118" s="21"/>
      <c r="Z118" s="88"/>
      <c r="AB118" s="95"/>
      <c r="AC118" s="21"/>
      <c r="AD118" s="21"/>
      <c r="AE118" s="21"/>
      <c r="AF118" s="21"/>
      <c r="AG118" s="21"/>
      <c r="AH118" s="21"/>
      <c r="AI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J119" s="66"/>
      <c r="K119" s="351" t="s">
        <v>154</v>
      </c>
      <c r="L119" s="351"/>
      <c r="M119" s="351" t="s">
        <v>155</v>
      </c>
      <c r="N119" s="351"/>
      <c r="O119" s="351" t="s">
        <v>156</v>
      </c>
      <c r="P119" s="351"/>
      <c r="Q119" s="96" t="s">
        <v>157</v>
      </c>
      <c r="S119" s="66"/>
      <c r="T119" s="351" t="s">
        <v>154</v>
      </c>
      <c r="U119" s="351"/>
      <c r="V119" s="351" t="s">
        <v>155</v>
      </c>
      <c r="W119" s="351"/>
      <c r="X119" s="351" t="s">
        <v>156</v>
      </c>
      <c r="Y119" s="351"/>
      <c r="Z119" s="96" t="s">
        <v>157</v>
      </c>
      <c r="AB119" s="66"/>
      <c r="AC119" s="351" t="s">
        <v>154</v>
      </c>
      <c r="AD119" s="351"/>
      <c r="AE119" s="351" t="s">
        <v>155</v>
      </c>
      <c r="AF119" s="351"/>
      <c r="AG119" s="351" t="s">
        <v>156</v>
      </c>
      <c r="AH119" s="351"/>
      <c r="AI119" s="96" t="s">
        <v>157</v>
      </c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  <c r="J120" s="68"/>
      <c r="K120" s="97" t="s">
        <v>158</v>
      </c>
      <c r="L120" s="98" t="s">
        <v>159</v>
      </c>
      <c r="M120" s="97" t="s">
        <v>158</v>
      </c>
      <c r="N120" s="99" t="s">
        <v>159</v>
      </c>
      <c r="O120" s="97" t="s">
        <v>158</v>
      </c>
      <c r="P120" s="99" t="s">
        <v>159</v>
      </c>
      <c r="Q120" s="100"/>
      <c r="S120" s="68"/>
      <c r="T120" s="97" t="s">
        <v>158</v>
      </c>
      <c r="U120" s="98" t="s">
        <v>159</v>
      </c>
      <c r="V120" s="97" t="s">
        <v>158</v>
      </c>
      <c r="W120" s="99" t="s">
        <v>159</v>
      </c>
      <c r="X120" s="97" t="s">
        <v>158</v>
      </c>
      <c r="Y120" s="99" t="s">
        <v>159</v>
      </c>
      <c r="Z120" s="100"/>
      <c r="AB120" s="68"/>
      <c r="AC120" s="97" t="s">
        <v>158</v>
      </c>
      <c r="AD120" s="98" t="s">
        <v>159</v>
      </c>
      <c r="AE120" s="97" t="s">
        <v>158</v>
      </c>
      <c r="AF120" s="99" t="s">
        <v>159</v>
      </c>
      <c r="AG120" s="97" t="s">
        <v>158</v>
      </c>
      <c r="AH120" s="99" t="s">
        <v>159</v>
      </c>
      <c r="AI120" s="100"/>
    </row>
    <row r="121" spans="1:35">
      <c r="A121" s="22" t="s">
        <v>160</v>
      </c>
      <c r="B121" s="22">
        <f>B9</f>
        <v>18500</v>
      </c>
      <c r="C121" s="36">
        <v>20416.669999999998</v>
      </c>
      <c r="D121" s="22">
        <f>D3</f>
        <v>0</v>
      </c>
      <c r="E121" s="36">
        <f>D121</f>
        <v>0</v>
      </c>
      <c r="F121" s="22">
        <f>B11</f>
        <v>0</v>
      </c>
      <c r="G121" s="36">
        <f>F121</f>
        <v>0</v>
      </c>
      <c r="H121" s="101">
        <f>H3</f>
        <v>0</v>
      </c>
      <c r="J121" s="22" t="s">
        <v>160</v>
      </c>
      <c r="K121" s="22">
        <f>B3</f>
        <v>0</v>
      </c>
      <c r="L121" s="36">
        <v>28629.17</v>
      </c>
      <c r="M121" s="22">
        <f>D3</f>
        <v>0</v>
      </c>
      <c r="N121" s="36">
        <f>M121</f>
        <v>0</v>
      </c>
      <c r="O121" s="22" t="str">
        <f>F3</f>
        <v xml:space="preserve"> </v>
      </c>
      <c r="P121" s="36" t="str">
        <f>O121</f>
        <v xml:space="preserve"> </v>
      </c>
      <c r="Q121" s="101">
        <f>H3</f>
        <v>0</v>
      </c>
      <c r="S121" s="22" t="s">
        <v>160</v>
      </c>
      <c r="T121" s="22">
        <f>B3</f>
        <v>0</v>
      </c>
      <c r="U121" s="36">
        <f>T121</f>
        <v>0</v>
      </c>
      <c r="V121" s="22">
        <f>D3</f>
        <v>0</v>
      </c>
      <c r="W121" s="36">
        <f>V121</f>
        <v>0</v>
      </c>
      <c r="X121" s="22" t="str">
        <f>F3</f>
        <v xml:space="preserve"> </v>
      </c>
      <c r="Y121" s="36" t="str">
        <f>X121</f>
        <v xml:space="preserve"> </v>
      </c>
      <c r="Z121" s="101">
        <f>H3</f>
        <v>0</v>
      </c>
      <c r="AB121" s="22" t="s">
        <v>160</v>
      </c>
      <c r="AC121" s="22">
        <f>B3</f>
        <v>0</v>
      </c>
      <c r="AD121" s="36">
        <f>AC121</f>
        <v>0</v>
      </c>
      <c r="AE121" s="22">
        <f>D3</f>
        <v>0</v>
      </c>
      <c r="AF121" s="36">
        <f>AE121</f>
        <v>0</v>
      </c>
      <c r="AG121" s="22" t="str">
        <f>F3</f>
        <v xml:space="preserve"> </v>
      </c>
      <c r="AH121" s="36" t="str">
        <f>AG121</f>
        <v xml:space="preserve"> </v>
      </c>
      <c r="AI121" s="101">
        <f>H3</f>
        <v>0</v>
      </c>
    </row>
    <row r="122" spans="1:35">
      <c r="A122" s="27" t="s">
        <v>161</v>
      </c>
      <c r="B122" s="102">
        <v>0</v>
      </c>
      <c r="C122" s="103">
        <v>0</v>
      </c>
      <c r="D122" s="102">
        <v>0</v>
      </c>
      <c r="E122" s="103">
        <v>0</v>
      </c>
      <c r="F122" s="102">
        <v>0</v>
      </c>
      <c r="G122" s="296">
        <v>0</v>
      </c>
      <c r="H122" s="105"/>
      <c r="J122" s="27" t="s">
        <v>161</v>
      </c>
      <c r="K122" s="102">
        <f>B4</f>
        <v>22200</v>
      </c>
      <c r="L122" s="103">
        <v>0</v>
      </c>
      <c r="M122" s="102">
        <f>D4</f>
        <v>0</v>
      </c>
      <c r="N122" s="103">
        <f>M122</f>
        <v>0</v>
      </c>
      <c r="O122" s="102" t="str">
        <f>F4</f>
        <v xml:space="preserve"> </v>
      </c>
      <c r="P122" s="296" t="str">
        <f>O122</f>
        <v xml:space="preserve"> </v>
      </c>
      <c r="Q122" s="105"/>
      <c r="S122" s="27" t="s">
        <v>161</v>
      </c>
      <c r="T122" s="102">
        <f>B4</f>
        <v>22200</v>
      </c>
      <c r="U122" s="103">
        <v>0.25</v>
      </c>
      <c r="V122" s="102">
        <f>D4</f>
        <v>0</v>
      </c>
      <c r="W122" s="103">
        <f>V122</f>
        <v>0</v>
      </c>
      <c r="X122" s="102" t="str">
        <f>F4</f>
        <v xml:space="preserve"> </v>
      </c>
      <c r="Y122" s="296" t="str">
        <f>X122</f>
        <v xml:space="preserve"> </v>
      </c>
      <c r="Z122" s="105"/>
      <c r="AB122" s="27" t="s">
        <v>161</v>
      </c>
      <c r="AC122" s="102">
        <f>B4</f>
        <v>22200</v>
      </c>
      <c r="AD122" s="103">
        <v>0.25</v>
      </c>
      <c r="AE122" s="102">
        <f>D4</f>
        <v>0</v>
      </c>
      <c r="AF122" s="103">
        <f>AE122</f>
        <v>0</v>
      </c>
      <c r="AG122" s="102" t="str">
        <f>F4</f>
        <v xml:space="preserve"> </v>
      </c>
      <c r="AH122" s="296" t="str">
        <f>AG122</f>
        <v xml:space="preserve"> </v>
      </c>
      <c r="AI122" s="105"/>
    </row>
    <row r="123" spans="1:35">
      <c r="A123" s="27" t="s">
        <v>162</v>
      </c>
      <c r="B123" s="27">
        <v>0</v>
      </c>
      <c r="C123" s="36">
        <v>0</v>
      </c>
      <c r="D123" s="27">
        <v>0</v>
      </c>
      <c r="E123" s="36">
        <v>0</v>
      </c>
      <c r="F123" s="27">
        <v>0</v>
      </c>
      <c r="G123" s="36">
        <v>0</v>
      </c>
      <c r="H123" s="29"/>
      <c r="J123" s="27" t="s">
        <v>162</v>
      </c>
      <c r="K123" s="27">
        <f>B5</f>
        <v>0</v>
      </c>
      <c r="L123" s="36">
        <v>0</v>
      </c>
      <c r="M123" s="27">
        <f>D5</f>
        <v>0</v>
      </c>
      <c r="N123" s="36">
        <f>M123</f>
        <v>0</v>
      </c>
      <c r="O123" s="27" t="str">
        <f>F5</f>
        <v xml:space="preserve"> </v>
      </c>
      <c r="P123" s="36" t="str">
        <f>O123</f>
        <v xml:space="preserve"> </v>
      </c>
      <c r="Q123" s="29"/>
      <c r="S123" s="27" t="s">
        <v>162</v>
      </c>
      <c r="T123" s="27">
        <f>B5</f>
        <v>0</v>
      </c>
      <c r="U123" s="36">
        <v>0</v>
      </c>
      <c r="V123" s="27">
        <f>D5</f>
        <v>0</v>
      </c>
      <c r="W123" s="36">
        <f>V123</f>
        <v>0</v>
      </c>
      <c r="X123" s="27" t="str">
        <f>F5</f>
        <v xml:space="preserve"> </v>
      </c>
      <c r="Y123" s="36" t="str">
        <f>X123</f>
        <v xml:space="preserve"> </v>
      </c>
      <c r="Z123" s="29"/>
      <c r="AB123" s="27" t="s">
        <v>162</v>
      </c>
      <c r="AC123" s="27">
        <f>B5</f>
        <v>0</v>
      </c>
      <c r="AD123" s="36">
        <v>0</v>
      </c>
      <c r="AE123" s="27">
        <f>D5</f>
        <v>0</v>
      </c>
      <c r="AF123" s="36">
        <f>AE123</f>
        <v>0</v>
      </c>
      <c r="AG123" s="27" t="str">
        <f>F5</f>
        <v xml:space="preserve"> </v>
      </c>
      <c r="AH123" s="36" t="str">
        <f>AG123</f>
        <v xml:space="preserve"> </v>
      </c>
      <c r="AI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  <c r="J124" s="27" t="s">
        <v>163</v>
      </c>
      <c r="K124" s="27">
        <f t="shared" ref="K124:P124" si="0">(K121*K122)+K123</f>
        <v>0</v>
      </c>
      <c r="L124" s="24">
        <f t="shared" si="0"/>
        <v>0</v>
      </c>
      <c r="M124" s="27">
        <f t="shared" si="0"/>
        <v>0</v>
      </c>
      <c r="N124" s="24">
        <f t="shared" si="0"/>
        <v>0</v>
      </c>
      <c r="O124" s="27" t="e">
        <f t="shared" si="0"/>
        <v>#VALUE!</v>
      </c>
      <c r="P124" s="24" t="e">
        <f t="shared" si="0"/>
        <v>#VALUE!</v>
      </c>
      <c r="Q124" s="29"/>
      <c r="S124" s="27" t="s">
        <v>163</v>
      </c>
      <c r="T124" s="27">
        <f t="shared" ref="T124:Y124" si="1">(T121*T122)+T123</f>
        <v>0</v>
      </c>
      <c r="U124" s="24">
        <f t="shared" si="1"/>
        <v>0</v>
      </c>
      <c r="V124" s="27">
        <f t="shared" si="1"/>
        <v>0</v>
      </c>
      <c r="W124" s="24">
        <f t="shared" si="1"/>
        <v>0</v>
      </c>
      <c r="X124" s="27" t="e">
        <f t="shared" si="1"/>
        <v>#VALUE!</v>
      </c>
      <c r="Y124" s="24" t="e">
        <f t="shared" si="1"/>
        <v>#VALUE!</v>
      </c>
      <c r="Z124" s="29"/>
      <c r="AB124" s="27" t="s">
        <v>163</v>
      </c>
      <c r="AC124" s="27">
        <f t="shared" ref="AC124:AH124" si="2">(AC121*AC122)+AC123</f>
        <v>0</v>
      </c>
      <c r="AD124" s="24">
        <f t="shared" si="2"/>
        <v>0</v>
      </c>
      <c r="AE124" s="27">
        <f t="shared" si="2"/>
        <v>0</v>
      </c>
      <c r="AF124" s="24">
        <f t="shared" si="2"/>
        <v>0</v>
      </c>
      <c r="AG124" s="27" t="e">
        <f t="shared" si="2"/>
        <v>#VALUE!</v>
      </c>
      <c r="AH124" s="24" t="e">
        <f t="shared" si="2"/>
        <v>#VALUE!</v>
      </c>
      <c r="AI124" s="29"/>
    </row>
    <row r="125" spans="1:35">
      <c r="A125" s="49" t="s">
        <v>164</v>
      </c>
      <c r="B125" s="49">
        <f t="shared" ref="B125:G125" si="3">B121-B124</f>
        <v>18500</v>
      </c>
      <c r="C125" s="57">
        <f t="shared" si="3"/>
        <v>20416.669999999998</v>
      </c>
      <c r="D125" s="49">
        <f t="shared" si="3"/>
        <v>0</v>
      </c>
      <c r="E125" s="57">
        <f t="shared" si="3"/>
        <v>0</v>
      </c>
      <c r="F125" s="49">
        <f t="shared" si="3"/>
        <v>0</v>
      </c>
      <c r="G125" s="57">
        <f t="shared" si="3"/>
        <v>0</v>
      </c>
      <c r="H125" s="57"/>
      <c r="J125" s="49" t="s">
        <v>164</v>
      </c>
      <c r="K125" s="49">
        <f t="shared" ref="K125:P125" si="4">K121-K124</f>
        <v>0</v>
      </c>
      <c r="L125" s="57">
        <f t="shared" si="4"/>
        <v>28629.17</v>
      </c>
      <c r="M125" s="49">
        <f t="shared" si="4"/>
        <v>0</v>
      </c>
      <c r="N125" s="57">
        <f t="shared" si="4"/>
        <v>0</v>
      </c>
      <c r="O125" s="49" t="e">
        <f t="shared" si="4"/>
        <v>#VALUE!</v>
      </c>
      <c r="P125" s="57" t="e">
        <f t="shared" si="4"/>
        <v>#VALUE!</v>
      </c>
      <c r="Q125" s="57"/>
      <c r="S125" s="49" t="s">
        <v>164</v>
      </c>
      <c r="T125" s="49">
        <f t="shared" ref="T125:Y125" si="5">T121-T124</f>
        <v>0</v>
      </c>
      <c r="U125" s="57">
        <f t="shared" si="5"/>
        <v>0</v>
      </c>
      <c r="V125" s="49">
        <f t="shared" si="5"/>
        <v>0</v>
      </c>
      <c r="W125" s="57">
        <f t="shared" si="5"/>
        <v>0</v>
      </c>
      <c r="X125" s="49" t="e">
        <f t="shared" si="5"/>
        <v>#VALUE!</v>
      </c>
      <c r="Y125" s="57" t="e">
        <f t="shared" si="5"/>
        <v>#VALUE!</v>
      </c>
      <c r="Z125" s="57"/>
      <c r="AB125" s="49" t="s">
        <v>164</v>
      </c>
      <c r="AC125" s="49">
        <f t="shared" ref="AC125:AH125" si="6">AC121-AC124</f>
        <v>0</v>
      </c>
      <c r="AD125" s="57">
        <f t="shared" si="6"/>
        <v>0</v>
      </c>
      <c r="AE125" s="49">
        <f t="shared" si="6"/>
        <v>0</v>
      </c>
      <c r="AF125" s="57">
        <f t="shared" si="6"/>
        <v>0</v>
      </c>
      <c r="AG125" s="49" t="e">
        <f t="shared" si="6"/>
        <v>#VALUE!</v>
      </c>
      <c r="AH125" s="57" t="e">
        <f t="shared" si="6"/>
        <v>#VALUE!</v>
      </c>
      <c r="AI125" s="57"/>
    </row>
    <row r="126" spans="1:35">
      <c r="A126" s="27"/>
      <c r="B126" s="28"/>
      <c r="C126" s="28"/>
      <c r="D126" s="28"/>
      <c r="E126" s="28"/>
      <c r="F126" s="28"/>
      <c r="G126" s="28"/>
      <c r="H126" s="29"/>
      <c r="J126" s="27"/>
      <c r="K126" s="28"/>
      <c r="L126" s="28"/>
      <c r="M126" s="28"/>
      <c r="N126" s="28"/>
      <c r="O126" s="28"/>
      <c r="P126" s="28"/>
      <c r="Q126" s="29"/>
      <c r="S126" s="27"/>
      <c r="T126" s="28"/>
      <c r="U126" s="28"/>
      <c r="V126" s="28"/>
      <c r="W126" s="28"/>
      <c r="X126" s="28"/>
      <c r="Y126" s="28"/>
      <c r="Z126" s="29"/>
      <c r="AB126" s="27"/>
      <c r="AC126" s="28"/>
      <c r="AD126" s="28"/>
      <c r="AE126" s="28"/>
      <c r="AF126" s="28"/>
      <c r="AG126" s="28"/>
      <c r="AH126" s="28"/>
      <c r="AI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  <c r="J127" s="107"/>
      <c r="K127" s="108"/>
      <c r="L127" s="108"/>
      <c r="M127" s="108"/>
      <c r="N127" s="108"/>
      <c r="O127" s="108"/>
      <c r="P127" s="109" t="s">
        <v>158</v>
      </c>
      <c r="Q127" s="110" t="s">
        <v>159</v>
      </c>
      <c r="S127" s="107"/>
      <c r="T127" s="108"/>
      <c r="U127" s="108"/>
      <c r="V127" s="108"/>
      <c r="W127" s="108"/>
      <c r="X127" s="108"/>
      <c r="Y127" s="109" t="s">
        <v>158</v>
      </c>
      <c r="Z127" s="110" t="s">
        <v>159</v>
      </c>
      <c r="AB127" s="107"/>
      <c r="AC127" s="108"/>
      <c r="AD127" s="108"/>
      <c r="AE127" s="108"/>
      <c r="AF127" s="108"/>
      <c r="AG127" s="108"/>
      <c r="AH127" s="109" t="s">
        <v>158</v>
      </c>
      <c r="AI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  <c r="J128" s="111" t="s">
        <v>165</v>
      </c>
      <c r="K128" s="112"/>
      <c r="L128" s="112"/>
      <c r="M128" s="112"/>
      <c r="N128" s="112"/>
      <c r="O128" s="112"/>
      <c r="P128" s="113">
        <f>Q121</f>
        <v>0</v>
      </c>
      <c r="Q128" s="114">
        <f>SUM(Q131:Q133)</f>
        <v>0</v>
      </c>
      <c r="S128" s="111" t="s">
        <v>165</v>
      </c>
      <c r="T128" s="112"/>
      <c r="U128" s="112"/>
      <c r="V128" s="112"/>
      <c r="W128" s="112"/>
      <c r="X128" s="112"/>
      <c r="Y128" s="113">
        <f>Z121</f>
        <v>0</v>
      </c>
      <c r="Z128" s="114">
        <f>SUM(Z131:Z133)</f>
        <v>0</v>
      </c>
      <c r="AB128" s="111" t="s">
        <v>165</v>
      </c>
      <c r="AC128" s="112"/>
      <c r="AD128" s="112"/>
      <c r="AE128" s="112"/>
      <c r="AF128" s="112"/>
      <c r="AG128" s="112"/>
      <c r="AH128" s="113">
        <f>AI121</f>
        <v>0</v>
      </c>
      <c r="AI128" s="114">
        <f>SUM(AI131:AI133)</f>
        <v>0</v>
      </c>
    </row>
    <row r="129" spans="1:35">
      <c r="A129" s="27"/>
      <c r="B129" s="28"/>
      <c r="C129" s="28"/>
      <c r="D129" s="28"/>
      <c r="E129" s="28"/>
      <c r="F129" s="28"/>
      <c r="G129" s="115"/>
      <c r="H129" s="116"/>
      <c r="J129" s="27"/>
      <c r="K129" s="28"/>
      <c r="L129" s="28"/>
      <c r="M129" s="28"/>
      <c r="N129" s="28"/>
      <c r="O129" s="28"/>
      <c r="P129" s="115"/>
      <c r="Q129" s="116"/>
      <c r="S129" s="27"/>
      <c r="T129" s="28"/>
      <c r="U129" s="28"/>
      <c r="V129" s="28"/>
      <c r="W129" s="28"/>
      <c r="X129" s="28"/>
      <c r="Y129" s="115"/>
      <c r="Z129" s="116"/>
      <c r="AB129" s="27"/>
      <c r="AC129" s="28"/>
      <c r="AD129" s="28"/>
      <c r="AE129" s="28"/>
      <c r="AF129" s="28"/>
      <c r="AG129" s="28"/>
      <c r="AH129" s="115"/>
      <c r="AI129" s="116"/>
    </row>
    <row r="130" spans="1:35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J130" s="117" t="s">
        <v>166</v>
      </c>
      <c r="K130" s="352" t="s">
        <v>167</v>
      </c>
      <c r="L130" s="352"/>
      <c r="M130" s="352" t="s">
        <v>168</v>
      </c>
      <c r="N130" s="352"/>
      <c r="O130" s="352" t="s">
        <v>162</v>
      </c>
      <c r="P130" s="352"/>
      <c r="Q130" s="116" t="s">
        <v>159</v>
      </c>
      <c r="S130" s="117" t="s">
        <v>166</v>
      </c>
      <c r="T130" s="352" t="s">
        <v>167</v>
      </c>
      <c r="U130" s="352"/>
      <c r="V130" s="352" t="s">
        <v>168</v>
      </c>
      <c r="W130" s="352"/>
      <c r="X130" s="352" t="s">
        <v>162</v>
      </c>
      <c r="Y130" s="352"/>
      <c r="Z130" s="116" t="s">
        <v>159</v>
      </c>
      <c r="AB130" s="117" t="s">
        <v>166</v>
      </c>
      <c r="AC130" s="352" t="s">
        <v>167</v>
      </c>
      <c r="AD130" s="352"/>
      <c r="AE130" s="352" t="s">
        <v>168</v>
      </c>
      <c r="AF130" s="352"/>
      <c r="AG130" s="352" t="s">
        <v>162</v>
      </c>
      <c r="AH130" s="352"/>
      <c r="AI130" s="116" t="s">
        <v>159</v>
      </c>
    </row>
    <row r="131" spans="1:35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J131" s="27" t="s">
        <v>169</v>
      </c>
      <c r="K131" s="354">
        <f>P128</f>
        <v>0</v>
      </c>
      <c r="L131" s="354"/>
      <c r="M131" s="355">
        <v>0</v>
      </c>
      <c r="N131" s="355"/>
      <c r="O131" s="354">
        <v>0</v>
      </c>
      <c r="P131" s="354"/>
      <c r="Q131" s="119">
        <f>(K131-(K131*M131))-O131</f>
        <v>0</v>
      </c>
      <c r="S131" s="27" t="s">
        <v>169</v>
      </c>
      <c r="T131" s="354">
        <f>Y128</f>
        <v>0</v>
      </c>
      <c r="U131" s="354"/>
      <c r="V131" s="355">
        <v>0</v>
      </c>
      <c r="W131" s="355"/>
      <c r="X131" s="354">
        <v>0</v>
      </c>
      <c r="Y131" s="354"/>
      <c r="Z131" s="119">
        <f>(T131-(T131*V131))-X131</f>
        <v>0</v>
      </c>
      <c r="AB131" s="27" t="s">
        <v>169</v>
      </c>
      <c r="AC131" s="354">
        <f>AH128</f>
        <v>0</v>
      </c>
      <c r="AD131" s="354"/>
      <c r="AE131" s="355">
        <v>0</v>
      </c>
      <c r="AF131" s="355"/>
      <c r="AG131" s="354">
        <v>0</v>
      </c>
      <c r="AH131" s="354"/>
      <c r="AI131" s="119">
        <f>(AC131-(AC131*AE131))-AG131</f>
        <v>0</v>
      </c>
    </row>
    <row r="132" spans="1:35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J132" s="27" t="s">
        <v>170</v>
      </c>
      <c r="K132" s="354">
        <v>0</v>
      </c>
      <c r="L132" s="354"/>
      <c r="M132" s="355">
        <v>0</v>
      </c>
      <c r="N132" s="355"/>
      <c r="O132" s="354">
        <v>0</v>
      </c>
      <c r="P132" s="354"/>
      <c r="Q132" s="119">
        <f>(K132-(K132*M132))-O132</f>
        <v>0</v>
      </c>
      <c r="S132" s="27" t="s">
        <v>170</v>
      </c>
      <c r="T132" s="354">
        <v>0</v>
      </c>
      <c r="U132" s="354"/>
      <c r="V132" s="355">
        <v>0</v>
      </c>
      <c r="W132" s="355"/>
      <c r="X132" s="354">
        <v>0</v>
      </c>
      <c r="Y132" s="354"/>
      <c r="Z132" s="119">
        <f>(T132-(T132*V132))-X132</f>
        <v>0</v>
      </c>
      <c r="AB132" s="27" t="s">
        <v>170</v>
      </c>
      <c r="AC132" s="354">
        <v>0</v>
      </c>
      <c r="AD132" s="354"/>
      <c r="AE132" s="355">
        <v>0</v>
      </c>
      <c r="AF132" s="355"/>
      <c r="AG132" s="354">
        <v>0</v>
      </c>
      <c r="AH132" s="354"/>
      <c r="AI132" s="119">
        <f>(AC132-(AC132*AE132))-AG132</f>
        <v>0</v>
      </c>
    </row>
    <row r="133" spans="1:35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J133" s="27" t="s">
        <v>171</v>
      </c>
      <c r="K133" s="354">
        <v>0</v>
      </c>
      <c r="L133" s="354"/>
      <c r="M133" s="355">
        <v>0</v>
      </c>
      <c r="N133" s="355"/>
      <c r="O133" s="354">
        <v>0</v>
      </c>
      <c r="P133" s="354"/>
      <c r="Q133" s="119">
        <f>(K133-(K133*M133))-O133</f>
        <v>0</v>
      </c>
      <c r="S133" s="27" t="s">
        <v>171</v>
      </c>
      <c r="T133" s="354">
        <v>0</v>
      </c>
      <c r="U133" s="354"/>
      <c r="V133" s="355">
        <v>0</v>
      </c>
      <c r="W133" s="355"/>
      <c r="X133" s="354">
        <v>0</v>
      </c>
      <c r="Y133" s="354"/>
      <c r="Z133" s="119">
        <f>(T133-(T133*V133))-X133</f>
        <v>0</v>
      </c>
      <c r="AB133" s="27" t="s">
        <v>171</v>
      </c>
      <c r="AC133" s="354">
        <v>0</v>
      </c>
      <c r="AD133" s="354"/>
      <c r="AE133" s="355">
        <v>0</v>
      </c>
      <c r="AF133" s="355"/>
      <c r="AG133" s="354">
        <v>0</v>
      </c>
      <c r="AH133" s="354"/>
      <c r="AI133" s="119">
        <f>(AC133-(AC133*AE133))-AG133</f>
        <v>0</v>
      </c>
    </row>
    <row r="134" spans="1:35">
      <c r="A134" s="27"/>
      <c r="B134" s="28"/>
      <c r="C134" s="28"/>
      <c r="D134" s="28"/>
      <c r="E134" s="28"/>
      <c r="F134" s="28"/>
      <c r="G134" s="115"/>
      <c r="H134" s="116"/>
      <c r="J134" s="27"/>
      <c r="K134" s="28"/>
      <c r="L134" s="28"/>
      <c r="M134" s="28"/>
      <c r="N134" s="28"/>
      <c r="O134" s="28"/>
      <c r="P134" s="115"/>
      <c r="Q134" s="116"/>
      <c r="S134" s="27"/>
      <c r="T134" s="28"/>
      <c r="U134" s="28"/>
      <c r="V134" s="28"/>
      <c r="W134" s="28"/>
      <c r="X134" s="28"/>
      <c r="Y134" s="115"/>
      <c r="Z134" s="116"/>
      <c r="AB134" s="27"/>
      <c r="AC134" s="28"/>
      <c r="AD134" s="28"/>
      <c r="AE134" s="28"/>
      <c r="AF134" s="28"/>
      <c r="AG134" s="28"/>
      <c r="AH134" s="115"/>
      <c r="AI134" s="116"/>
    </row>
    <row r="135" spans="1:35" ht="21">
      <c r="A135" s="356" t="s">
        <v>172</v>
      </c>
      <c r="B135" s="356"/>
      <c r="C135" s="356"/>
      <c r="D135" s="356"/>
      <c r="E135" s="356"/>
      <c r="F135" s="356"/>
      <c r="G135" s="109">
        <f>B121</f>
        <v>18500</v>
      </c>
      <c r="H135" s="120">
        <f>C125+E125+G125+H128</f>
        <v>20416.669999999998</v>
      </c>
      <c r="J135" s="356" t="s">
        <v>172</v>
      </c>
      <c r="K135" s="356"/>
      <c r="L135" s="356"/>
      <c r="M135" s="356"/>
      <c r="N135" s="356"/>
      <c r="O135" s="356"/>
      <c r="P135" s="109">
        <f t="shared" ref="P135:P142" si="7">H9</f>
        <v>0</v>
      </c>
      <c r="Q135" s="120" t="e">
        <f>L125+N125+P125+Q128</f>
        <v>#VALUE!</v>
      </c>
      <c r="S135" s="356" t="s">
        <v>172</v>
      </c>
      <c r="T135" s="356"/>
      <c r="U135" s="356"/>
      <c r="V135" s="356"/>
      <c r="W135" s="356"/>
      <c r="X135" s="356"/>
      <c r="Y135" s="109">
        <f t="shared" ref="Y135:Y142" si="8">H9</f>
        <v>0</v>
      </c>
      <c r="Z135" s="120" t="e">
        <f>U125+W125+Y125+Z128</f>
        <v>#VALUE!</v>
      </c>
      <c r="AB135" s="356" t="s">
        <v>172</v>
      </c>
      <c r="AC135" s="356"/>
      <c r="AD135" s="356"/>
      <c r="AE135" s="356"/>
      <c r="AF135" s="356"/>
      <c r="AG135" s="356"/>
      <c r="AH135" s="109">
        <f t="shared" ref="AH135:AH142" si="9">H9</f>
        <v>0</v>
      </c>
      <c r="AI135" s="120" t="e">
        <f>AD125+AF125+AH125+AI128</f>
        <v>#VALUE!</v>
      </c>
    </row>
    <row r="136" spans="1:35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57" t="s">
        <v>173</v>
      </c>
      <c r="K136" s="357"/>
      <c r="L136" s="357"/>
      <c r="M136" s="357"/>
      <c r="N136" s="357"/>
      <c r="O136" s="357"/>
      <c r="P136" s="121">
        <f t="shared" si="7"/>
        <v>0</v>
      </c>
      <c r="Q136" s="29">
        <f>P136</f>
        <v>0</v>
      </c>
      <c r="S136" s="357" t="s">
        <v>173</v>
      </c>
      <c r="T136" s="357"/>
      <c r="U136" s="357"/>
      <c r="V136" s="357"/>
      <c r="W136" s="357"/>
      <c r="X136" s="357"/>
      <c r="Y136" s="121">
        <f t="shared" si="8"/>
        <v>0</v>
      </c>
      <c r="Z136" s="29">
        <f>Y136</f>
        <v>0</v>
      </c>
      <c r="AB136" s="357" t="s">
        <v>173</v>
      </c>
      <c r="AC136" s="357"/>
      <c r="AD136" s="357"/>
      <c r="AE136" s="357"/>
      <c r="AF136" s="357"/>
      <c r="AG136" s="357"/>
      <c r="AH136" s="121">
        <f t="shared" si="9"/>
        <v>0</v>
      </c>
      <c r="AI136" s="29">
        <f>AH136</f>
        <v>0</v>
      </c>
    </row>
    <row r="137" spans="1:35">
      <c r="A137" s="357" t="s">
        <v>174</v>
      </c>
      <c r="B137" s="357"/>
      <c r="C137" s="357"/>
      <c r="D137" s="357"/>
      <c r="E137" s="357"/>
      <c r="F137" s="357"/>
      <c r="G137" s="29">
        <f>(G135+G136)*20%</f>
        <v>3700</v>
      </c>
      <c r="H137" s="29">
        <f>(H135+H136)*20%</f>
        <v>4083.3339999999998</v>
      </c>
      <c r="J137" s="357" t="s">
        <v>174</v>
      </c>
      <c r="K137" s="357"/>
      <c r="L137" s="357"/>
      <c r="M137" s="357"/>
      <c r="N137" s="357"/>
      <c r="O137" s="357"/>
      <c r="P137" s="121">
        <f t="shared" si="7"/>
        <v>0</v>
      </c>
      <c r="Q137" s="29" t="e">
        <f>(Q135+Q136)*20%</f>
        <v>#VALUE!</v>
      </c>
      <c r="S137" s="357" t="s">
        <v>174</v>
      </c>
      <c r="T137" s="357"/>
      <c r="U137" s="357"/>
      <c r="V137" s="357"/>
      <c r="W137" s="357"/>
      <c r="X137" s="357"/>
      <c r="Y137" s="121">
        <f t="shared" si="8"/>
        <v>0</v>
      </c>
      <c r="Z137" s="29" t="e">
        <f>(Z135+Z136)*20%</f>
        <v>#VALUE!</v>
      </c>
      <c r="AB137" s="357" t="s">
        <v>174</v>
      </c>
      <c r="AC137" s="357"/>
      <c r="AD137" s="357"/>
      <c r="AE137" s="357"/>
      <c r="AF137" s="357"/>
      <c r="AG137" s="357"/>
      <c r="AH137" s="121">
        <f t="shared" si="9"/>
        <v>0</v>
      </c>
      <c r="AI137" s="29" t="e">
        <f>(AI135+AI136)*20%</f>
        <v>#VALUE!</v>
      </c>
    </row>
    <row r="138" spans="1:35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57" t="s">
        <v>175</v>
      </c>
      <c r="K138" s="357"/>
      <c r="L138" s="357"/>
      <c r="M138" s="357"/>
      <c r="N138" s="357"/>
      <c r="O138" s="357"/>
      <c r="P138" s="121">
        <f t="shared" si="7"/>
        <v>0</v>
      </c>
      <c r="Q138" s="29">
        <f>P138</f>
        <v>0</v>
      </c>
      <c r="S138" s="357" t="s">
        <v>175</v>
      </c>
      <c r="T138" s="357"/>
      <c r="U138" s="357"/>
      <c r="V138" s="357"/>
      <c r="W138" s="357"/>
      <c r="X138" s="357"/>
      <c r="Y138" s="121">
        <f t="shared" si="8"/>
        <v>0</v>
      </c>
      <c r="Z138" s="29">
        <f>Y138</f>
        <v>0</v>
      </c>
      <c r="AB138" s="357" t="s">
        <v>175</v>
      </c>
      <c r="AC138" s="357"/>
      <c r="AD138" s="357"/>
      <c r="AE138" s="357"/>
      <c r="AF138" s="357"/>
      <c r="AG138" s="357"/>
      <c r="AH138" s="121">
        <f t="shared" si="9"/>
        <v>0</v>
      </c>
      <c r="AI138" s="29">
        <f>AH138</f>
        <v>0</v>
      </c>
    </row>
    <row r="139" spans="1:35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57" t="s">
        <v>176</v>
      </c>
      <c r="K139" s="357"/>
      <c r="L139" s="357"/>
      <c r="M139" s="357"/>
      <c r="N139" s="357"/>
      <c r="O139" s="357"/>
      <c r="P139" s="121">
        <f t="shared" si="7"/>
        <v>0</v>
      </c>
      <c r="Q139" s="29">
        <f>P139</f>
        <v>0</v>
      </c>
      <c r="S139" s="357" t="s">
        <v>176</v>
      </c>
      <c r="T139" s="357"/>
      <c r="U139" s="357"/>
      <c r="V139" s="357"/>
      <c r="W139" s="357"/>
      <c r="X139" s="357"/>
      <c r="Y139" s="121">
        <f t="shared" si="8"/>
        <v>0</v>
      </c>
      <c r="Z139" s="29">
        <f>Y139</f>
        <v>0</v>
      </c>
      <c r="AB139" s="357" t="s">
        <v>176</v>
      </c>
      <c r="AC139" s="357"/>
      <c r="AD139" s="357"/>
      <c r="AE139" s="357"/>
      <c r="AF139" s="357"/>
      <c r="AG139" s="357"/>
      <c r="AH139" s="121">
        <f t="shared" si="9"/>
        <v>0</v>
      </c>
      <c r="AI139" s="29">
        <f>AH139</f>
        <v>0</v>
      </c>
    </row>
    <row r="140" spans="1:35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57" t="s">
        <v>177</v>
      </c>
      <c r="K140" s="357"/>
      <c r="L140" s="357"/>
      <c r="M140" s="357"/>
      <c r="N140" s="357"/>
      <c r="O140" s="357"/>
      <c r="P140" s="121">
        <f t="shared" si="7"/>
        <v>0</v>
      </c>
      <c r="Q140" s="29">
        <v>55</v>
      </c>
      <c r="S140" s="357" t="s">
        <v>177</v>
      </c>
      <c r="T140" s="357"/>
      <c r="U140" s="357"/>
      <c r="V140" s="357"/>
      <c r="W140" s="357"/>
      <c r="X140" s="357"/>
      <c r="Y140" s="121">
        <f t="shared" si="8"/>
        <v>0</v>
      </c>
      <c r="Z140" s="29">
        <v>55</v>
      </c>
      <c r="AB140" s="357" t="s">
        <v>177</v>
      </c>
      <c r="AC140" s="357"/>
      <c r="AD140" s="357"/>
      <c r="AE140" s="357"/>
      <c r="AF140" s="357"/>
      <c r="AG140" s="357"/>
      <c r="AH140" s="121">
        <f t="shared" si="9"/>
        <v>0</v>
      </c>
      <c r="AI140" s="29">
        <v>55</v>
      </c>
    </row>
    <row r="141" spans="1:35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22200</v>
      </c>
      <c r="H141" s="122">
        <f>(H135+H136+H139+H140+H137)-H138</f>
        <v>24500.003999999997</v>
      </c>
      <c r="J141" s="357" t="s">
        <v>178</v>
      </c>
      <c r="K141" s="357"/>
      <c r="L141" s="357"/>
      <c r="M141" s="357"/>
      <c r="N141" s="357"/>
      <c r="O141" s="357"/>
      <c r="P141" s="123">
        <f t="shared" si="7"/>
        <v>0</v>
      </c>
      <c r="Q141" s="122" t="e">
        <f>(Q135+Q136+Q139+Q140+Q137)-Q138</f>
        <v>#VALUE!</v>
      </c>
      <c r="S141" s="357" t="s">
        <v>178</v>
      </c>
      <c r="T141" s="357"/>
      <c r="U141" s="357"/>
      <c r="V141" s="357"/>
      <c r="W141" s="357"/>
      <c r="X141" s="357"/>
      <c r="Y141" s="123">
        <f t="shared" si="8"/>
        <v>0</v>
      </c>
      <c r="Z141" s="122" t="e">
        <f>(Z135+Z136+Z139+Z140+Z137)-Z138</f>
        <v>#VALUE!</v>
      </c>
      <c r="AB141" s="357" t="s">
        <v>178</v>
      </c>
      <c r="AC141" s="357"/>
      <c r="AD141" s="357"/>
      <c r="AE141" s="357"/>
      <c r="AF141" s="357"/>
      <c r="AG141" s="357"/>
      <c r="AH141" s="123">
        <f t="shared" si="9"/>
        <v>0</v>
      </c>
      <c r="AI141" s="122" t="e">
        <f>(AI135+AI136+AI139+AI140+AI137)-AI138</f>
        <v>#VALUE!</v>
      </c>
    </row>
    <row r="142" spans="1:35">
      <c r="A142" s="357" t="s">
        <v>179</v>
      </c>
      <c r="B142" s="357"/>
      <c r="C142" s="357"/>
      <c r="D142" s="357"/>
      <c r="E142" s="357"/>
      <c r="F142" s="357"/>
      <c r="G142" s="121">
        <f>H16</f>
        <v>0</v>
      </c>
      <c r="H142" s="36">
        <f>G142</f>
        <v>0</v>
      </c>
      <c r="J142" s="357" t="s">
        <v>179</v>
      </c>
      <c r="K142" s="357"/>
      <c r="L142" s="357"/>
      <c r="M142" s="357"/>
      <c r="N142" s="357"/>
      <c r="O142" s="357"/>
      <c r="P142" s="121">
        <f t="shared" si="7"/>
        <v>0</v>
      </c>
      <c r="Q142" s="36">
        <f>P142</f>
        <v>0</v>
      </c>
      <c r="S142" s="357" t="s">
        <v>179</v>
      </c>
      <c r="T142" s="357"/>
      <c r="U142" s="357"/>
      <c r="V142" s="357"/>
      <c r="W142" s="357"/>
      <c r="X142" s="357"/>
      <c r="Y142" s="121">
        <f t="shared" si="8"/>
        <v>0</v>
      </c>
      <c r="Z142" s="36">
        <f>Y142</f>
        <v>0</v>
      </c>
      <c r="AB142" s="357" t="s">
        <v>179</v>
      </c>
      <c r="AC142" s="357"/>
      <c r="AD142" s="357"/>
      <c r="AE142" s="357"/>
      <c r="AF142" s="357"/>
      <c r="AG142" s="357"/>
      <c r="AH142" s="121">
        <f t="shared" si="9"/>
        <v>0</v>
      </c>
      <c r="AI142" s="36">
        <f>AH142</f>
        <v>0</v>
      </c>
    </row>
    <row r="143" spans="1:35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58" t="s">
        <v>180</v>
      </c>
      <c r="K143" s="358"/>
      <c r="L143" s="358"/>
      <c r="M143" s="358"/>
      <c r="N143" s="358"/>
      <c r="O143" s="358"/>
      <c r="P143" s="34"/>
      <c r="Q143" s="29"/>
      <c r="S143" s="358" t="s">
        <v>180</v>
      </c>
      <c r="T143" s="358"/>
      <c r="U143" s="358"/>
      <c r="V143" s="358"/>
      <c r="W143" s="358"/>
      <c r="X143" s="358"/>
      <c r="Y143" s="34"/>
      <c r="Z143" s="29"/>
      <c r="AB143" s="358" t="s">
        <v>180</v>
      </c>
      <c r="AC143" s="358"/>
      <c r="AD143" s="358"/>
      <c r="AE143" s="358"/>
      <c r="AF143" s="358"/>
      <c r="AG143" s="358"/>
      <c r="AH143" s="34"/>
      <c r="AI143" s="29"/>
    </row>
    <row r="144" spans="1:35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J144" s="124" t="s">
        <v>26</v>
      </c>
      <c r="K144" s="360" t="s">
        <v>181</v>
      </c>
      <c r="L144" s="360"/>
      <c r="M144" s="360"/>
      <c r="N144" s="360"/>
      <c r="O144" s="360"/>
      <c r="P144" s="121">
        <f>H18</f>
        <v>0</v>
      </c>
      <c r="Q144" s="36">
        <f>P144</f>
        <v>0</v>
      </c>
      <c r="S144" s="124" t="s">
        <v>26</v>
      </c>
      <c r="T144" s="360" t="s">
        <v>181</v>
      </c>
      <c r="U144" s="360"/>
      <c r="V144" s="360"/>
      <c r="W144" s="360"/>
      <c r="X144" s="360"/>
      <c r="Y144" s="121">
        <f>H18</f>
        <v>0</v>
      </c>
      <c r="Z144" s="36">
        <f>Y144</f>
        <v>0</v>
      </c>
      <c r="AB144" s="124" t="s">
        <v>26</v>
      </c>
      <c r="AC144" s="360" t="s">
        <v>181</v>
      </c>
      <c r="AD144" s="360"/>
      <c r="AE144" s="360"/>
      <c r="AF144" s="360"/>
      <c r="AG144" s="360"/>
      <c r="AH144" s="121">
        <f>H18</f>
        <v>0</v>
      </c>
      <c r="AI144" s="36">
        <f>AH144</f>
        <v>0</v>
      </c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J145" s="124" t="s">
        <v>28</v>
      </c>
      <c r="K145" s="360" t="s">
        <v>181</v>
      </c>
      <c r="L145" s="360"/>
      <c r="M145" s="360"/>
      <c r="N145" s="360"/>
      <c r="O145" s="360"/>
      <c r="P145" s="121">
        <f>H19</f>
        <v>0</v>
      </c>
      <c r="Q145" s="36">
        <f>P145</f>
        <v>0</v>
      </c>
      <c r="S145" s="124" t="s">
        <v>28</v>
      </c>
      <c r="T145" s="360" t="s">
        <v>181</v>
      </c>
      <c r="U145" s="360"/>
      <c r="V145" s="360"/>
      <c r="W145" s="360"/>
      <c r="X145" s="360"/>
      <c r="Y145" s="121">
        <f>H19</f>
        <v>0</v>
      </c>
      <c r="Z145" s="36">
        <f>Y145</f>
        <v>0</v>
      </c>
      <c r="AB145" s="124" t="s">
        <v>28</v>
      </c>
      <c r="AC145" s="360" t="s">
        <v>181</v>
      </c>
      <c r="AD145" s="360"/>
      <c r="AE145" s="360"/>
      <c r="AF145" s="360"/>
      <c r="AG145" s="360"/>
      <c r="AH145" s="121">
        <f>H19</f>
        <v>0</v>
      </c>
      <c r="AI145" s="36">
        <f>AH145</f>
        <v>0</v>
      </c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J146" s="125" t="s">
        <v>29</v>
      </c>
      <c r="K146" s="361" t="s">
        <v>181</v>
      </c>
      <c r="L146" s="361"/>
      <c r="M146" s="361"/>
      <c r="N146" s="361"/>
      <c r="O146" s="361"/>
      <c r="P146" s="121">
        <f>H20</f>
        <v>0</v>
      </c>
      <c r="Q146" s="36">
        <f>P146</f>
        <v>0</v>
      </c>
      <c r="S146" s="125" t="s">
        <v>29</v>
      </c>
      <c r="T146" s="361" t="s">
        <v>181</v>
      </c>
      <c r="U146" s="361"/>
      <c r="V146" s="361"/>
      <c r="W146" s="361"/>
      <c r="X146" s="361"/>
      <c r="Y146" s="121">
        <f>H20</f>
        <v>0</v>
      </c>
      <c r="Z146" s="36">
        <f>Y146</f>
        <v>0</v>
      </c>
      <c r="AB146" s="125" t="s">
        <v>29</v>
      </c>
      <c r="AC146" s="361" t="s">
        <v>181</v>
      </c>
      <c r="AD146" s="361"/>
      <c r="AE146" s="361"/>
      <c r="AF146" s="361"/>
      <c r="AG146" s="361"/>
      <c r="AH146" s="121">
        <f>H20</f>
        <v>0</v>
      </c>
      <c r="AI146" s="36">
        <f>AH146</f>
        <v>0</v>
      </c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22200</v>
      </c>
      <c r="H147" s="126">
        <f>H141-((H144*1.2)+(H145*1.2)+(H146*1.2)+(H142*1.2))</f>
        <v>24500.003999999997</v>
      </c>
      <c r="J147" s="357" t="s">
        <v>182</v>
      </c>
      <c r="K147" s="357"/>
      <c r="L147" s="357"/>
      <c r="M147" s="357"/>
      <c r="N147" s="357"/>
      <c r="O147" s="357"/>
      <c r="P147" s="123">
        <f>P141-((P144*1.2)+(P145*1.2)+(P146*1.2)+(P142*1.2))</f>
        <v>0</v>
      </c>
      <c r="Q147" s="126" t="e">
        <f>Q141-((Q144*1.2)+(Q145*1.2)+(Q146*1.2)+(Q142*1.2))</f>
        <v>#VALUE!</v>
      </c>
      <c r="S147" s="357" t="s">
        <v>182</v>
      </c>
      <c r="T147" s="357"/>
      <c r="U147" s="357"/>
      <c r="V147" s="357"/>
      <c r="W147" s="357"/>
      <c r="X147" s="357"/>
      <c r="Y147" s="123">
        <f>Y141-((Y144*1.2)+(Y145*1.2)+(Y146*1.2)+(Y142*1.2))</f>
        <v>0</v>
      </c>
      <c r="Z147" s="126" t="e">
        <f>Z141-((Z144*1.2)+(Z145*1.2)+(Z146*1.2)+(Z142*1.2))</f>
        <v>#VALUE!</v>
      </c>
      <c r="AB147" s="357" t="s">
        <v>182</v>
      </c>
      <c r="AC147" s="357"/>
      <c r="AD147" s="357"/>
      <c r="AE147" s="357"/>
      <c r="AF147" s="357"/>
      <c r="AG147" s="357"/>
      <c r="AH147" s="123">
        <f>AH141-((AH144*1.2)+(AH145*1.2)+(AH146*1.2)+(AH142*1.2))</f>
        <v>0</v>
      </c>
      <c r="AI147" s="126" t="e">
        <f>AI141-((AI144*1.2)+(AI145*1.2)+(AI146*1.2)+(AI142*1.2))</f>
        <v>#VALUE!</v>
      </c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1916.6699999999973</v>
      </c>
      <c r="I148" s="4">
        <f>(H148-G81)/1.2</f>
        <v>-18336.111666666668</v>
      </c>
      <c r="J148" s="357" t="s">
        <v>183</v>
      </c>
      <c r="K148" s="357"/>
      <c r="L148" s="357"/>
      <c r="M148" s="357"/>
      <c r="N148" s="357"/>
      <c r="O148" s="357"/>
      <c r="P148" s="121"/>
      <c r="Q148" s="36" t="e">
        <f>Q147-P147</f>
        <v>#VALUE!</v>
      </c>
      <c r="S148" s="357" t="s">
        <v>183</v>
      </c>
      <c r="T148" s="357"/>
      <c r="U148" s="357"/>
      <c r="V148" s="357"/>
      <c r="W148" s="357"/>
      <c r="X148" s="357"/>
      <c r="Y148" s="121"/>
      <c r="Z148" s="36" t="e">
        <f>Z147-Y147</f>
        <v>#VALUE!</v>
      </c>
      <c r="AB148" s="357" t="s">
        <v>183</v>
      </c>
      <c r="AC148" s="357"/>
      <c r="AD148" s="357"/>
      <c r="AE148" s="357"/>
      <c r="AF148" s="357"/>
      <c r="AG148" s="357"/>
      <c r="AH148" s="121"/>
      <c r="AI148" s="36" t="e">
        <f>AI147-AH147</f>
        <v>#VALUE!</v>
      </c>
    </row>
    <row r="149" spans="1:35">
      <c r="A149" s="27"/>
      <c r="B149" s="28"/>
      <c r="C149" s="28"/>
      <c r="D149" s="28"/>
      <c r="E149" s="21"/>
      <c r="F149" s="21"/>
      <c r="G149" s="21"/>
      <c r="H149" s="29"/>
      <c r="J149" s="27"/>
      <c r="K149" s="28"/>
      <c r="L149" s="28"/>
      <c r="M149" s="28"/>
      <c r="N149" s="21"/>
      <c r="O149" s="21"/>
      <c r="P149" s="21"/>
      <c r="Q149" s="29"/>
      <c r="S149" s="27"/>
      <c r="T149" s="28"/>
      <c r="U149" s="28"/>
      <c r="V149" s="28"/>
      <c r="W149" s="21"/>
      <c r="X149" s="21"/>
      <c r="Y149" s="21"/>
      <c r="Z149" s="29"/>
      <c r="AB149" s="27"/>
      <c r="AC149" s="28"/>
      <c r="AD149" s="28"/>
      <c r="AE149" s="28"/>
      <c r="AF149" s="21"/>
      <c r="AG149" s="21"/>
      <c r="AH149" s="21"/>
      <c r="AI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35" t="s">
        <v>184</v>
      </c>
      <c r="K150" s="335"/>
      <c r="L150" s="335"/>
      <c r="M150" s="335"/>
      <c r="N150" s="335"/>
      <c r="O150" s="335"/>
      <c r="P150" s="335"/>
      <c r="Q150" s="335"/>
      <c r="S150" s="335" t="s">
        <v>184</v>
      </c>
      <c r="T150" s="335"/>
      <c r="U150" s="335"/>
      <c r="V150" s="335"/>
      <c r="W150" s="335"/>
      <c r="X150" s="335"/>
      <c r="Y150" s="335"/>
      <c r="Z150" s="335"/>
      <c r="AB150" s="335" t="s">
        <v>184</v>
      </c>
      <c r="AC150" s="335"/>
      <c r="AD150" s="335"/>
      <c r="AE150" s="335"/>
      <c r="AF150" s="335"/>
      <c r="AG150" s="335"/>
      <c r="AH150" s="335"/>
      <c r="AI150" s="335"/>
    </row>
    <row r="151" spans="1:35">
      <c r="A151" s="27"/>
      <c r="B151" s="28"/>
      <c r="C151" s="28"/>
      <c r="D151" s="28"/>
      <c r="E151" s="21"/>
      <c r="F151" s="21"/>
      <c r="G151" s="21"/>
      <c r="H151" s="29"/>
      <c r="J151" s="27"/>
      <c r="K151" s="28"/>
      <c r="L151" s="28"/>
      <c r="M151" s="28"/>
      <c r="N151" s="21"/>
      <c r="O151" s="21"/>
      <c r="P151" s="21"/>
      <c r="Q151" s="29"/>
      <c r="S151" s="27"/>
      <c r="T151" s="28"/>
      <c r="U151" s="28"/>
      <c r="V151" s="28"/>
      <c r="W151" s="21"/>
      <c r="X151" s="21"/>
      <c r="Y151" s="21"/>
      <c r="Z151" s="29"/>
      <c r="AB151" s="27"/>
      <c r="AC151" s="28"/>
      <c r="AD151" s="28"/>
      <c r="AE151" s="28"/>
      <c r="AF151" s="21"/>
      <c r="AG151" s="21"/>
      <c r="AH151" s="21"/>
      <c r="AI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J152" s="27" t="s">
        <v>185</v>
      </c>
      <c r="K152" s="28"/>
      <c r="L152" s="28"/>
      <c r="M152" s="21"/>
      <c r="N152" s="348">
        <v>10000</v>
      </c>
      <c r="O152" s="348"/>
      <c r="P152" s="348">
        <v>5000</v>
      </c>
      <c r="Q152" s="348"/>
      <c r="S152" s="27" t="s">
        <v>185</v>
      </c>
      <c r="T152" s="28"/>
      <c r="U152" s="28"/>
      <c r="V152" s="21"/>
      <c r="W152" s="348">
        <v>10000</v>
      </c>
      <c r="X152" s="348"/>
      <c r="Y152" s="348">
        <v>5000</v>
      </c>
      <c r="Z152" s="348"/>
      <c r="AB152" s="27" t="s">
        <v>185</v>
      </c>
      <c r="AC152" s="28"/>
      <c r="AD152" s="28"/>
      <c r="AE152" s="21"/>
      <c r="AF152" s="348">
        <v>10000</v>
      </c>
      <c r="AG152" s="348"/>
      <c r="AH152" s="348">
        <v>5000</v>
      </c>
      <c r="AI152" s="348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J153" s="27" t="s">
        <v>186</v>
      </c>
      <c r="K153" s="28"/>
      <c r="L153" s="28"/>
      <c r="M153" s="21"/>
      <c r="N153" s="363">
        <f>P153</f>
        <v>7000</v>
      </c>
      <c r="O153" s="363"/>
      <c r="P153" s="348">
        <v>7000</v>
      </c>
      <c r="Q153" s="348"/>
      <c r="S153" s="27" t="s">
        <v>186</v>
      </c>
      <c r="T153" s="28"/>
      <c r="U153" s="28"/>
      <c r="V153" s="21"/>
      <c r="W153" s="363">
        <f>Y153</f>
        <v>7000</v>
      </c>
      <c r="X153" s="363"/>
      <c r="Y153" s="348">
        <v>7000</v>
      </c>
      <c r="Z153" s="348"/>
      <c r="AB153" s="27" t="s">
        <v>186</v>
      </c>
      <c r="AC153" s="28"/>
      <c r="AD153" s="28"/>
      <c r="AE153" s="21"/>
      <c r="AF153" s="363">
        <f>AH153</f>
        <v>7000</v>
      </c>
      <c r="AG153" s="363"/>
      <c r="AH153" s="348">
        <v>7000</v>
      </c>
      <c r="AI153" s="348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J154" s="27" t="s">
        <v>187</v>
      </c>
      <c r="K154" s="28"/>
      <c r="L154" s="28"/>
      <c r="M154" s="21"/>
      <c r="N154" s="363">
        <f>N152-N153</f>
        <v>3000</v>
      </c>
      <c r="O154" s="363"/>
      <c r="P154" s="364">
        <f>P152-P153</f>
        <v>-2000</v>
      </c>
      <c r="Q154" s="364"/>
      <c r="S154" s="27" t="s">
        <v>187</v>
      </c>
      <c r="T154" s="28"/>
      <c r="U154" s="28"/>
      <c r="V154" s="21"/>
      <c r="W154" s="363">
        <f>W152-W153</f>
        <v>3000</v>
      </c>
      <c r="X154" s="363"/>
      <c r="Y154" s="364">
        <f>Y152-Y153</f>
        <v>-2000</v>
      </c>
      <c r="Z154" s="364"/>
      <c r="AB154" s="27" t="s">
        <v>187</v>
      </c>
      <c r="AC154" s="28"/>
      <c r="AD154" s="28"/>
      <c r="AE154" s="21"/>
      <c r="AF154" s="363">
        <f>AF152-AF153</f>
        <v>3000</v>
      </c>
      <c r="AG154" s="363"/>
      <c r="AH154" s="364">
        <f>AH152-AH153</f>
        <v>-2000</v>
      </c>
      <c r="AI154" s="364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J155" s="27" t="s">
        <v>188</v>
      </c>
      <c r="K155" s="28"/>
      <c r="L155" s="28"/>
      <c r="M155" s="21"/>
      <c r="N155" s="363">
        <f>N154-P154</f>
        <v>5000</v>
      </c>
      <c r="O155" s="363"/>
      <c r="P155" s="21"/>
      <c r="Q155" s="29"/>
      <c r="S155" s="27" t="s">
        <v>188</v>
      </c>
      <c r="T155" s="28"/>
      <c r="U155" s="28"/>
      <c r="V155" s="21"/>
      <c r="W155" s="363">
        <f>W154-Y154</f>
        <v>5000</v>
      </c>
      <c r="X155" s="363"/>
      <c r="Y155" s="21"/>
      <c r="Z155" s="29"/>
      <c r="AB155" s="27" t="s">
        <v>188</v>
      </c>
      <c r="AC155" s="28"/>
      <c r="AD155" s="28"/>
      <c r="AE155" s="21"/>
      <c r="AF155" s="363">
        <f>AF154-AH154</f>
        <v>5000</v>
      </c>
      <c r="AG155" s="363"/>
      <c r="AH155" s="21"/>
      <c r="AI155" s="29"/>
    </row>
    <row r="156" spans="1:35">
      <c r="A156" s="27" t="s">
        <v>189</v>
      </c>
      <c r="B156" s="28"/>
      <c r="C156" s="28"/>
      <c r="D156" s="21"/>
      <c r="E156" s="28"/>
      <c r="F156" s="21"/>
      <c r="G156" s="21"/>
      <c r="H156" s="36">
        <v>1420</v>
      </c>
      <c r="J156" s="27"/>
      <c r="K156" s="28"/>
      <c r="L156" s="28"/>
      <c r="M156" s="21"/>
      <c r="N156" s="28"/>
      <c r="O156" s="21"/>
      <c r="P156" s="21"/>
      <c r="Q156" s="29"/>
      <c r="S156" s="27"/>
      <c r="T156" s="28"/>
      <c r="U156" s="28"/>
      <c r="V156" s="21"/>
      <c r="W156" s="28"/>
      <c r="X156" s="21"/>
      <c r="Y156" s="21"/>
      <c r="Z156" s="29"/>
      <c r="AB156" s="27"/>
      <c r="AC156" s="28"/>
      <c r="AD156" s="28"/>
      <c r="AE156" s="21"/>
      <c r="AF156" s="28"/>
      <c r="AG156" s="21"/>
      <c r="AH156" s="21"/>
      <c r="AI156" s="29"/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2000</v>
      </c>
      <c r="H157" s="365"/>
      <c r="J157" s="22" t="s">
        <v>190</v>
      </c>
      <c r="K157" s="23"/>
      <c r="L157" s="23"/>
      <c r="M157" s="63"/>
      <c r="N157" s="23"/>
      <c r="O157" s="63"/>
      <c r="P157" s="365">
        <f>J114</f>
        <v>1000</v>
      </c>
      <c r="Q157" s="365"/>
      <c r="S157" s="22" t="s">
        <v>190</v>
      </c>
      <c r="T157" s="23"/>
      <c r="U157" s="23"/>
      <c r="V157" s="63"/>
      <c r="W157" s="23"/>
      <c r="X157" s="63"/>
      <c r="Y157" s="365">
        <f>S114</f>
        <v>1000</v>
      </c>
      <c r="Z157" s="365"/>
      <c r="AB157" s="22" t="s">
        <v>190</v>
      </c>
      <c r="AC157" s="23"/>
      <c r="AD157" s="23"/>
      <c r="AE157" s="63"/>
      <c r="AF157" s="23"/>
      <c r="AG157" s="63"/>
      <c r="AH157" s="365">
        <f>AB114</f>
        <v>1000</v>
      </c>
      <c r="AI157" s="365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23920.003999999997</v>
      </c>
      <c r="H158" s="366"/>
      <c r="J158" s="129" t="s">
        <v>191</v>
      </c>
      <c r="K158" s="28"/>
      <c r="L158" s="28"/>
      <c r="M158" s="21"/>
      <c r="N158" s="28"/>
      <c r="O158" s="21"/>
      <c r="P158" s="366" t="e">
        <f>Q147-P154-P157</f>
        <v>#VALUE!</v>
      </c>
      <c r="Q158" s="366"/>
      <c r="S158" s="129" t="s">
        <v>191</v>
      </c>
      <c r="T158" s="28"/>
      <c r="U158" s="28"/>
      <c r="V158" s="21"/>
      <c r="W158" s="28"/>
      <c r="X158" s="21"/>
      <c r="Y158" s="366" t="e">
        <f>Z147-Y154-Y157</f>
        <v>#VALUE!</v>
      </c>
      <c r="Z158" s="366"/>
      <c r="AB158" s="129" t="s">
        <v>191</v>
      </c>
      <c r="AC158" s="28"/>
      <c r="AD158" s="28"/>
      <c r="AE158" s="21"/>
      <c r="AF158" s="28"/>
      <c r="AG158" s="21"/>
      <c r="AH158" s="366" t="e">
        <f>AI147-AH154-AH157</f>
        <v>#VALUE!</v>
      </c>
      <c r="AI158" s="366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1000</v>
      </c>
      <c r="H159" s="367"/>
      <c r="J159" s="49" t="s">
        <v>66</v>
      </c>
      <c r="K159" s="50"/>
      <c r="L159" s="50"/>
      <c r="M159" s="85"/>
      <c r="N159" s="50"/>
      <c r="O159" s="85"/>
      <c r="P159" s="367">
        <f>K114</f>
        <v>239.99</v>
      </c>
      <c r="Q159" s="367"/>
      <c r="S159" s="49" t="s">
        <v>66</v>
      </c>
      <c r="T159" s="50"/>
      <c r="U159" s="50"/>
      <c r="V159" s="85"/>
      <c r="W159" s="50"/>
      <c r="X159" s="85"/>
      <c r="Y159" s="367">
        <f>T114</f>
        <v>199.99</v>
      </c>
      <c r="Z159" s="367"/>
      <c r="AB159" s="49" t="s">
        <v>66</v>
      </c>
      <c r="AC159" s="50"/>
      <c r="AD159" s="50"/>
      <c r="AE159" s="85"/>
      <c r="AF159" s="50"/>
      <c r="AG159" s="85"/>
      <c r="AH159" s="367">
        <f>AC114</f>
        <v>239.99</v>
      </c>
      <c r="AI159" s="367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/>
      <c r="B161" s="28"/>
      <c r="C161" s="28"/>
      <c r="D161" s="28"/>
      <c r="E161" s="21"/>
      <c r="F161" s="21"/>
      <c r="G161" s="21"/>
      <c r="H161" s="29"/>
      <c r="J161" s="27"/>
      <c r="K161" s="28"/>
      <c r="L161" s="28"/>
      <c r="M161" s="28"/>
      <c r="N161" s="21"/>
      <c r="O161" s="21"/>
      <c r="P161" s="21"/>
      <c r="Q161" s="29"/>
      <c r="S161" s="27"/>
      <c r="T161" s="28"/>
      <c r="U161" s="28"/>
      <c r="V161" s="28"/>
      <c r="W161" s="21"/>
      <c r="X161" s="21"/>
      <c r="Y161" s="21"/>
      <c r="Z161" s="29"/>
      <c r="AB161" s="27"/>
      <c r="AC161" s="28"/>
      <c r="AD161" s="28"/>
      <c r="AE161" s="28"/>
      <c r="AF161" s="21"/>
      <c r="AG161" s="21"/>
      <c r="AH161" s="21"/>
      <c r="AI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35" t="s">
        <v>192</v>
      </c>
      <c r="K162" s="335"/>
      <c r="L162" s="335"/>
      <c r="M162" s="335"/>
      <c r="N162" s="335"/>
      <c r="O162" s="335"/>
      <c r="P162" s="335"/>
      <c r="Q162" s="335"/>
      <c r="S162" s="335" t="s">
        <v>192</v>
      </c>
      <c r="T162" s="335"/>
      <c r="U162" s="335"/>
      <c r="V162" s="335"/>
      <c r="W162" s="335"/>
      <c r="X162" s="335"/>
      <c r="Y162" s="335"/>
      <c r="Z162" s="335"/>
      <c r="AB162" s="335" t="s">
        <v>192</v>
      </c>
      <c r="AC162" s="335"/>
      <c r="AD162" s="335"/>
      <c r="AE162" s="335"/>
      <c r="AF162" s="335"/>
      <c r="AG162" s="335"/>
      <c r="AH162" s="335"/>
      <c r="AI162" s="335"/>
    </row>
    <row r="163" spans="1:35">
      <c r="A163" s="27"/>
      <c r="B163" s="28"/>
      <c r="C163" s="28"/>
      <c r="D163" s="28"/>
      <c r="E163" s="21"/>
      <c r="F163" s="21"/>
      <c r="G163" s="21"/>
      <c r="H163" s="29"/>
      <c r="J163" s="27"/>
      <c r="K163" s="28"/>
      <c r="L163" s="28"/>
      <c r="M163" s="28"/>
      <c r="N163" s="21"/>
      <c r="O163" s="21"/>
      <c r="P163" s="21"/>
      <c r="Q163" s="29"/>
      <c r="S163" s="27"/>
      <c r="T163" s="28"/>
      <c r="U163" s="28"/>
      <c r="V163" s="28"/>
      <c r="W163" s="21"/>
      <c r="X163" s="21"/>
      <c r="Y163" s="21"/>
      <c r="Z163" s="29"/>
      <c r="AB163" s="27"/>
      <c r="AC163" s="28"/>
      <c r="AD163" s="28"/>
      <c r="AE163" s="28"/>
      <c r="AF163" s="21"/>
      <c r="AG163" s="21"/>
      <c r="AH163" s="21"/>
      <c r="AI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J164" s="27" t="s">
        <v>193</v>
      </c>
      <c r="K164" s="368">
        <v>0</v>
      </c>
      <c r="L164" s="368"/>
      <c r="M164" s="28"/>
      <c r="N164" s="21"/>
      <c r="O164" s="21"/>
      <c r="P164" s="21"/>
      <c r="Q164" s="29"/>
      <c r="S164" s="27" t="s">
        <v>193</v>
      </c>
      <c r="T164" s="368">
        <v>0</v>
      </c>
      <c r="U164" s="368"/>
      <c r="V164" s="28"/>
      <c r="W164" s="21"/>
      <c r="X164" s="21"/>
      <c r="Y164" s="21"/>
      <c r="Z164" s="29"/>
      <c r="AB164" s="27" t="s">
        <v>193</v>
      </c>
      <c r="AC164" s="368">
        <v>0</v>
      </c>
      <c r="AD164" s="368"/>
      <c r="AE164" s="28"/>
      <c r="AF164" s="21"/>
      <c r="AG164" s="21"/>
      <c r="AH164" s="21"/>
      <c r="AI164" s="29"/>
    </row>
    <row r="165" spans="1:35">
      <c r="A165" s="27"/>
      <c r="B165" s="28"/>
      <c r="C165" s="28"/>
      <c r="D165" s="28"/>
      <c r="E165" s="21"/>
      <c r="F165" s="21"/>
      <c r="G165" s="21"/>
      <c r="H165" s="29"/>
      <c r="J165" s="27"/>
      <c r="K165" s="28"/>
      <c r="L165" s="28"/>
      <c r="M165" s="28"/>
      <c r="N165" s="21"/>
      <c r="O165" s="21"/>
      <c r="P165" s="21"/>
      <c r="Q165" s="29"/>
      <c r="S165" s="27"/>
      <c r="T165" s="28"/>
      <c r="U165" s="28"/>
      <c r="V165" s="28"/>
      <c r="W165" s="21"/>
      <c r="X165" s="21"/>
      <c r="Y165" s="21"/>
      <c r="Z165" s="29"/>
      <c r="AB165" s="27"/>
      <c r="AC165" s="28"/>
      <c r="AD165" s="28"/>
      <c r="AE165" s="28"/>
      <c r="AF165" s="21"/>
      <c r="AG165" s="21"/>
      <c r="AH165" s="21"/>
      <c r="AI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  <c r="J166" s="130" t="s">
        <v>194</v>
      </c>
      <c r="K166" s="131" t="s">
        <v>195</v>
      </c>
      <c r="L166" s="131"/>
      <c r="M166" s="131"/>
      <c r="N166" s="131" t="s">
        <v>196</v>
      </c>
      <c r="O166" s="21"/>
      <c r="P166" s="21"/>
      <c r="Q166" s="29"/>
      <c r="S166" s="130" t="s">
        <v>194</v>
      </c>
      <c r="T166" s="131" t="s">
        <v>195</v>
      </c>
      <c r="U166" s="131"/>
      <c r="V166" s="131"/>
      <c r="W166" s="131" t="s">
        <v>196</v>
      </c>
      <c r="X166" s="21"/>
      <c r="Y166" s="21"/>
      <c r="Z166" s="29"/>
      <c r="AB166" s="130" t="s">
        <v>194</v>
      </c>
      <c r="AC166" s="131" t="s">
        <v>195</v>
      </c>
      <c r="AD166" s="131"/>
      <c r="AE166" s="131"/>
      <c r="AF166" s="131" t="s">
        <v>196</v>
      </c>
      <c r="AG166" s="21"/>
      <c r="AH166" s="21"/>
      <c r="AI166" s="29"/>
    </row>
    <row r="167" spans="1:35">
      <c r="A167" s="189">
        <f>B95</f>
        <v>794.48642358063898</v>
      </c>
      <c r="B167" s="133" t="str">
        <f>B94</f>
        <v>0</v>
      </c>
      <c r="C167" s="131"/>
      <c r="D167" s="131"/>
      <c r="E167" s="133">
        <f>B96</f>
        <v>794.48642358063898</v>
      </c>
      <c r="F167" s="21"/>
      <c r="G167" s="21">
        <f>ROUND(G95,2)</f>
        <v>738.58</v>
      </c>
      <c r="H167" s="29"/>
      <c r="J167" s="132" t="e">
        <f>K95</f>
        <v>#VALUE!</v>
      </c>
      <c r="K167" s="133">
        <f>K94</f>
        <v>0</v>
      </c>
      <c r="L167" s="131"/>
      <c r="M167" s="131"/>
      <c r="N167" s="133" t="e">
        <f>K96</f>
        <v>#VALUE!</v>
      </c>
      <c r="O167" s="21"/>
      <c r="P167" s="21"/>
      <c r="Q167" s="29"/>
      <c r="S167" s="132" t="e">
        <f>T95</f>
        <v>#VALUE!</v>
      </c>
      <c r="T167" s="133">
        <f>T94</f>
        <v>0</v>
      </c>
      <c r="U167" s="131"/>
      <c r="V167" s="131"/>
      <c r="W167" s="133" t="e">
        <f>T96</f>
        <v>#VALUE!</v>
      </c>
      <c r="X167" s="21"/>
      <c r="Y167" s="21"/>
      <c r="Z167" s="29"/>
      <c r="AB167" s="132" t="e">
        <f>AC95</f>
        <v>#VALUE!</v>
      </c>
      <c r="AC167" s="133">
        <f>AC94</f>
        <v>0</v>
      </c>
      <c r="AD167" s="131"/>
      <c r="AE167" s="131"/>
      <c r="AF167" s="133" t="e">
        <f>AC96</f>
        <v>#VALUE!</v>
      </c>
      <c r="AG167" s="21"/>
      <c r="AH167" s="21"/>
      <c r="AI167" s="29"/>
    </row>
    <row r="168" spans="1:35">
      <c r="A168" s="27"/>
      <c r="B168" s="28"/>
      <c r="C168" s="28"/>
      <c r="D168" s="28"/>
      <c r="E168" s="21"/>
      <c r="F168" s="21"/>
      <c r="G168" s="21"/>
      <c r="H168" s="29"/>
      <c r="J168" s="27"/>
      <c r="K168" s="28"/>
      <c r="L168" s="28"/>
      <c r="M168" s="28"/>
      <c r="N168" s="21"/>
      <c r="O168" s="21"/>
      <c r="P168" s="21"/>
      <c r="Q168" s="29"/>
      <c r="S168" s="27"/>
      <c r="T168" s="28"/>
      <c r="U168" s="28"/>
      <c r="V168" s="28"/>
      <c r="W168" s="21"/>
      <c r="X168" s="21"/>
      <c r="Y168" s="21"/>
      <c r="Z168" s="29"/>
      <c r="AB168" s="27"/>
      <c r="AC168" s="28"/>
      <c r="AD168" s="28"/>
      <c r="AE168" s="28"/>
      <c r="AF168" s="21"/>
      <c r="AG168" s="21"/>
      <c r="AH168" s="21"/>
      <c r="AI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  <c r="J169" s="27" t="s">
        <v>94</v>
      </c>
      <c r="K169" s="28" t="s">
        <v>95</v>
      </c>
      <c r="L169" s="28"/>
      <c r="M169" s="21"/>
      <c r="N169" s="28" t="s">
        <v>198</v>
      </c>
      <c r="O169" s="21"/>
      <c r="P169" s="21"/>
      <c r="Q169" s="29"/>
      <c r="S169" s="27" t="s">
        <v>94</v>
      </c>
      <c r="T169" s="28" t="s">
        <v>95</v>
      </c>
      <c r="U169" s="28"/>
      <c r="V169" s="21"/>
      <c r="W169" s="28" t="s">
        <v>198</v>
      </c>
      <c r="X169" s="21"/>
      <c r="Y169" s="21"/>
      <c r="Z169" s="29"/>
      <c r="AB169" s="27" t="s">
        <v>94</v>
      </c>
      <c r="AC169" s="28" t="s">
        <v>95</v>
      </c>
      <c r="AD169" s="28"/>
      <c r="AE169" s="21"/>
      <c r="AF169" s="28" t="s">
        <v>198</v>
      </c>
      <c r="AG169" s="21"/>
      <c r="AH169" s="21"/>
      <c r="AI169" s="29"/>
    </row>
    <row r="170" spans="1:35">
      <c r="A170" s="134">
        <f>K29</f>
        <v>36</v>
      </c>
      <c r="B170" s="170">
        <f>K30</f>
        <v>10000</v>
      </c>
      <c r="C170" s="136"/>
      <c r="D170" s="21"/>
      <c r="E170" s="137">
        <f>IF(A111="YES",A40,0)</f>
        <v>0</v>
      </c>
      <c r="F170" s="21"/>
      <c r="G170" s="21"/>
      <c r="H170" s="29"/>
      <c r="J170" s="134">
        <f>K29</f>
        <v>36</v>
      </c>
      <c r="K170" s="135">
        <f>K30</f>
        <v>10000</v>
      </c>
      <c r="L170" s="136"/>
      <c r="M170" s="21"/>
      <c r="N170" s="137">
        <f>IF(A111="YES",A40,0)</f>
        <v>0</v>
      </c>
      <c r="O170" s="21"/>
      <c r="P170" s="21"/>
      <c r="Q170" s="29"/>
      <c r="S170" s="134">
        <f>K29</f>
        <v>36</v>
      </c>
      <c r="T170" s="135">
        <f>K30</f>
        <v>10000</v>
      </c>
      <c r="U170" s="136"/>
      <c r="V170" s="21"/>
      <c r="W170" s="137">
        <f>IF(A111="YES",A40,0)</f>
        <v>0</v>
      </c>
      <c r="X170" s="21"/>
      <c r="Y170" s="21"/>
      <c r="Z170" s="29"/>
      <c r="AB170" s="134">
        <f>K29</f>
        <v>36</v>
      </c>
      <c r="AC170" s="135">
        <f>K30</f>
        <v>10000</v>
      </c>
      <c r="AD170" s="136"/>
      <c r="AE170" s="21"/>
      <c r="AF170" s="137">
        <f>IF(A111="YES",A40,0)</f>
        <v>0</v>
      </c>
      <c r="AG170" s="21"/>
      <c r="AH170" s="21"/>
      <c r="AI170" s="29"/>
    </row>
    <row r="171" spans="1:35">
      <c r="A171" s="27"/>
      <c r="B171" s="28"/>
      <c r="C171" s="28"/>
      <c r="D171" s="21"/>
      <c r="E171" s="28"/>
      <c r="F171" s="21"/>
      <c r="G171" s="21"/>
      <c r="H171" s="29"/>
      <c r="J171" s="27"/>
      <c r="K171" s="28"/>
      <c r="L171" s="28"/>
      <c r="M171" s="21"/>
      <c r="N171" s="28"/>
      <c r="O171" s="21"/>
      <c r="P171" s="21"/>
      <c r="Q171" s="29"/>
      <c r="S171" s="27"/>
      <c r="T171" s="28"/>
      <c r="U171" s="28"/>
      <c r="V171" s="21"/>
      <c r="W171" s="28"/>
      <c r="X171" s="21"/>
      <c r="Y171" s="21"/>
      <c r="Z171" s="29"/>
      <c r="AB171" s="27"/>
      <c r="AC171" s="28"/>
      <c r="AD171" s="28"/>
      <c r="AE171" s="21"/>
      <c r="AF171" s="28"/>
      <c r="AG171" s="21"/>
      <c r="AH171" s="21"/>
      <c r="AI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  <c r="J172" s="27" t="s">
        <v>199</v>
      </c>
      <c r="K172" s="28" t="s">
        <v>200</v>
      </c>
      <c r="L172" s="28"/>
      <c r="M172" s="21"/>
      <c r="N172" s="28" t="s">
        <v>201</v>
      </c>
      <c r="O172" s="21"/>
      <c r="P172" s="21"/>
      <c r="Q172" s="29"/>
      <c r="S172" s="27" t="s">
        <v>199</v>
      </c>
      <c r="T172" s="28" t="s">
        <v>200</v>
      </c>
      <c r="U172" s="28"/>
      <c r="V172" s="21"/>
      <c r="W172" s="28" t="s">
        <v>201</v>
      </c>
      <c r="X172" s="21"/>
      <c r="Y172" s="21"/>
      <c r="Z172" s="29"/>
      <c r="AB172" s="27" t="s">
        <v>199</v>
      </c>
      <c r="AC172" s="28" t="s">
        <v>200</v>
      </c>
      <c r="AD172" s="28"/>
      <c r="AE172" s="21"/>
      <c r="AF172" s="28" t="s">
        <v>201</v>
      </c>
      <c r="AG172" s="21"/>
      <c r="AH172" s="21"/>
      <c r="AI172" s="29"/>
    </row>
    <row r="173" spans="1:35">
      <c r="A173" s="138">
        <f>H141-H137-H139-H140</f>
        <v>20416.669999999998</v>
      </c>
      <c r="B173" s="34">
        <f>H137</f>
        <v>4083.3339999999998</v>
      </c>
      <c r="C173" s="38"/>
      <c r="D173" s="21"/>
      <c r="E173" s="137">
        <f>H139+H140</f>
        <v>0</v>
      </c>
      <c r="F173" s="21"/>
      <c r="G173" s="21"/>
      <c r="H173" s="29"/>
      <c r="J173" s="138" t="e">
        <f>Q141-Q137-Q139-Q140</f>
        <v>#VALUE!</v>
      </c>
      <c r="K173" s="34" t="e">
        <f>Q137</f>
        <v>#VALUE!</v>
      </c>
      <c r="L173" s="38"/>
      <c r="M173" s="21"/>
      <c r="N173" s="137">
        <f>Q139+Q140</f>
        <v>55</v>
      </c>
      <c r="O173" s="21"/>
      <c r="P173" s="21"/>
      <c r="Q173" s="29"/>
      <c r="S173" s="138" t="e">
        <f>Z141-Z137-Z139-Z140</f>
        <v>#VALUE!</v>
      </c>
      <c r="T173" s="34" t="e">
        <f>Z137</f>
        <v>#VALUE!</v>
      </c>
      <c r="U173" s="38"/>
      <c r="V173" s="21"/>
      <c r="W173" s="137">
        <f>Z139+Z140</f>
        <v>55</v>
      </c>
      <c r="X173" s="21"/>
      <c r="Y173" s="21"/>
      <c r="Z173" s="29"/>
      <c r="AB173" s="138" t="e">
        <f>AI141-AI137-AI139-AI140</f>
        <v>#VALUE!</v>
      </c>
      <c r="AC173" s="34" t="e">
        <f>AI137</f>
        <v>#VALUE!</v>
      </c>
      <c r="AD173" s="38"/>
      <c r="AE173" s="21"/>
      <c r="AF173" s="137">
        <f>AI139+AI140</f>
        <v>55</v>
      </c>
      <c r="AG173" s="21"/>
      <c r="AH173" s="21"/>
      <c r="AI173" s="29"/>
    </row>
    <row r="174" spans="1:35">
      <c r="A174" s="27"/>
      <c r="B174" s="28"/>
      <c r="C174" s="28"/>
      <c r="D174" s="21"/>
      <c r="E174" s="28"/>
      <c r="F174" s="21"/>
      <c r="G174" s="21"/>
      <c r="H174" s="29"/>
      <c r="J174" s="27"/>
      <c r="K174" s="28"/>
      <c r="L174" s="28"/>
      <c r="M174" s="21"/>
      <c r="N174" s="28"/>
      <c r="O174" s="21"/>
      <c r="P174" s="21"/>
      <c r="Q174" s="29"/>
      <c r="S174" s="27"/>
      <c r="T174" s="28"/>
      <c r="U174" s="28"/>
      <c r="V174" s="21"/>
      <c r="W174" s="28"/>
      <c r="X174" s="21"/>
      <c r="Y174" s="21"/>
      <c r="Z174" s="29"/>
      <c r="AB174" s="27"/>
      <c r="AC174" s="28"/>
      <c r="AD174" s="28"/>
      <c r="AE174" s="21"/>
      <c r="AF174" s="28"/>
      <c r="AG174" s="21"/>
      <c r="AH174" s="21"/>
      <c r="AI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  <c r="J175" s="27" t="s">
        <v>202</v>
      </c>
      <c r="K175" s="28" t="s">
        <v>148</v>
      </c>
      <c r="L175" s="28"/>
      <c r="M175" s="21"/>
      <c r="N175" s="28" t="s">
        <v>149</v>
      </c>
      <c r="O175" s="21"/>
      <c r="P175" s="21"/>
      <c r="Q175" s="29"/>
      <c r="S175" s="27" t="s">
        <v>202</v>
      </c>
      <c r="T175" s="28" t="s">
        <v>148</v>
      </c>
      <c r="U175" s="28"/>
      <c r="V175" s="21"/>
      <c r="W175" s="28" t="s">
        <v>149</v>
      </c>
      <c r="X175" s="21"/>
      <c r="Y175" s="21"/>
      <c r="Z175" s="29"/>
      <c r="AB175" s="27" t="s">
        <v>202</v>
      </c>
      <c r="AC175" s="28" t="s">
        <v>148</v>
      </c>
      <c r="AD175" s="28"/>
      <c r="AE175" s="21"/>
      <c r="AF175" s="28" t="s">
        <v>149</v>
      </c>
      <c r="AG175" s="21"/>
      <c r="AH175" s="21"/>
      <c r="AI175" s="29"/>
    </row>
    <row r="176" spans="1:35">
      <c r="A176" s="138">
        <f>H147</f>
        <v>24500.003999999997</v>
      </c>
      <c r="B176" s="34">
        <f>B111</f>
        <v>1000</v>
      </c>
      <c r="C176" s="34"/>
      <c r="D176" s="21"/>
      <c r="E176" s="34">
        <f>E111</f>
        <v>1000</v>
      </c>
      <c r="F176" s="21"/>
      <c r="G176" s="21"/>
      <c r="H176" s="90"/>
      <c r="J176" s="138" t="e">
        <f>Q141</f>
        <v>#VALUE!</v>
      </c>
      <c r="K176" s="34">
        <f>K111</f>
        <v>1000</v>
      </c>
      <c r="L176" s="34"/>
      <c r="M176" s="21"/>
      <c r="N176" s="34">
        <f>N111</f>
        <v>0</v>
      </c>
      <c r="O176" s="21"/>
      <c r="P176" s="21"/>
      <c r="Q176" s="90"/>
      <c r="S176" s="138" t="e">
        <f>Z141</f>
        <v>#VALUE!</v>
      </c>
      <c r="T176" s="34">
        <f>T111</f>
        <v>1000</v>
      </c>
      <c r="U176" s="34"/>
      <c r="V176" s="21"/>
      <c r="W176" s="34">
        <f>W111</f>
        <v>0</v>
      </c>
      <c r="X176" s="21"/>
      <c r="Y176" s="21"/>
      <c r="Z176" s="90"/>
      <c r="AB176" s="138" t="e">
        <f>AI141</f>
        <v>#VALUE!</v>
      </c>
      <c r="AC176" s="34">
        <f>AC111</f>
        <v>1000</v>
      </c>
      <c r="AD176" s="34"/>
      <c r="AE176" s="21"/>
      <c r="AF176" s="34">
        <f>AF111</f>
        <v>0</v>
      </c>
      <c r="AG176" s="21"/>
      <c r="AH176" s="21"/>
      <c r="AI176" s="90"/>
    </row>
    <row r="177" spans="1:35">
      <c r="A177" s="27"/>
      <c r="B177" s="28"/>
      <c r="C177" s="28"/>
      <c r="D177" s="21"/>
      <c r="E177" s="28"/>
      <c r="F177" s="21"/>
      <c r="G177" s="21"/>
      <c r="H177" s="29"/>
      <c r="J177" s="27"/>
      <c r="K177" s="28"/>
      <c r="L177" s="28"/>
      <c r="M177" s="21"/>
      <c r="N177" s="28"/>
      <c r="O177" s="21"/>
      <c r="P177" s="21"/>
      <c r="Q177" s="29"/>
      <c r="S177" s="27"/>
      <c r="T177" s="28"/>
      <c r="U177" s="28"/>
      <c r="V177" s="21"/>
      <c r="W177" s="28"/>
      <c r="X177" s="21"/>
      <c r="Y177" s="21"/>
      <c r="Z177" s="29"/>
      <c r="AB177" s="27"/>
      <c r="AC177" s="28"/>
      <c r="AD177" s="28"/>
      <c r="AE177" s="21"/>
      <c r="AF177" s="28"/>
      <c r="AG177" s="21"/>
      <c r="AH177" s="21"/>
      <c r="AI177" s="29"/>
    </row>
    <row r="178" spans="1:35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  <c r="J178" s="27" t="s">
        <v>150</v>
      </c>
      <c r="K178" s="28" t="s">
        <v>185</v>
      </c>
      <c r="L178" s="28"/>
      <c r="M178" s="21"/>
      <c r="N178" s="28" t="s">
        <v>191</v>
      </c>
      <c r="O178" s="21"/>
      <c r="P178" s="21"/>
      <c r="Q178" s="29"/>
      <c r="S178" s="27" t="s">
        <v>150</v>
      </c>
      <c r="T178" s="28" t="s">
        <v>185</v>
      </c>
      <c r="U178" s="28"/>
      <c r="V178" s="21"/>
      <c r="W178" s="28" t="s">
        <v>191</v>
      </c>
      <c r="X178" s="21"/>
      <c r="Y178" s="21"/>
      <c r="Z178" s="29"/>
      <c r="AB178" s="27" t="s">
        <v>150</v>
      </c>
      <c r="AC178" s="28" t="s">
        <v>185</v>
      </c>
      <c r="AD178" s="28"/>
      <c r="AE178" s="21"/>
      <c r="AF178" s="28" t="s">
        <v>191</v>
      </c>
      <c r="AG178" s="21"/>
      <c r="AH178" s="21"/>
      <c r="AI178" s="29"/>
    </row>
    <row r="179" spans="1:35">
      <c r="A179" s="94">
        <f>B176+E176</f>
        <v>2000</v>
      </c>
      <c r="B179" s="34">
        <f>G154</f>
        <v>0</v>
      </c>
      <c r="C179" s="34"/>
      <c r="D179" s="21"/>
      <c r="E179" s="34">
        <f>G158</f>
        <v>23920.003999999997</v>
      </c>
      <c r="F179" s="21"/>
      <c r="G179" s="21"/>
      <c r="H179" s="90"/>
      <c r="J179" s="94">
        <f>K176+N176</f>
        <v>1000</v>
      </c>
      <c r="K179" s="34">
        <f>P154</f>
        <v>-2000</v>
      </c>
      <c r="L179" s="34"/>
      <c r="M179" s="21"/>
      <c r="N179" s="34" t="e">
        <f>J176-J179-K179</f>
        <v>#VALUE!</v>
      </c>
      <c r="O179" s="21"/>
      <c r="P179" s="21"/>
      <c r="Q179" s="90"/>
      <c r="S179" s="94">
        <f>T176+W176</f>
        <v>1000</v>
      </c>
      <c r="T179" s="34">
        <f>Y154</f>
        <v>-2000</v>
      </c>
      <c r="U179" s="34"/>
      <c r="V179" s="21"/>
      <c r="W179" s="34" t="e">
        <f>S176-S179-T179</f>
        <v>#VALUE!</v>
      </c>
      <c r="X179" s="21"/>
      <c r="Y179" s="21"/>
      <c r="Z179" s="90"/>
      <c r="AB179" s="94">
        <f>AC176+AF176</f>
        <v>1000</v>
      </c>
      <c r="AC179" s="34">
        <f>AH154</f>
        <v>-2000</v>
      </c>
      <c r="AD179" s="34"/>
      <c r="AE179" s="21"/>
      <c r="AF179" s="34" t="e">
        <f>AB176-AB179-AC179</f>
        <v>#VALUE!</v>
      </c>
      <c r="AG179" s="21"/>
      <c r="AH179" s="21"/>
      <c r="AI179" s="90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  <c r="J181" s="27" t="s">
        <v>203</v>
      </c>
      <c r="K181" s="28" t="s">
        <v>66</v>
      </c>
      <c r="L181" s="28"/>
      <c r="M181" s="21"/>
      <c r="N181" s="28" t="s">
        <v>204</v>
      </c>
      <c r="O181" s="21"/>
      <c r="P181" s="21"/>
      <c r="Q181" s="29"/>
      <c r="S181" s="27" t="s">
        <v>203</v>
      </c>
      <c r="T181" s="28" t="s">
        <v>66</v>
      </c>
      <c r="U181" s="28"/>
      <c r="V181" s="21"/>
      <c r="W181" s="28" t="s">
        <v>204</v>
      </c>
      <c r="X181" s="21"/>
      <c r="Y181" s="21"/>
      <c r="Z181" s="29"/>
      <c r="AB181" s="27" t="s">
        <v>203</v>
      </c>
      <c r="AC181" s="28" t="s">
        <v>66</v>
      </c>
      <c r="AD181" s="28"/>
      <c r="AE181" s="21"/>
      <c r="AF181" s="28" t="s">
        <v>204</v>
      </c>
      <c r="AG181" s="21"/>
      <c r="AH181" s="21"/>
      <c r="AI181" s="29"/>
    </row>
    <row r="182" spans="1:35">
      <c r="A182" s="94">
        <f>(A167*B59)+E185-E179-A185</f>
        <v>4681.5072489030063</v>
      </c>
      <c r="B182" s="34">
        <f>B114</f>
        <v>1000</v>
      </c>
      <c r="C182" s="34"/>
      <c r="D182" s="21"/>
      <c r="E182" s="34">
        <f>E179+A182+B182+A185</f>
        <v>29611.511248903003</v>
      </c>
      <c r="F182" s="21"/>
      <c r="G182" s="21"/>
      <c r="H182" s="90"/>
      <c r="J182" s="94" t="e">
        <f>(J167*K59)+N185-N179-J185</f>
        <v>#VALUE!</v>
      </c>
      <c r="K182" s="34">
        <f>K114</f>
        <v>239.99</v>
      </c>
      <c r="L182" s="34"/>
      <c r="M182" s="21"/>
      <c r="N182" s="34" t="e">
        <f>N179+J182+K182+J185</f>
        <v>#VALUE!</v>
      </c>
      <c r="O182" s="21"/>
      <c r="P182" s="21"/>
      <c r="Q182" s="90"/>
      <c r="S182" s="94" t="e">
        <f>(S167*T59)+W185-W179-S185</f>
        <v>#VALUE!</v>
      </c>
      <c r="T182" s="34">
        <f>T114</f>
        <v>199.99</v>
      </c>
      <c r="U182" s="34"/>
      <c r="V182" s="21"/>
      <c r="W182" s="34" t="e">
        <f>W179+S182+T182+S185</f>
        <v>#VALUE!</v>
      </c>
      <c r="X182" s="21"/>
      <c r="Y182" s="21"/>
      <c r="Z182" s="90"/>
      <c r="AB182" s="94" t="e">
        <f>(AB167*AC59)+AF185-AF179-AB185</f>
        <v>#VALUE!</v>
      </c>
      <c r="AC182" s="34">
        <f>AC114</f>
        <v>239.99</v>
      </c>
      <c r="AD182" s="34"/>
      <c r="AE182" s="21"/>
      <c r="AF182" s="34" t="e">
        <f>AF179+AB182+AC182+AB185</f>
        <v>#VALUE!</v>
      </c>
      <c r="AG182" s="21"/>
      <c r="AH182" s="21"/>
      <c r="AI182" s="90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  <c r="J184" s="27" t="s">
        <v>205</v>
      </c>
      <c r="K184" s="28" t="s">
        <v>206</v>
      </c>
      <c r="L184" s="28"/>
      <c r="M184" s="21"/>
      <c r="N184" s="28" t="s">
        <v>207</v>
      </c>
      <c r="O184" s="21"/>
      <c r="P184" s="21"/>
      <c r="Q184" s="29"/>
      <c r="S184" s="27" t="s">
        <v>205</v>
      </c>
      <c r="T184" s="28" t="s">
        <v>206</v>
      </c>
      <c r="U184" s="28"/>
      <c r="V184" s="21"/>
      <c r="W184" s="28" t="s">
        <v>207</v>
      </c>
      <c r="X184" s="21"/>
      <c r="Y184" s="21"/>
      <c r="Z184" s="29"/>
      <c r="AB184" s="27" t="s">
        <v>205</v>
      </c>
      <c r="AC184" s="28" t="s">
        <v>206</v>
      </c>
      <c r="AD184" s="28"/>
      <c r="AE184" s="21"/>
      <c r="AF184" s="28" t="s">
        <v>207</v>
      </c>
      <c r="AG184" s="21"/>
      <c r="AH184" s="21"/>
      <c r="AI184" s="29"/>
    </row>
    <row r="185" spans="1:35">
      <c r="A185" s="94">
        <f>B60</f>
        <v>10</v>
      </c>
      <c r="B185" s="34">
        <f>A179+(B182)</f>
        <v>3000</v>
      </c>
      <c r="C185" s="34"/>
      <c r="D185" s="21"/>
      <c r="E185" s="34">
        <f>IF(A40=0,(E167+A185),(E170+A185))</f>
        <v>804.48642358063898</v>
      </c>
      <c r="F185" s="21"/>
      <c r="G185" s="21"/>
      <c r="H185" s="90"/>
      <c r="J185" s="94">
        <f>K60</f>
        <v>20</v>
      </c>
      <c r="K185" s="34">
        <f>J179+K182</f>
        <v>1239.99</v>
      </c>
      <c r="L185" s="34"/>
      <c r="M185" s="21"/>
      <c r="N185" s="34">
        <f>N170+J185</f>
        <v>20</v>
      </c>
      <c r="O185" s="21"/>
      <c r="P185" s="21"/>
      <c r="Q185" s="90"/>
      <c r="S185" s="94">
        <f>T60</f>
        <v>10</v>
      </c>
      <c r="T185" s="34">
        <f>S179+T182</f>
        <v>1199.99</v>
      </c>
      <c r="U185" s="34"/>
      <c r="V185" s="21"/>
      <c r="W185" s="34">
        <f>W170+S185</f>
        <v>10</v>
      </c>
      <c r="X185" s="21"/>
      <c r="Y185" s="21"/>
      <c r="Z185" s="90"/>
      <c r="AB185" s="94">
        <f>AC60</f>
        <v>10</v>
      </c>
      <c r="AC185" s="34">
        <f>AB179+AC182</f>
        <v>1239.99</v>
      </c>
      <c r="AD185" s="34"/>
      <c r="AE185" s="21"/>
      <c r="AF185" s="34">
        <f>AF170+AB185</f>
        <v>10</v>
      </c>
      <c r="AG185" s="21"/>
      <c r="AH185" s="21"/>
      <c r="AI185" s="90"/>
    </row>
    <row r="186" spans="1:35">
      <c r="A186" s="27"/>
      <c r="B186" s="28"/>
      <c r="C186" s="28"/>
      <c r="D186" s="28"/>
      <c r="E186" s="21"/>
      <c r="F186" s="21"/>
      <c r="G186" s="21"/>
      <c r="H186" s="29"/>
      <c r="J186" s="27"/>
      <c r="K186" s="28"/>
      <c r="L186" s="28"/>
      <c r="M186" s="28"/>
      <c r="N186" s="21"/>
      <c r="O186" s="21"/>
      <c r="P186" s="21"/>
      <c r="Q186" s="29"/>
      <c r="S186" s="27"/>
      <c r="T186" s="28"/>
      <c r="U186" s="28"/>
      <c r="V186" s="28"/>
      <c r="W186" s="21"/>
      <c r="X186" s="28"/>
      <c r="Y186" s="28"/>
      <c r="Z186" s="29"/>
      <c r="AB186" s="27"/>
      <c r="AC186" s="28"/>
      <c r="AD186" s="28"/>
      <c r="AE186" s="28"/>
      <c r="AF186" s="21"/>
      <c r="AG186" s="21"/>
      <c r="AH186" s="21"/>
      <c r="AI186" s="29"/>
    </row>
    <row r="187" spans="1:35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  <c r="J187" s="27" t="s">
        <v>208</v>
      </c>
      <c r="K187" s="28" t="s">
        <v>209</v>
      </c>
      <c r="L187" s="28"/>
      <c r="M187" s="28"/>
      <c r="N187" s="35" t="s">
        <v>210</v>
      </c>
      <c r="O187" s="21"/>
      <c r="P187" s="21"/>
      <c r="Q187" s="29"/>
      <c r="S187" s="27" t="s">
        <v>208</v>
      </c>
      <c r="T187" s="28" t="s">
        <v>209</v>
      </c>
      <c r="U187" s="28"/>
      <c r="V187" s="28"/>
      <c r="W187" s="35" t="s">
        <v>210</v>
      </c>
      <c r="X187" s="28"/>
      <c r="Y187" s="28"/>
      <c r="Z187" s="29"/>
      <c r="AB187" s="27" t="s">
        <v>208</v>
      </c>
      <c r="AC187" s="28" t="s">
        <v>209</v>
      </c>
      <c r="AD187" s="28"/>
      <c r="AE187" s="28"/>
      <c r="AF187" s="35" t="s">
        <v>210</v>
      </c>
      <c r="AG187" s="28"/>
      <c r="AH187" s="28"/>
      <c r="AI187" s="29"/>
    </row>
    <row r="188" spans="1:35">
      <c r="A188" s="94">
        <f>IF(E105="YES",B61*0.000002,0)*100*1.2</f>
        <v>0</v>
      </c>
      <c r="B188" s="34">
        <f>(G158*B67)</f>
        <v>717.60011999999983</v>
      </c>
      <c r="C188" s="28"/>
      <c r="D188" s="28"/>
      <c r="E188" s="34">
        <f>(E40*A108)*0.1*(C45/100)</f>
        <v>0</v>
      </c>
      <c r="F188" s="21"/>
      <c r="G188" s="21"/>
      <c r="H188" s="29"/>
      <c r="J188" s="94">
        <f>IF(N105="YES",H15*0.000002,0)</f>
        <v>0</v>
      </c>
      <c r="K188" s="34" t="e">
        <f>(P158*K67)/1.2</f>
        <v>#VALUE!</v>
      </c>
      <c r="L188" s="28"/>
      <c r="M188" s="28"/>
      <c r="N188" s="34">
        <f>(E40*J108)*0.1</f>
        <v>0</v>
      </c>
      <c r="O188" s="21"/>
      <c r="P188" s="21"/>
      <c r="Q188" s="29"/>
      <c r="S188" s="94">
        <f>IF(W105="YES",Z15*0.000002,0)</f>
        <v>0</v>
      </c>
      <c r="T188" s="34" t="e">
        <f>(Y158*T67)/1.2</f>
        <v>#VALUE!</v>
      </c>
      <c r="U188" s="28"/>
      <c r="V188" s="28"/>
      <c r="W188" s="34">
        <f>(E40*S108)*0.1</f>
        <v>0</v>
      </c>
      <c r="X188" s="28"/>
      <c r="Y188" s="28"/>
      <c r="Z188" s="29"/>
      <c r="AB188" s="94">
        <f>IF(AF105="YES",AI15*0.000002,0)</f>
        <v>0</v>
      </c>
      <c r="AC188" s="34" t="e">
        <f>(AH158*AC67)/1.2</f>
        <v>#VALUE!</v>
      </c>
      <c r="AD188" s="28"/>
      <c r="AE188" s="28"/>
      <c r="AF188" s="34">
        <f>(E40*AB108)*0.1</f>
        <v>0</v>
      </c>
      <c r="AG188" s="28"/>
      <c r="AH188" s="28"/>
      <c r="AI188" s="29"/>
    </row>
    <row r="189" spans="1:35">
      <c r="A189" s="94"/>
      <c r="B189" s="34"/>
      <c r="C189" s="28"/>
      <c r="D189" s="28"/>
      <c r="E189" s="21"/>
      <c r="F189" s="21"/>
      <c r="G189" s="21"/>
      <c r="H189" s="29"/>
      <c r="J189" s="94"/>
      <c r="K189" s="34"/>
      <c r="L189" s="28"/>
      <c r="M189" s="28"/>
      <c r="N189" s="21"/>
      <c r="O189" s="21"/>
      <c r="P189" s="21"/>
      <c r="Q189" s="29"/>
      <c r="S189" s="94"/>
      <c r="T189" s="34"/>
      <c r="U189" s="28"/>
      <c r="V189" s="28"/>
      <c r="W189" s="21"/>
      <c r="X189" s="28"/>
      <c r="Y189" s="28"/>
      <c r="Z189" s="29"/>
      <c r="AB189" s="94"/>
      <c r="AC189" s="34"/>
      <c r="AD189" s="28"/>
      <c r="AE189" s="28"/>
      <c r="AF189" s="21"/>
      <c r="AG189" s="28"/>
      <c r="AH189" s="28"/>
      <c r="AI189" s="29"/>
    </row>
    <row r="190" spans="1:35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  <c r="J190" s="53" t="s">
        <v>211</v>
      </c>
      <c r="K190" s="35" t="s">
        <v>212</v>
      </c>
      <c r="L190" s="28"/>
      <c r="M190" s="28"/>
      <c r="N190" s="35" t="s">
        <v>213</v>
      </c>
      <c r="O190" s="21"/>
      <c r="P190" s="21"/>
      <c r="Q190" s="29"/>
      <c r="S190" s="53" t="s">
        <v>211</v>
      </c>
      <c r="T190" s="35" t="s">
        <v>212</v>
      </c>
      <c r="U190" s="28"/>
      <c r="V190" s="28"/>
      <c r="W190" s="35" t="s">
        <v>213</v>
      </c>
      <c r="X190" s="28"/>
      <c r="Y190" s="28"/>
      <c r="Z190" s="29"/>
      <c r="AB190" s="53" t="s">
        <v>211</v>
      </c>
      <c r="AC190" s="35" t="s">
        <v>212</v>
      </c>
      <c r="AD190" s="28"/>
      <c r="AE190" s="28"/>
      <c r="AF190" s="35" t="s">
        <v>213</v>
      </c>
      <c r="AG190" s="28"/>
      <c r="AH190" s="28"/>
      <c r="AI190" s="29"/>
    </row>
    <row r="191" spans="1:35">
      <c r="A191" s="94">
        <f>B182/1.2-100</f>
        <v>733.33333333333337</v>
      </c>
      <c r="B191" s="34">
        <f>B188+E188+A191</f>
        <v>1450.9334533333331</v>
      </c>
      <c r="C191" s="28"/>
      <c r="D191" s="28"/>
      <c r="E191" s="34">
        <f>H148</f>
        <v>1916.6699999999973</v>
      </c>
      <c r="F191" s="21"/>
      <c r="G191" s="21"/>
      <c r="H191" s="29"/>
      <c r="J191" s="94">
        <f>K185-100</f>
        <v>1139.99</v>
      </c>
      <c r="K191" s="34" t="e">
        <f>K188+N188+J191</f>
        <v>#VALUE!</v>
      </c>
      <c r="L191" s="28"/>
      <c r="M191" s="28"/>
      <c r="N191" s="34" t="e">
        <f>Q148</f>
        <v>#VALUE!</v>
      </c>
      <c r="O191" s="21"/>
      <c r="P191" s="21"/>
      <c r="Q191" s="29"/>
      <c r="S191" s="94">
        <f>T185-100</f>
        <v>1099.99</v>
      </c>
      <c r="T191" s="34" t="e">
        <f>T188+W188+S191</f>
        <v>#VALUE!</v>
      </c>
      <c r="U191" s="28"/>
      <c r="V191" s="28"/>
      <c r="W191" s="34" t="e">
        <f>Z148</f>
        <v>#VALUE!</v>
      </c>
      <c r="X191" s="28"/>
      <c r="Y191" s="28"/>
      <c r="Z191" s="29"/>
      <c r="AB191" s="94">
        <f>AC185-100</f>
        <v>1139.99</v>
      </c>
      <c r="AC191" s="34" t="e">
        <f>AC188+AF188+AB191</f>
        <v>#VALUE!</v>
      </c>
      <c r="AD191" s="28"/>
      <c r="AE191" s="28"/>
      <c r="AF191" s="34" t="e">
        <f>AI148</f>
        <v>#VALUE!</v>
      </c>
      <c r="AG191" s="28"/>
      <c r="AH191" s="28"/>
      <c r="AI191" s="29"/>
    </row>
    <row r="192" spans="1:35">
      <c r="A192" s="27"/>
      <c r="B192" s="28"/>
      <c r="C192" s="28"/>
      <c r="D192" s="28"/>
      <c r="E192" s="21"/>
      <c r="F192" s="21"/>
      <c r="G192" s="21"/>
      <c r="H192" s="29"/>
      <c r="J192" s="27"/>
      <c r="K192" s="28"/>
      <c r="L192" s="28"/>
      <c r="M192" s="28"/>
      <c r="N192" s="21"/>
      <c r="O192" s="21"/>
      <c r="P192" s="21"/>
      <c r="Q192" s="29"/>
      <c r="S192" s="27"/>
      <c r="T192" s="28"/>
      <c r="U192" s="28"/>
      <c r="V192" s="28"/>
      <c r="W192" s="21"/>
      <c r="X192" s="21"/>
      <c r="Y192" s="21"/>
      <c r="Z192" s="29"/>
      <c r="AB192" s="27"/>
      <c r="AC192" s="28"/>
      <c r="AD192" s="28"/>
      <c r="AE192" s="28"/>
      <c r="AF192" s="21"/>
      <c r="AG192" s="21"/>
      <c r="AH192" s="21"/>
      <c r="AI192" s="29"/>
    </row>
    <row r="193" spans="1:35">
      <c r="A193" s="58" t="s">
        <v>214</v>
      </c>
      <c r="B193" s="28"/>
      <c r="C193" s="28"/>
      <c r="D193" s="59"/>
      <c r="E193" s="59"/>
      <c r="F193" s="59"/>
      <c r="G193" s="59"/>
      <c r="H193" s="60"/>
      <c r="J193" s="58" t="s">
        <v>214</v>
      </c>
      <c r="K193" s="28"/>
      <c r="L193" s="28"/>
      <c r="M193" s="59"/>
      <c r="N193" s="59"/>
      <c r="O193" s="59"/>
      <c r="P193" s="59"/>
      <c r="Q193" s="60"/>
      <c r="S193" s="58" t="s">
        <v>214</v>
      </c>
      <c r="T193" s="28"/>
      <c r="U193" s="28"/>
      <c r="V193" s="59"/>
      <c r="W193" s="59"/>
      <c r="X193" s="59"/>
      <c r="Y193" s="59"/>
      <c r="Z193" s="60"/>
      <c r="AB193" s="58" t="s">
        <v>214</v>
      </c>
      <c r="AC193" s="28"/>
      <c r="AD193" s="28"/>
      <c r="AE193" s="59"/>
      <c r="AF193" s="59"/>
      <c r="AG193" s="59"/>
      <c r="AH193" s="59"/>
      <c r="AI193" s="60"/>
    </row>
    <row r="194" spans="1:35">
      <c r="A194" s="27"/>
      <c r="B194" s="61"/>
      <c r="C194" s="61"/>
      <c r="D194" s="28"/>
      <c r="E194" s="21"/>
      <c r="F194" s="21"/>
      <c r="G194" s="21"/>
      <c r="H194" s="29"/>
      <c r="J194" s="27"/>
      <c r="K194" s="61"/>
      <c r="L194" s="61"/>
      <c r="M194" s="28"/>
      <c r="N194" s="21"/>
      <c r="O194" s="21"/>
      <c r="P194" s="21"/>
      <c r="Q194" s="29"/>
      <c r="S194" s="27"/>
      <c r="T194" s="61"/>
      <c r="U194" s="61"/>
      <c r="V194" s="28"/>
      <c r="W194" s="21"/>
      <c r="X194" s="21"/>
      <c r="Y194" s="21"/>
      <c r="Z194" s="29"/>
      <c r="AB194" s="27"/>
      <c r="AC194" s="61"/>
      <c r="AD194" s="61"/>
      <c r="AE194" s="28"/>
      <c r="AF194" s="21"/>
      <c r="AG194" s="21"/>
      <c r="AH194" s="21"/>
      <c r="AI194" s="29"/>
    </row>
    <row r="195" spans="1:35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69" t="s">
        <v>94</v>
      </c>
      <c r="K195" s="341" t="s">
        <v>95</v>
      </c>
      <c r="L195" s="341"/>
      <c r="M195" s="341"/>
      <c r="N195" s="21"/>
      <c r="O195" s="21"/>
      <c r="P195" s="21"/>
      <c r="Q195" s="29"/>
      <c r="S195" s="369" t="s">
        <v>94</v>
      </c>
      <c r="T195" s="341" t="s">
        <v>95</v>
      </c>
      <c r="U195" s="341"/>
      <c r="V195" s="341"/>
      <c r="W195" s="21"/>
      <c r="X195" s="21"/>
      <c r="Y195" s="21"/>
      <c r="Z195" s="29"/>
      <c r="AB195" s="369" t="s">
        <v>94</v>
      </c>
      <c r="AC195" s="341" t="s">
        <v>95</v>
      </c>
      <c r="AD195" s="341"/>
      <c r="AE195" s="341"/>
      <c r="AF195" s="21"/>
      <c r="AG195" s="21"/>
      <c r="AH195" s="21"/>
      <c r="AI195" s="29"/>
    </row>
    <row r="196" spans="1:35" ht="19.5" customHeight="1">
      <c r="A196" s="369"/>
      <c r="B196" s="342">
        <f>K30</f>
        <v>10000</v>
      </c>
      <c r="C196" s="342"/>
      <c r="D196" s="342"/>
      <c r="E196" s="21"/>
      <c r="F196" s="21"/>
      <c r="G196" s="21"/>
      <c r="H196" s="29"/>
      <c r="J196" s="369"/>
      <c r="K196" s="342">
        <f>K30</f>
        <v>10000</v>
      </c>
      <c r="L196" s="342"/>
      <c r="M196" s="342"/>
      <c r="N196" s="21"/>
      <c r="O196" s="21"/>
      <c r="P196" s="21"/>
      <c r="Q196" s="29"/>
      <c r="S196" s="369"/>
      <c r="T196" s="342">
        <f>K30</f>
        <v>10000</v>
      </c>
      <c r="U196" s="342"/>
      <c r="V196" s="342"/>
      <c r="W196" s="21"/>
      <c r="X196" s="21"/>
      <c r="Y196" s="21"/>
      <c r="Z196" s="29"/>
      <c r="AB196" s="369"/>
      <c r="AC196" s="342">
        <f>K30</f>
        <v>10000</v>
      </c>
      <c r="AD196" s="342"/>
      <c r="AE196" s="342"/>
      <c r="AF196" s="21"/>
      <c r="AG196" s="21"/>
      <c r="AH196" s="21"/>
      <c r="AI196" s="29"/>
    </row>
    <row r="197" spans="1:35">
      <c r="A197" s="62">
        <f>K29</f>
        <v>36</v>
      </c>
      <c r="B197" s="343">
        <f>B96</f>
        <v>794.48642358063898</v>
      </c>
      <c r="C197" s="343"/>
      <c r="D197" s="343"/>
      <c r="E197" s="21"/>
      <c r="F197" s="21"/>
      <c r="G197" s="21"/>
      <c r="H197" s="29"/>
      <c r="J197" s="62">
        <f>K29</f>
        <v>36</v>
      </c>
      <c r="K197" s="343" t="e">
        <f>K96</f>
        <v>#VALUE!</v>
      </c>
      <c r="L197" s="343"/>
      <c r="M197" s="343"/>
      <c r="N197" s="21"/>
      <c r="O197" s="21"/>
      <c r="P197" s="21"/>
      <c r="Q197" s="29"/>
      <c r="S197" s="62">
        <f>K29</f>
        <v>36</v>
      </c>
      <c r="T197" s="343" t="e">
        <f>T96</f>
        <v>#VALUE!</v>
      </c>
      <c r="U197" s="343"/>
      <c r="V197" s="343"/>
      <c r="W197" s="21"/>
      <c r="X197" s="21"/>
      <c r="Y197" s="21"/>
      <c r="Z197" s="29"/>
      <c r="AB197" s="62">
        <f>K29</f>
        <v>36</v>
      </c>
      <c r="AC197" s="343" t="e">
        <f>AC96</f>
        <v>#VALUE!</v>
      </c>
      <c r="AD197" s="343"/>
      <c r="AE197" s="343"/>
      <c r="AF197" s="21"/>
      <c r="AG197" s="21"/>
      <c r="AH197" s="21"/>
      <c r="AI197" s="29"/>
    </row>
    <row r="198" spans="1:35">
      <c r="A198" s="27"/>
      <c r="B198" s="28"/>
      <c r="C198" s="28"/>
      <c r="D198" s="28"/>
      <c r="E198" s="21"/>
      <c r="F198" s="21"/>
      <c r="G198" s="21"/>
      <c r="H198" s="29"/>
      <c r="J198" s="27"/>
      <c r="K198" s="28"/>
      <c r="L198" s="28"/>
      <c r="M198" s="28"/>
      <c r="N198" s="21"/>
      <c r="O198" s="21"/>
      <c r="P198" s="21"/>
      <c r="Q198" s="29"/>
      <c r="S198" s="27"/>
      <c r="T198" s="28"/>
      <c r="U198" s="28"/>
      <c r="V198" s="28"/>
      <c r="W198" s="21"/>
      <c r="X198" s="21"/>
      <c r="Y198" s="21"/>
      <c r="Z198" s="29"/>
      <c r="AB198" s="27"/>
      <c r="AC198" s="28"/>
      <c r="AD198" s="28"/>
      <c r="AE198" s="28"/>
      <c r="AF198" s="21"/>
      <c r="AG198" s="21"/>
      <c r="AH198" s="21"/>
      <c r="AI198" s="29"/>
    </row>
    <row r="199" spans="1:35">
      <c r="A199" s="27"/>
      <c r="B199" s="28"/>
      <c r="C199" s="28"/>
      <c r="D199" s="28"/>
      <c r="E199" s="21"/>
      <c r="F199" s="21"/>
      <c r="G199" s="21"/>
      <c r="H199" s="29"/>
      <c r="J199" s="27"/>
      <c r="K199" s="28"/>
      <c r="L199" s="28"/>
      <c r="M199" s="28"/>
      <c r="N199" s="21"/>
      <c r="O199" s="21"/>
      <c r="P199" s="21"/>
      <c r="Q199" s="29"/>
      <c r="S199" s="27"/>
      <c r="T199" s="28"/>
      <c r="U199" s="28"/>
      <c r="V199" s="28"/>
      <c r="W199" s="21"/>
      <c r="X199" s="21"/>
      <c r="Y199" s="21"/>
      <c r="Z199" s="29"/>
      <c r="AB199" s="27"/>
      <c r="AC199" s="28"/>
      <c r="AD199" s="28"/>
      <c r="AE199" s="28"/>
      <c r="AF199" s="21"/>
      <c r="AG199" s="21"/>
      <c r="AH199" s="21"/>
      <c r="AI199" s="29"/>
    </row>
    <row r="200" spans="1:35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  <c r="J200" s="27"/>
      <c r="K200" s="28"/>
      <c r="L200" s="28"/>
      <c r="M200" s="28"/>
      <c r="N200" s="21"/>
      <c r="O200" s="21"/>
      <c r="P200" s="21"/>
      <c r="Q200" s="29"/>
      <c r="S200" s="27"/>
      <c r="T200" s="28"/>
      <c r="U200" s="28"/>
      <c r="V200" s="28"/>
      <c r="W200" s="21"/>
      <c r="X200" s="21"/>
      <c r="Y200" s="21"/>
      <c r="Z200" s="29"/>
      <c r="AB200" s="27"/>
      <c r="AC200" s="28"/>
      <c r="AD200" s="28"/>
      <c r="AE200" s="28"/>
      <c r="AF200" s="21"/>
      <c r="AG200" s="21"/>
      <c r="AH200" s="21"/>
      <c r="AI200" s="29"/>
    </row>
    <row r="201" spans="1:35">
      <c r="A201" s="32">
        <f>IF(A40=0,((G167*(B59+1))-E179),((G167*B59)+E185-E179-A185))</f>
        <v>2668.8760000000038</v>
      </c>
      <c r="B201" s="38">
        <f>E179+A201+B182+A185</f>
        <v>27598.880000000001</v>
      </c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49"/>
      <c r="B202" s="50"/>
      <c r="C202" s="50"/>
      <c r="D202" s="50"/>
      <c r="E202" s="50"/>
      <c r="F202" s="50"/>
      <c r="G202" s="50"/>
      <c r="H202" s="57"/>
      <c r="J202" s="49"/>
      <c r="K202" s="50"/>
      <c r="L202" s="50"/>
      <c r="M202" s="50"/>
      <c r="N202" s="50"/>
      <c r="O202" s="50"/>
      <c r="P202" s="50"/>
      <c r="Q202" s="57"/>
      <c r="S202" s="49"/>
      <c r="T202" s="50"/>
      <c r="U202" s="50"/>
      <c r="V202" s="50"/>
      <c r="W202" s="50"/>
      <c r="X202" s="50"/>
      <c r="Y202" s="50"/>
      <c r="Z202" s="57"/>
      <c r="AB202" s="49"/>
      <c r="AC202" s="50"/>
      <c r="AD202" s="50"/>
      <c r="AE202" s="50"/>
      <c r="AF202" s="50"/>
      <c r="AG202" s="50"/>
      <c r="AH202" s="50"/>
      <c r="AI202" s="57"/>
    </row>
    <row r="206" spans="1:35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5">
      <c r="A207" s="27"/>
      <c r="B207" s="28"/>
      <c r="C207" s="28"/>
      <c r="D207" s="28"/>
      <c r="E207" s="21"/>
      <c r="F207" s="21"/>
      <c r="G207" s="21"/>
      <c r="H207" s="29"/>
    </row>
    <row r="208" spans="1:35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30" t="s">
        <v>279</v>
      </c>
      <c r="B209" s="131">
        <f>A197</f>
        <v>36</v>
      </c>
      <c r="C209" s="131"/>
      <c r="D209" s="131"/>
      <c r="E209" s="131">
        <f>B196</f>
        <v>10000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794.48642358063898</v>
      </c>
      <c r="B212" s="133" t="str">
        <f>B167</f>
        <v>0</v>
      </c>
      <c r="C212" s="131"/>
      <c r="D212" s="131"/>
      <c r="E212" s="133">
        <f>E167</f>
        <v>794.48642358063898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20416.669999999998</v>
      </c>
      <c r="B215" s="34">
        <f>B173</f>
        <v>4083.3339999999998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24500.003999999997</v>
      </c>
      <c r="B218" s="34">
        <f>B176</f>
        <v>1000</v>
      </c>
      <c r="C218" s="34"/>
      <c r="D218" s="21"/>
      <c r="E218" s="34">
        <f>E176</f>
        <v>1000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2000</v>
      </c>
      <c r="B221" s="34">
        <f>B179</f>
        <v>0</v>
      </c>
      <c r="C221" s="34"/>
      <c r="D221" s="21"/>
      <c r="E221" s="34">
        <f>E179</f>
        <v>23920.003999999997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4681.5072489030063</v>
      </c>
      <c r="B224" s="34">
        <f>B182</f>
        <v>1000</v>
      </c>
      <c r="C224" s="34"/>
      <c r="D224" s="21"/>
      <c r="E224" s="34">
        <f>E182</f>
        <v>29611.511248903003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3000</v>
      </c>
      <c r="C227" s="34"/>
      <c r="D227" s="21"/>
      <c r="E227" s="34">
        <f>B59</f>
        <v>35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794.48642358063898</v>
      </c>
      <c r="B230" s="34" t="str">
        <f>B167</f>
        <v>0</v>
      </c>
      <c r="C230" s="38"/>
      <c r="D230" s="38"/>
      <c r="E230" s="34">
        <f>E167</f>
        <v>794.48642358063898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198</v>
      </c>
      <c r="B232" s="28" t="s">
        <v>220</v>
      </c>
      <c r="C232" s="28"/>
      <c r="D232" s="28"/>
      <c r="E232" s="28" t="s">
        <v>221</v>
      </c>
      <c r="F232" s="21"/>
      <c r="G232" s="21"/>
      <c r="H232" s="29"/>
    </row>
    <row r="233" spans="1:8">
      <c r="A233" s="94">
        <f>E170</f>
        <v>0</v>
      </c>
      <c r="B233" s="34">
        <f>E185</f>
        <v>804.48642358063898</v>
      </c>
      <c r="C233" s="28"/>
      <c r="D233" s="28"/>
      <c r="E233" s="34">
        <f>A188</f>
        <v>0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142</v>
      </c>
      <c r="B235" s="34"/>
      <c r="C235" s="28"/>
      <c r="D235" s="28"/>
      <c r="E235" s="34"/>
      <c r="F235" s="21"/>
      <c r="G235" s="21"/>
      <c r="H235" s="29"/>
    </row>
    <row r="236" spans="1:8">
      <c r="A236" s="94"/>
      <c r="B236" s="34"/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1916.6699999999973</v>
      </c>
      <c r="B240" s="34">
        <f>B68</f>
        <v>717.60011999999983</v>
      </c>
      <c r="C240" s="28"/>
      <c r="D240" s="28"/>
      <c r="E240" s="34">
        <f>E188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733.33333333333337</v>
      </c>
      <c r="B243" s="34">
        <f>B240+E240+A243+A240</f>
        <v>3367.6034533333304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K35</f>
        <v>7.0000000000000007E-2</v>
      </c>
      <c r="C253" s="144"/>
      <c r="D253" s="374" t="s">
        <v>226</v>
      </c>
      <c r="E253" s="374"/>
      <c r="F253" s="143">
        <f>B83</f>
        <v>0.12000000000000001</v>
      </c>
      <c r="G253" s="21"/>
      <c r="H253" s="29"/>
    </row>
    <row r="254" spans="1:8">
      <c r="A254" s="139" t="s">
        <v>227</v>
      </c>
      <c r="B254" s="145">
        <f>(E182-B182)-(B201-B182-A185)</f>
        <v>2022.6312489030024</v>
      </c>
      <c r="C254" s="144"/>
      <c r="D254" s="374" t="s">
        <v>228</v>
      </c>
      <c r="E254" s="374"/>
      <c r="F254" s="146">
        <f>F261+F267+F269+B270+B271</f>
        <v>717.60011999999983</v>
      </c>
      <c r="G254" s="21"/>
      <c r="H254" s="29"/>
    </row>
    <row r="255" spans="1:8">
      <c r="A255" s="139" t="s">
        <v>229</v>
      </c>
      <c r="B255" s="146">
        <f>F262+B263</f>
        <v>733.33333333333337</v>
      </c>
      <c r="C255" s="144"/>
      <c r="D255" s="374" t="s">
        <v>230</v>
      </c>
      <c r="E255" s="374"/>
      <c r="F255" s="146">
        <f>(B254-F254)+B255</f>
        <v>2038.3644622363358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10">
      <c r="A257" s="27" t="s">
        <v>225</v>
      </c>
      <c r="B257" s="151">
        <f>B253</f>
        <v>7.0000000000000007E-2</v>
      </c>
      <c r="C257" s="144"/>
      <c r="D257" s="144"/>
      <c r="E257" s="144"/>
      <c r="F257" s="144"/>
      <c r="G257" s="21"/>
      <c r="H257" s="29"/>
    </row>
    <row r="258" spans="1:10">
      <c r="A258" s="152"/>
      <c r="B258" s="153"/>
      <c r="C258" s="154"/>
      <c r="D258" s="154"/>
      <c r="E258" s="149"/>
      <c r="F258" s="149"/>
      <c r="G258" s="149"/>
      <c r="H258" s="150"/>
    </row>
    <row r="259" spans="1:10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10">
      <c r="A260" s="93" t="s">
        <v>226</v>
      </c>
      <c r="B260" s="155">
        <f>B83</f>
        <v>0.12000000000000001</v>
      </c>
      <c r="C260" s="38"/>
      <c r="D260" s="363" t="s">
        <v>227</v>
      </c>
      <c r="E260" s="363"/>
      <c r="F260" s="115">
        <f>B254</f>
        <v>2022.6312489030024</v>
      </c>
      <c r="G260" s="21"/>
      <c r="H260" s="29"/>
    </row>
    <row r="261" spans="1:10">
      <c r="A261" s="27" t="s">
        <v>233</v>
      </c>
      <c r="B261" s="155">
        <f>B67</f>
        <v>0.03</v>
      </c>
      <c r="C261" s="28"/>
      <c r="D261" s="363" t="s">
        <v>233</v>
      </c>
      <c r="E261" s="363"/>
      <c r="F261" s="119">
        <f>B68</f>
        <v>717.60011999999983</v>
      </c>
      <c r="G261" s="21"/>
      <c r="H261" s="29"/>
    </row>
    <row r="262" spans="1:10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10">
      <c r="A263" s="27" t="s">
        <v>235</v>
      </c>
      <c r="B263" s="115">
        <f>A243</f>
        <v>733.33333333333337</v>
      </c>
      <c r="C263" s="28"/>
      <c r="D263" s="35" t="s">
        <v>230</v>
      </c>
      <c r="E263" s="35"/>
      <c r="F263" s="115">
        <f>(B254-F254)+B255</f>
        <v>2038.3644622363358</v>
      </c>
      <c r="G263" s="21"/>
      <c r="H263" s="29"/>
    </row>
    <row r="264" spans="1:10">
      <c r="A264" s="94"/>
      <c r="B264" s="34"/>
      <c r="C264" s="28"/>
      <c r="D264" s="28"/>
      <c r="E264" s="34"/>
      <c r="F264" s="21"/>
      <c r="G264" s="21"/>
      <c r="H264" s="29"/>
    </row>
    <row r="265" spans="1:10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10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10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10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10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10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10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  <c r="J271" s="4">
        <v>4</v>
      </c>
    </row>
    <row r="272" spans="1:10">
      <c r="A272" s="49"/>
      <c r="B272" s="50"/>
      <c r="C272" s="50"/>
      <c r="D272" s="50"/>
      <c r="E272" s="50"/>
      <c r="F272" s="50"/>
      <c r="G272" s="50"/>
      <c r="H272" s="57"/>
    </row>
  </sheetData>
  <mergeCells count="260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E36:G36"/>
    <mergeCell ref="J38:K38"/>
    <mergeCell ref="B40:D40"/>
    <mergeCell ref="C45:E45"/>
    <mergeCell ref="A50:A51"/>
    <mergeCell ref="B50:D50"/>
    <mergeCell ref="B51:D51"/>
    <mergeCell ref="B52:D52"/>
    <mergeCell ref="A100:H100"/>
    <mergeCell ref="J100:Q100"/>
    <mergeCell ref="A1:F1"/>
    <mergeCell ref="D7:E18"/>
    <mergeCell ref="A16:C18"/>
    <mergeCell ref="A19:D19"/>
    <mergeCell ref="A21:D21"/>
    <mergeCell ref="A24:H24"/>
    <mergeCell ref="A28:H28"/>
    <mergeCell ref="B30:D30"/>
    <mergeCell ref="E33:G33"/>
  </mergeCells>
  <dataValidations count="1">
    <dataValidation type="list" allowBlank="1" showInputMessage="1" showErrorMessage="1" sqref="B105 K105 N105 T105 W105 AC105 AF105 B108:D108 K108:M108 T108:V108 AC108:AE108 J111 S111 AB111 A144:A146 J144:J146 S144:S146 AB144:AB146" xr:uid="{00000000-0002-0000-2900-000002000000}">
      <formula1>#REF!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2900-000000000000}">
          <x14:formula1>
            <xm:f>HirePurchaseNonRegulated!$K$9:$K$10</xm:f>
          </x14:formula1>
          <x14:formula2>
            <xm:f>0</xm:f>
          </x14:formula2>
          <xm:sqref>B26 E105 A111</xm:sqref>
        </x14:dataValidation>
        <x14:dataValidation type="list" allowBlank="1" showErrorMessage="1" xr:uid="{00000000-0002-0000-2900-000001000000}">
          <x14:formula1>
            <xm:f>HirePurchaseNonRegulated!$K$9:$K$10</xm:f>
          </x14:formula1>
          <x14:formula2>
            <xm:f>0</xm:f>
          </x14:formula2>
          <xm:sqref>B70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P272"/>
  <sheetViews>
    <sheetView topLeftCell="A246" zoomScale="110" zoomScaleNormal="110" workbookViewId="0">
      <selection activeCell="F262" sqref="F262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91" t="s">
        <v>14</v>
      </c>
      <c r="B1" s="391"/>
      <c r="C1" s="391"/>
      <c r="D1" s="391"/>
      <c r="E1" s="391"/>
      <c r="F1" s="391"/>
      <c r="G1" s="86"/>
      <c r="H1" s="86"/>
      <c r="I1" s="5"/>
      <c r="J1" s="5"/>
    </row>
    <row r="2" spans="1:25" ht="21">
      <c r="A2" s="6" t="s">
        <v>15</v>
      </c>
      <c r="B2" s="7">
        <f>B9+B11</f>
        <v>13875</v>
      </c>
      <c r="C2" s="6" t="s">
        <v>16</v>
      </c>
      <c r="D2" s="7">
        <f>C9</f>
        <v>2775</v>
      </c>
      <c r="E2" s="6" t="s">
        <v>17</v>
      </c>
      <c r="F2" s="8">
        <f>B13</f>
        <v>0</v>
      </c>
      <c r="G2" s="286"/>
      <c r="H2" s="287"/>
      <c r="I2" s="5"/>
      <c r="J2" s="5"/>
    </row>
    <row r="3" spans="1:25">
      <c r="A3" s="191"/>
      <c r="B3" s="192" t="s">
        <v>10</v>
      </c>
      <c r="C3" s="192">
        <v>0</v>
      </c>
      <c r="D3" s="192" t="s">
        <v>10</v>
      </c>
      <c r="E3" s="192"/>
      <c r="F3" s="193" t="s">
        <v>10</v>
      </c>
      <c r="G3" s="288"/>
      <c r="H3" s="289"/>
      <c r="I3" s="5"/>
      <c r="J3" s="5"/>
    </row>
    <row r="4" spans="1:25">
      <c r="A4" s="6" t="s">
        <v>18</v>
      </c>
      <c r="B4" s="7">
        <f>B15+C15</f>
        <v>16650</v>
      </c>
      <c r="C4" s="194">
        <v>0</v>
      </c>
      <c r="D4" s="194">
        <v>0</v>
      </c>
      <c r="E4" s="194"/>
      <c r="F4" s="195" t="s">
        <v>10</v>
      </c>
      <c r="G4" s="103"/>
      <c r="H4" s="105"/>
      <c r="I4" s="5"/>
      <c r="J4" s="5"/>
    </row>
    <row r="5" spans="1:25">
      <c r="A5" s="55"/>
      <c r="B5" s="55">
        <v>0</v>
      </c>
      <c r="C5" s="55">
        <v>0</v>
      </c>
      <c r="D5" s="55">
        <v>0</v>
      </c>
      <c r="E5" s="55"/>
      <c r="F5" s="55" t="s">
        <v>10</v>
      </c>
      <c r="G5" s="288"/>
      <c r="H5" s="29"/>
      <c r="I5" s="5"/>
      <c r="J5" s="5"/>
    </row>
    <row r="6" spans="1:25">
      <c r="A6" s="55"/>
      <c r="B6" s="55"/>
      <c r="C6" s="55"/>
      <c r="D6" s="55"/>
      <c r="E6" s="55"/>
      <c r="F6" s="55"/>
      <c r="G6" s="121"/>
      <c r="H6" s="29"/>
      <c r="I6" s="5"/>
      <c r="J6" s="5"/>
    </row>
    <row r="7" spans="1:25">
      <c r="A7" s="12" t="s">
        <v>19</v>
      </c>
      <c r="B7" s="12" t="s">
        <v>20</v>
      </c>
      <c r="C7" s="12" t="s">
        <v>16</v>
      </c>
      <c r="D7" s="392"/>
      <c r="E7" s="392"/>
      <c r="F7" s="55"/>
      <c r="G7" s="121"/>
      <c r="H7" s="29"/>
      <c r="I7" s="5"/>
      <c r="J7" s="5"/>
    </row>
    <row r="8" spans="1:25">
      <c r="A8" s="196"/>
      <c r="B8" s="55"/>
      <c r="C8" s="55"/>
      <c r="D8" s="392"/>
      <c r="E8" s="392"/>
      <c r="F8" s="55"/>
      <c r="G8" s="28"/>
      <c r="H8" s="29"/>
      <c r="I8" s="5"/>
      <c r="J8" s="5"/>
      <c r="L8" s="14" t="s">
        <v>17</v>
      </c>
      <c r="M8" s="11">
        <f>H13+H14</f>
        <v>0</v>
      </c>
    </row>
    <row r="9" spans="1:25" ht="21">
      <c r="A9" s="12" t="s">
        <v>21</v>
      </c>
      <c r="B9" s="15" t="n">
        <v>18291.67</v>
      </c>
      <c r="C9" s="11">
        <f>B9*0.2</f>
        <v>2775</v>
      </c>
      <c r="D9" s="392"/>
      <c r="E9" s="392"/>
      <c r="F9" s="55"/>
      <c r="G9" s="109"/>
      <c r="H9" s="290"/>
      <c r="I9" s="5"/>
      <c r="J9" s="5"/>
      <c r="K9" s="4" t="s">
        <v>31</v>
      </c>
      <c r="L9" s="11"/>
      <c r="M9" s="11"/>
    </row>
    <row r="10" spans="1:25">
      <c r="A10" s="197"/>
      <c r="B10" s="55"/>
      <c r="C10" s="55"/>
      <c r="D10" s="392"/>
      <c r="E10" s="392"/>
      <c r="F10" s="55"/>
      <c r="G10" s="121"/>
      <c r="H10" s="289"/>
      <c r="I10" s="5"/>
      <c r="J10" s="5"/>
      <c r="K10" s="4" t="s">
        <v>32</v>
      </c>
      <c r="L10" s="16" t="s">
        <v>15</v>
      </c>
      <c r="M10" s="11">
        <f>H15-H11-M8</f>
        <v>0</v>
      </c>
    </row>
    <row r="11" spans="1:25">
      <c r="A11" s="12" t="s">
        <v>22</v>
      </c>
      <c r="B11" s="15" t="n">
        <v>0.0</v>
      </c>
      <c r="C11" s="15">
        <f>B11*0.2</f>
        <v>0</v>
      </c>
      <c r="D11" s="392"/>
      <c r="E11" s="392"/>
      <c r="F11" s="55"/>
      <c r="G11" s="121"/>
      <c r="H11" s="29"/>
      <c r="I11" s="5"/>
      <c r="J11" s="5"/>
      <c r="L11" s="11"/>
      <c r="M11" s="11"/>
    </row>
    <row r="12" spans="1:25">
      <c r="A12" s="197"/>
      <c r="B12" s="55"/>
      <c r="C12" s="55"/>
      <c r="D12" s="392"/>
      <c r="E12" s="392"/>
      <c r="F12" s="55"/>
      <c r="G12" s="121"/>
      <c r="H12" s="289"/>
      <c r="I12" s="5"/>
      <c r="J12" s="5"/>
    </row>
    <row r="13" spans="1:25">
      <c r="A13" s="12" t="s">
        <v>23</v>
      </c>
      <c r="B13" s="15" t="n">
        <v>0.0</v>
      </c>
      <c r="C13" s="11"/>
      <c r="D13" s="392"/>
      <c r="E13" s="392"/>
      <c r="F13" s="55"/>
      <c r="G13" s="121"/>
      <c r="H13" s="289"/>
      <c r="I13" s="5"/>
      <c r="J13" s="5"/>
    </row>
    <row r="14" spans="1:25">
      <c r="A14" s="197"/>
      <c r="B14" s="55"/>
      <c r="C14" s="55"/>
      <c r="D14" s="392"/>
      <c r="E14" s="392"/>
      <c r="F14" s="55"/>
      <c r="G14" s="121"/>
      <c r="H14" s="289"/>
      <c r="I14" s="5"/>
      <c r="J14" s="5" t="s">
        <v>24</v>
      </c>
    </row>
    <row r="15" spans="1:25">
      <c r="A15" s="12" t="s">
        <v>25</v>
      </c>
      <c r="B15" s="11">
        <f>SUM(B9:B13)</f>
        <v>13875</v>
      </c>
      <c r="C15" s="11">
        <f>SUM(C9:C13)</f>
        <v>2775</v>
      </c>
      <c r="D15" s="392"/>
      <c r="E15" s="392"/>
      <c r="F15" s="55"/>
      <c r="G15" s="121"/>
      <c r="H15" s="291"/>
      <c r="I15" s="5"/>
      <c r="J15" s="17">
        <f>H15</f>
        <v>0</v>
      </c>
    </row>
    <row r="16" spans="1:25">
      <c r="A16" s="393"/>
      <c r="B16" s="393"/>
      <c r="C16" s="393"/>
      <c r="D16" s="392"/>
      <c r="E16" s="392"/>
      <c r="F16" s="55"/>
      <c r="G16" s="121"/>
      <c r="H16" s="289"/>
      <c r="I16" s="5"/>
      <c r="J16" s="5"/>
      <c r="Y16" s="18" t="s">
        <v>26</v>
      </c>
    </row>
    <row r="17" spans="1:26">
      <c r="A17" s="393"/>
      <c r="B17" s="393"/>
      <c r="C17" s="393"/>
      <c r="D17" s="392"/>
      <c r="E17" s="392"/>
      <c r="F17" s="55"/>
      <c r="G17" s="34"/>
      <c r="H17" s="29"/>
      <c r="I17" s="5"/>
      <c r="J17" s="5" t="s">
        <v>27</v>
      </c>
      <c r="Y17" s="18" t="s">
        <v>28</v>
      </c>
    </row>
    <row r="18" spans="1:26">
      <c r="A18" s="393"/>
      <c r="B18" s="393"/>
      <c r="C18" s="393"/>
      <c r="D18" s="392"/>
      <c r="E18" s="392"/>
      <c r="F18" s="55"/>
      <c r="G18" s="35"/>
      <c r="H18" s="292"/>
      <c r="I18" s="5"/>
      <c r="J18" s="17">
        <v>37405</v>
      </c>
      <c r="Y18" s="18" t="s">
        <v>29</v>
      </c>
    </row>
    <row r="19" spans="1:26" ht="22.15" customHeight="1">
      <c r="A19" s="333" t="s">
        <v>30</v>
      </c>
      <c r="B19" s="333"/>
      <c r="C19" s="333"/>
      <c r="D19" s="333"/>
      <c r="E19" s="11">
        <f>B4</f>
        <v>16650</v>
      </c>
      <c r="F19" s="55"/>
      <c r="G19" s="35"/>
      <c r="H19" s="292"/>
      <c r="I19" s="5"/>
      <c r="J19" s="5"/>
      <c r="Z19" s="5" t="s">
        <v>31</v>
      </c>
    </row>
    <row r="20" spans="1:26">
      <c r="A20" s="199"/>
      <c r="B20" s="55"/>
      <c r="C20" s="55"/>
      <c r="D20" s="55"/>
      <c r="E20" s="200"/>
      <c r="F20" s="55"/>
      <c r="G20" s="35"/>
      <c r="H20" s="292"/>
      <c r="I20" s="5"/>
      <c r="J20" s="5"/>
      <c r="Z20" s="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13875</v>
      </c>
      <c r="F21" s="55"/>
      <c r="G21" s="293"/>
      <c r="H21" s="294"/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354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>
      <c r="A26" s="32" t="s">
        <v>138</v>
      </c>
      <c r="B26" s="36" t="s">
        <v>386</v>
      </c>
      <c r="C26" s="28"/>
      <c r="D26" s="28"/>
      <c r="E26" s="28"/>
      <c r="F26" s="28"/>
      <c r="G26" s="28"/>
      <c r="H26" s="29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 ht="23.25">
      <c r="A28" s="335" t="s">
        <v>136</v>
      </c>
      <c r="B28" s="335"/>
      <c r="C28" s="335"/>
      <c r="D28" s="335"/>
      <c r="E28" s="335"/>
      <c r="F28" s="335"/>
      <c r="G28" s="335"/>
      <c r="H28" s="335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>
        <v>36</v>
      </c>
      <c r="I29" s="28"/>
      <c r="J29" s="25" t="s">
        <v>94</v>
      </c>
      <c r="K29" s="295">
        <v>36</v>
      </c>
    </row>
    <row r="30" spans="1:26">
      <c r="A30" s="27" t="s">
        <v>193</v>
      </c>
      <c r="B30" s="346" t="s">
        <v>387</v>
      </c>
      <c r="C30" s="346"/>
      <c r="D30" s="346"/>
      <c r="E30" s="28"/>
      <c r="F30" s="28"/>
      <c r="G30" s="28"/>
      <c r="H30" s="29">
        <v>10000</v>
      </c>
      <c r="I30" s="28"/>
      <c r="J30" s="25" t="s">
        <v>45</v>
      </c>
      <c r="K30" s="33">
        <v>10000</v>
      </c>
    </row>
    <row r="31" spans="1:26">
      <c r="A31" s="27"/>
      <c r="B31" s="28"/>
      <c r="C31" s="28"/>
      <c r="D31" s="28"/>
      <c r="E31" s="28"/>
      <c r="F31" s="28"/>
      <c r="G31" s="28"/>
      <c r="H31" s="29">
        <v>27500</v>
      </c>
      <c r="I31" s="28"/>
      <c r="J31" s="25" t="s">
        <v>48</v>
      </c>
      <c r="K31" s="37">
        <v>0</v>
      </c>
    </row>
    <row r="32" spans="1:26" ht="36">
      <c r="A32" s="27" t="s">
        <v>94</v>
      </c>
      <c r="B32" s="28" t="s">
        <v>95</v>
      </c>
      <c r="C32" s="28"/>
      <c r="D32" s="28"/>
      <c r="E32" s="28" t="s">
        <v>355</v>
      </c>
      <c r="F32" s="28"/>
      <c r="G32" s="28"/>
      <c r="H32" s="29"/>
      <c r="I32" s="5"/>
      <c r="J32" s="25" t="s">
        <v>49</v>
      </c>
      <c r="K32" s="37">
        <v>0</v>
      </c>
    </row>
    <row r="33" spans="1:16" ht="36">
      <c r="A33" s="134">
        <f>A52</f>
        <v>36</v>
      </c>
      <c r="B33" s="173">
        <f>B51</f>
        <v>10000</v>
      </c>
      <c r="C33" s="28"/>
      <c r="D33" s="28"/>
      <c r="E33" s="402">
        <f>K48</f>
        <v>428.41971900703453</v>
      </c>
      <c r="F33" s="402"/>
      <c r="G33" s="402"/>
      <c r="H33" s="42"/>
      <c r="I33" s="5"/>
      <c r="J33" s="30" t="s">
        <v>356</v>
      </c>
      <c r="K33" s="43">
        <f>E21</f>
        <v>13875</v>
      </c>
      <c r="L33" s="4">
        <f>H21-H11+(H16*20%)</f>
        <v>0</v>
      </c>
    </row>
    <row r="34" spans="1:16">
      <c r="A34" s="27"/>
      <c r="B34" s="28"/>
      <c r="C34" s="28"/>
      <c r="D34" s="28"/>
      <c r="E34" s="38"/>
      <c r="F34" s="38"/>
      <c r="G34" s="38"/>
      <c r="H34" s="42"/>
      <c r="I34" s="5"/>
      <c r="J34" s="5"/>
      <c r="K34" s="5"/>
    </row>
    <row r="35" spans="1:16">
      <c r="A35" s="27" t="s">
        <v>357</v>
      </c>
      <c r="B35" s="28" t="s">
        <v>358</v>
      </c>
      <c r="C35" s="28"/>
      <c r="E35" s="28" t="s">
        <v>359</v>
      </c>
      <c r="F35" s="38"/>
      <c r="G35" s="38"/>
      <c r="H35" s="42"/>
      <c r="I35" s="5"/>
      <c r="J35" s="45" t="s">
        <v>59</v>
      </c>
      <c r="K35" s="4">
        <v>7.0000000000000007E-2</v>
      </c>
    </row>
    <row r="36" spans="1:16">
      <c r="A36" s="138">
        <f>K47</f>
        <v>428.41971900703453</v>
      </c>
      <c r="B36" s="173" t="str">
        <f>IF(B26="YES",K42,"0.00")</f>
        <v>0.00</v>
      </c>
      <c r="C36" s="173"/>
      <c r="D36" s="173"/>
      <c r="E36" s="402">
        <f>K31</f>
        <v>0</v>
      </c>
      <c r="F36" s="402"/>
      <c r="G36" s="402"/>
      <c r="H36" s="42"/>
      <c r="I36" s="5"/>
      <c r="J36" s="5" t="s">
        <v>63</v>
      </c>
      <c r="K36" s="5">
        <f>K29</f>
        <v>36</v>
      </c>
    </row>
    <row r="37" spans="1:16">
      <c r="A37" s="94"/>
      <c r="B37" s="34"/>
      <c r="C37" s="38"/>
      <c r="D37" s="38"/>
      <c r="E37" s="38"/>
      <c r="F37" s="38"/>
      <c r="G37" s="38"/>
      <c r="H37" s="42"/>
      <c r="I37" s="5"/>
      <c r="J37" s="5"/>
      <c r="K37" s="5"/>
    </row>
    <row r="38" spans="1:16">
      <c r="A38" s="27"/>
      <c r="B38" s="28"/>
      <c r="C38" s="38"/>
      <c r="D38" s="38"/>
      <c r="E38" s="38"/>
      <c r="F38" s="38"/>
      <c r="G38" s="38"/>
      <c r="H38" s="42"/>
      <c r="J38" s="337" t="s">
        <v>65</v>
      </c>
      <c r="K38" s="337"/>
      <c r="L38" s="5">
        <v>42030.76</v>
      </c>
      <c r="N38" s="4">
        <f>80.88*36</f>
        <v>2911.68</v>
      </c>
    </row>
    <row r="39" spans="1:16">
      <c r="A39" s="27" t="s">
        <v>360</v>
      </c>
      <c r="B39" s="28" t="s">
        <v>361</v>
      </c>
      <c r="C39" s="28"/>
      <c r="E39" s="28" t="s">
        <v>362</v>
      </c>
      <c r="F39" s="38"/>
      <c r="G39" s="38"/>
      <c r="H39" s="42"/>
      <c r="J39" s="5" t="s">
        <v>96</v>
      </c>
      <c r="K39" s="5">
        <f>K33</f>
        <v>13875</v>
      </c>
      <c r="L39" s="5">
        <f>(L47*K46)+K44</f>
        <v>25909.171561306546</v>
      </c>
      <c r="N39" s="4">
        <f>K39-L39</f>
        <v>-12034.171561306546</v>
      </c>
    </row>
    <row r="40" spans="1:16">
      <c r="A40" s="92">
        <f>E36*A45/100</f>
        <v>0</v>
      </c>
      <c r="B40" s="348" t="str">
        <f>IF(B26="YES",K42,"0.00")</f>
        <v>0.00</v>
      </c>
      <c r="C40" s="348"/>
      <c r="D40" s="348"/>
      <c r="E40" s="137">
        <f>K32</f>
        <v>0</v>
      </c>
      <c r="F40" s="38"/>
      <c r="G40" s="38"/>
      <c r="H40" s="42"/>
      <c r="J40" s="5" t="s">
        <v>118</v>
      </c>
      <c r="K40" s="5">
        <f>(A40)/1.2</f>
        <v>0</v>
      </c>
      <c r="L40" s="5">
        <f>K39-L39</f>
        <v>-12034.171561306546</v>
      </c>
      <c r="N40" s="4">
        <f>N38-N39</f>
        <v>14945.851561306547</v>
      </c>
    </row>
    <row r="41" spans="1:16">
      <c r="A41" s="27"/>
      <c r="B41" s="28"/>
      <c r="C41" s="28"/>
      <c r="D41" s="28"/>
      <c r="E41" s="28"/>
      <c r="F41" s="38"/>
      <c r="G41" s="38"/>
      <c r="H41" s="42"/>
      <c r="J41" s="5" t="s">
        <v>363</v>
      </c>
      <c r="K41" s="5">
        <f>K35/12</f>
        <v>5.8333333333333336E-3</v>
      </c>
      <c r="L41" s="5"/>
    </row>
    <row r="42" spans="1:16">
      <c r="A42" s="49"/>
      <c r="B42" s="50"/>
      <c r="C42" s="50"/>
      <c r="D42" s="50"/>
      <c r="E42" s="50"/>
      <c r="F42" s="50"/>
      <c r="G42" s="51"/>
      <c r="H42" s="52"/>
      <c r="J42" s="5" t="s">
        <v>364</v>
      </c>
      <c r="K42" s="5">
        <f>(K32/K36)*C45/100</f>
        <v>0</v>
      </c>
      <c r="L42" s="5"/>
    </row>
    <row r="43" spans="1:16">
      <c r="A43" s="22"/>
      <c r="B43" s="23"/>
      <c r="C43" s="23"/>
      <c r="D43" s="23"/>
      <c r="E43" s="23"/>
      <c r="F43" s="23"/>
      <c r="G43" s="23"/>
      <c r="H43" s="24"/>
      <c r="J43" s="5" t="s">
        <v>365</v>
      </c>
      <c r="K43" s="5"/>
      <c r="L43" s="5"/>
    </row>
    <row r="44" spans="1:16">
      <c r="A44" s="53" t="s">
        <v>89</v>
      </c>
      <c r="B44" s="28"/>
      <c r="C44" s="28" t="s">
        <v>90</v>
      </c>
      <c r="D44" s="28"/>
      <c r="E44" s="28"/>
      <c r="F44" s="28"/>
      <c r="G44" s="28"/>
      <c r="H44" s="29"/>
      <c r="J44" s="5" t="s">
        <v>366</v>
      </c>
      <c r="K44" s="5">
        <f>(K40/(1+K41)^(K36+1))</f>
        <v>0</v>
      </c>
      <c r="L44" s="5"/>
    </row>
    <row r="45" spans="1:16">
      <c r="A45" s="54">
        <v>100</v>
      </c>
      <c r="B45" s="28"/>
      <c r="C45" s="339">
        <v>100</v>
      </c>
      <c r="D45" s="339"/>
      <c r="E45" s="339"/>
      <c r="F45" s="28"/>
      <c r="G45" s="28"/>
      <c r="H45" s="29"/>
      <c r="J45" s="5" t="s">
        <v>367</v>
      </c>
      <c r="K45" s="5">
        <f>(K39-K44)</f>
        <v>13875</v>
      </c>
      <c r="L45" s="5"/>
    </row>
    <row r="46" spans="1:16">
      <c r="A46" s="49"/>
      <c r="B46" s="50"/>
      <c r="C46" s="50"/>
      <c r="D46" s="50"/>
      <c r="E46" s="50"/>
      <c r="F46" s="50"/>
      <c r="G46" s="50"/>
      <c r="H46" s="57"/>
      <c r="J46" s="5" t="s">
        <v>368</v>
      </c>
      <c r="K46" s="5">
        <f>((1-(1/((1+K41)^K36)))/K41)</f>
        <v>32.386464451633181</v>
      </c>
      <c r="L46" s="5"/>
    </row>
    <row r="47" spans="1:16">
      <c r="A47" s="22"/>
      <c r="B47" s="23"/>
      <c r="C47" s="23"/>
      <c r="D47" s="23"/>
      <c r="E47" s="23"/>
      <c r="F47" s="23"/>
      <c r="G47" s="23"/>
      <c r="H47" s="24"/>
      <c r="J47" s="5" t="s">
        <v>369</v>
      </c>
      <c r="K47" s="5">
        <f>K45/K46</f>
        <v>428.41971900703453</v>
      </c>
      <c r="L47" s="5">
        <f>L49-K42</f>
        <v>800</v>
      </c>
      <c r="M47" s="4">
        <f>K47-L47</f>
        <v>-371.58028099296547</v>
      </c>
    </row>
    <row r="48" spans="1:16" ht="37.5">
      <c r="A48" s="58" t="s">
        <v>93</v>
      </c>
      <c r="B48" s="28"/>
      <c r="C48" s="28"/>
      <c r="D48" s="59"/>
      <c r="E48" s="59"/>
      <c r="F48" s="59"/>
      <c r="G48" s="59"/>
      <c r="H48" s="60"/>
      <c r="J48" s="48" t="s">
        <v>370</v>
      </c>
      <c r="K48" s="5">
        <f>IF(B26="YES",K47+K42,K47)</f>
        <v>428.41971900703453</v>
      </c>
      <c r="L48" s="5"/>
    </row>
    <row r="49" spans="1:35">
      <c r="A49" s="27"/>
      <c r="B49" s="61"/>
      <c r="C49" s="61"/>
      <c r="D49" s="28"/>
      <c r="E49" s="28"/>
      <c r="F49" s="28"/>
      <c r="G49" s="28"/>
      <c r="H49" s="29"/>
      <c r="J49" s="5" t="s">
        <v>371</v>
      </c>
      <c r="K49" s="5"/>
      <c r="L49" s="5">
        <v>800</v>
      </c>
    </row>
    <row r="50" spans="1:35" ht="21">
      <c r="A50" s="369" t="s">
        <v>94</v>
      </c>
      <c r="B50" s="341" t="s">
        <v>95</v>
      </c>
      <c r="C50" s="341"/>
      <c r="D50" s="341"/>
      <c r="E50" s="28"/>
      <c r="F50" s="28"/>
      <c r="G50" s="28"/>
      <c r="H50" s="29"/>
      <c r="I50" s="5"/>
      <c r="J50" s="5"/>
      <c r="K50" s="5"/>
    </row>
    <row r="51" spans="1:35" ht="19.5" customHeight="1">
      <c r="A51" s="369"/>
      <c r="B51" s="342">
        <f>K30</f>
        <v>10000</v>
      </c>
      <c r="C51" s="342"/>
      <c r="D51" s="342"/>
      <c r="E51" s="28"/>
      <c r="F51" s="28"/>
      <c r="G51" s="28"/>
      <c r="H51" s="29"/>
      <c r="I51" s="5"/>
      <c r="J51" s="5"/>
      <c r="K51" s="5"/>
    </row>
    <row r="52" spans="1:35">
      <c r="A52" s="62">
        <f>K29</f>
        <v>36</v>
      </c>
      <c r="B52" s="343">
        <f>K48</f>
        <v>428.41971900703453</v>
      </c>
      <c r="C52" s="343"/>
      <c r="D52" s="343"/>
      <c r="E52" s="28"/>
      <c r="F52" s="28"/>
      <c r="G52" s="28"/>
      <c r="H52" s="29"/>
      <c r="I52" s="5"/>
      <c r="J52" s="5"/>
      <c r="K52" s="5"/>
    </row>
    <row r="53" spans="1:35">
      <c r="A53" s="27"/>
      <c r="B53" s="28"/>
      <c r="C53" s="28"/>
      <c r="D53" s="28"/>
      <c r="E53" s="28"/>
      <c r="F53" s="28"/>
      <c r="G53" s="28"/>
      <c r="H53" s="29"/>
      <c r="I53" s="5"/>
      <c r="J53" s="5"/>
      <c r="K53" s="5"/>
    </row>
    <row r="54" spans="1:35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35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35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35">
      <c r="A57" s="22"/>
      <c r="B57" s="23"/>
      <c r="C57" s="23"/>
      <c r="D57" s="23"/>
      <c r="E57" s="63"/>
      <c r="F57" s="63"/>
      <c r="G57" s="63"/>
      <c r="H57" s="24"/>
      <c r="J57" s="22"/>
      <c r="K57" s="23"/>
      <c r="L57" s="23"/>
      <c r="M57" s="23"/>
      <c r="N57" s="63"/>
      <c r="O57" s="63"/>
      <c r="P57" s="63"/>
      <c r="Q57" s="24"/>
      <c r="S57" s="22"/>
      <c r="T57" s="23"/>
      <c r="U57" s="23"/>
      <c r="V57" s="23"/>
      <c r="W57" s="63"/>
      <c r="X57" s="63"/>
      <c r="Y57" s="63"/>
      <c r="Z57" s="24"/>
      <c r="AB57" s="22"/>
      <c r="AC57" s="23"/>
      <c r="AD57" s="23"/>
      <c r="AE57" s="23"/>
      <c r="AF57" s="63"/>
      <c r="AG57" s="63"/>
      <c r="AH57" s="63"/>
      <c r="AI57" s="24"/>
    </row>
    <row r="58" spans="1:35">
      <c r="A58" s="27" t="s">
        <v>96</v>
      </c>
      <c r="B58" s="28">
        <v>1</v>
      </c>
      <c r="C58" s="28"/>
      <c r="D58" s="28"/>
      <c r="E58" s="21"/>
      <c r="F58" s="21"/>
      <c r="G58" s="21"/>
      <c r="H58" s="29"/>
      <c r="J58" s="27" t="s">
        <v>96</v>
      </c>
      <c r="K58" s="28">
        <v>1</v>
      </c>
      <c r="L58" s="28"/>
      <c r="M58" s="28"/>
      <c r="N58" s="21"/>
      <c r="O58" s="21"/>
      <c r="P58" s="21"/>
      <c r="Q58" s="29"/>
      <c r="S58" s="27" t="s">
        <v>96</v>
      </c>
      <c r="T58" s="28">
        <v>1</v>
      </c>
      <c r="U58" s="28"/>
      <c r="V58" s="28"/>
      <c r="W58" s="21"/>
      <c r="X58" s="21"/>
      <c r="Y58" s="21"/>
      <c r="Z58" s="29"/>
      <c r="AB58" s="27" t="s">
        <v>96</v>
      </c>
      <c r="AC58" s="28">
        <v>1</v>
      </c>
      <c r="AD58" s="28"/>
      <c r="AE58" s="28"/>
      <c r="AF58" s="21"/>
      <c r="AG58" s="21"/>
      <c r="AH58" s="21"/>
      <c r="AI58" s="29"/>
    </row>
    <row r="59" spans="1:35">
      <c r="A59" s="27" t="s">
        <v>97</v>
      </c>
      <c r="B59" s="28">
        <f>K29-B58</f>
        <v>35</v>
      </c>
      <c r="C59" s="28"/>
      <c r="D59" s="28"/>
      <c r="E59" s="21"/>
      <c r="F59" s="21"/>
      <c r="G59" s="21"/>
      <c r="H59" s="29"/>
      <c r="J59" s="27" t="s">
        <v>97</v>
      </c>
      <c r="K59" s="28">
        <f>K29-K58</f>
        <v>35</v>
      </c>
      <c r="L59" s="28"/>
      <c r="M59" s="28"/>
      <c r="N59" s="21"/>
      <c r="O59" s="21"/>
      <c r="P59" s="21"/>
      <c r="Q59" s="29"/>
      <c r="S59" s="27" t="s">
        <v>97</v>
      </c>
      <c r="T59" s="28">
        <f>K29-T58</f>
        <v>35</v>
      </c>
      <c r="U59" s="28"/>
      <c r="V59" s="28"/>
      <c r="W59" s="21"/>
      <c r="X59" s="21"/>
      <c r="Y59" s="21"/>
      <c r="Z59" s="29"/>
      <c r="AB59" s="27" t="s">
        <v>97</v>
      </c>
      <c r="AC59" s="28">
        <f>K29-AC58</f>
        <v>35</v>
      </c>
      <c r="AD59" s="28"/>
      <c r="AE59" s="28"/>
      <c r="AF59" s="21"/>
      <c r="AG59" s="21"/>
      <c r="AH59" s="21"/>
      <c r="AI59" s="29"/>
    </row>
    <row r="60" spans="1:35">
      <c r="A60" s="64" t="s">
        <v>98</v>
      </c>
      <c r="B60" s="65">
        <v>10</v>
      </c>
      <c r="C60" s="28"/>
      <c r="D60" s="28"/>
      <c r="E60" s="21"/>
      <c r="F60" s="21"/>
      <c r="G60" s="21"/>
      <c r="H60" s="29"/>
      <c r="J60" s="64" t="s">
        <v>98</v>
      </c>
      <c r="K60" s="65">
        <v>20</v>
      </c>
      <c r="L60" s="28"/>
      <c r="M60" s="28"/>
      <c r="N60" s="21"/>
      <c r="O60" s="21"/>
      <c r="P60" s="21"/>
      <c r="Q60" s="29"/>
      <c r="S60" s="64" t="s">
        <v>98</v>
      </c>
      <c r="T60" s="65">
        <v>10</v>
      </c>
      <c r="U60" s="28"/>
      <c r="V60" s="28"/>
      <c r="W60" s="21"/>
      <c r="X60" s="21"/>
      <c r="Y60" s="21"/>
      <c r="Z60" s="29"/>
      <c r="AB60" s="64" t="s">
        <v>98</v>
      </c>
      <c r="AC60" s="65">
        <v>10</v>
      </c>
      <c r="AD60" s="28"/>
      <c r="AE60" s="28"/>
      <c r="AF60" s="21"/>
      <c r="AG60" s="21"/>
      <c r="AH60" s="21"/>
      <c r="AI60" s="29"/>
    </row>
    <row r="61" spans="1:35">
      <c r="A61" s="27" t="s">
        <v>27</v>
      </c>
      <c r="B61" s="28">
        <f>J18</f>
        <v>37405</v>
      </c>
      <c r="C61" s="28"/>
      <c r="D61" s="28"/>
      <c r="E61" s="21"/>
      <c r="F61" s="21"/>
      <c r="G61" s="21"/>
      <c r="H61" s="29"/>
      <c r="J61" s="27" t="s">
        <v>27</v>
      </c>
      <c r="K61" s="28">
        <f>J18</f>
        <v>37405</v>
      </c>
      <c r="L61" s="28"/>
      <c r="M61" s="28"/>
      <c r="N61" s="21"/>
      <c r="O61" s="21"/>
      <c r="P61" s="21"/>
      <c r="Q61" s="29"/>
      <c r="S61" s="27" t="s">
        <v>27</v>
      </c>
      <c r="T61" s="28">
        <f>J18</f>
        <v>37405</v>
      </c>
      <c r="U61" s="28"/>
      <c r="V61" s="28"/>
      <c r="W61" s="21"/>
      <c r="X61" s="21"/>
      <c r="Y61" s="21"/>
      <c r="Z61" s="29"/>
      <c r="AB61" s="27" t="s">
        <v>27</v>
      </c>
      <c r="AC61" s="28">
        <f>J18</f>
        <v>37405</v>
      </c>
      <c r="AD61" s="28"/>
      <c r="AE61" s="28"/>
      <c r="AF61" s="21"/>
      <c r="AG61" s="21"/>
      <c r="AH61" s="21"/>
      <c r="AI61" s="29"/>
    </row>
    <row r="62" spans="1:35">
      <c r="A62" s="66" t="s">
        <v>99</v>
      </c>
      <c r="B62" s="67">
        <v>0</v>
      </c>
      <c r="C62" s="28"/>
      <c r="D62" s="28"/>
      <c r="E62" s="21"/>
      <c r="F62" s="21"/>
      <c r="G62" s="21"/>
      <c r="H62" s="29"/>
      <c r="J62" s="66" t="s">
        <v>99</v>
      </c>
      <c r="K62" s="67">
        <v>0.06</v>
      </c>
      <c r="L62" s="28"/>
      <c r="M62" s="28"/>
      <c r="N62" s="21"/>
      <c r="O62" s="21"/>
      <c r="P62" s="21"/>
      <c r="Q62" s="29"/>
      <c r="S62" s="66" t="s">
        <v>99</v>
      </c>
      <c r="T62" s="67">
        <f>IF(AND(K29&gt;=12,K29&lt;=24),0.0105,IF(AND(K29&gt;=48),-0.0075,0))</f>
        <v>0</v>
      </c>
      <c r="U62" s="28"/>
      <c r="V62" s="28"/>
      <c r="W62" s="21"/>
      <c r="X62" s="21"/>
      <c r="Y62" s="21"/>
      <c r="Z62" s="29"/>
      <c r="AB62" s="66" t="s">
        <v>99</v>
      </c>
      <c r="AC62" s="67">
        <f>IF(AND(K29&gt;=12,K29&lt;=24),0.0105,IF(AND(K29&gt;=48),-0.0075,0))</f>
        <v>0</v>
      </c>
      <c r="AD62" s="28"/>
      <c r="AE62" s="28"/>
      <c r="AF62" s="21"/>
      <c r="AG62" s="21"/>
      <c r="AH62" s="21"/>
      <c r="AI62" s="29"/>
    </row>
    <row r="63" spans="1:35">
      <c r="A63" s="68" t="s">
        <v>100</v>
      </c>
      <c r="B63" s="69">
        <v>7.0000000000000007E-2</v>
      </c>
      <c r="C63" s="28"/>
      <c r="D63" s="28"/>
      <c r="E63" s="21"/>
      <c r="F63" s="21"/>
      <c r="G63" s="21"/>
      <c r="H63" s="29"/>
      <c r="J63" s="68" t="s">
        <v>100</v>
      </c>
      <c r="K63" s="69">
        <v>0.08</v>
      </c>
      <c r="L63" s="28"/>
      <c r="M63" s="28"/>
      <c r="N63" s="21"/>
      <c r="O63" s="21"/>
      <c r="P63" s="21"/>
      <c r="Q63" s="29"/>
      <c r="S63" s="68" t="s">
        <v>100</v>
      </c>
      <c r="T63" s="69">
        <v>5.8999999999999997E-2</v>
      </c>
      <c r="U63" s="28"/>
      <c r="V63" s="28"/>
      <c r="W63" s="21"/>
      <c r="X63" s="21"/>
      <c r="Y63" s="21"/>
      <c r="Z63" s="29"/>
      <c r="AB63" s="68" t="s">
        <v>100</v>
      </c>
      <c r="AC63" s="69">
        <v>5.8999999999999997E-2</v>
      </c>
      <c r="AD63" s="28"/>
      <c r="AE63" s="28"/>
      <c r="AF63" s="21"/>
      <c r="AG63" s="21"/>
      <c r="AH63" s="21"/>
      <c r="AI63" s="29"/>
    </row>
    <row r="64" spans="1:35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J64" s="70" t="s">
        <v>101</v>
      </c>
      <c r="K64" s="71">
        <v>0.1</v>
      </c>
      <c r="L64" s="28"/>
      <c r="M64" s="28"/>
      <c r="N64" s="21"/>
      <c r="O64" s="21"/>
      <c r="P64" s="21"/>
      <c r="Q64" s="29"/>
      <c r="S64" s="70" t="s">
        <v>101</v>
      </c>
      <c r="T64" s="71">
        <f>IF(T108=AP108,2.4%,7.2%)</f>
        <v>7.2000000000000008E-2</v>
      </c>
      <c r="U64" s="28"/>
      <c r="V64" s="28"/>
      <c r="W64" s="21"/>
      <c r="X64" s="21"/>
      <c r="Y64" s="21"/>
      <c r="Z64" s="29"/>
      <c r="AB64" s="70" t="s">
        <v>101</v>
      </c>
      <c r="AC64" s="71">
        <f>IF(AC108=AP108,2.4%,7.2%)</f>
        <v>7.2000000000000008E-2</v>
      </c>
      <c r="AD64" s="28"/>
      <c r="AE64" s="28"/>
      <c r="AF64" s="21"/>
      <c r="AG64" s="21"/>
      <c r="AH64" s="21"/>
      <c r="AI64" s="29"/>
    </row>
    <row r="65" spans="1:35">
      <c r="A65" s="49" t="s">
        <v>102</v>
      </c>
      <c r="B65" s="57">
        <f>(B89*B59)-(K47*K29)</f>
        <v>12383.914941069123</v>
      </c>
      <c r="C65" s="28"/>
      <c r="D65" s="28"/>
      <c r="E65" s="21"/>
      <c r="F65" s="21"/>
      <c r="G65" s="21"/>
      <c r="H65" s="29"/>
      <c r="J65" s="49" t="s">
        <v>102</v>
      </c>
      <c r="K65" s="57" t="e">
        <f>(K89*K59)-(K47*K29)</f>
        <v>#VALUE!</v>
      </c>
      <c r="L65" s="28"/>
      <c r="M65" s="28"/>
      <c r="N65" s="21"/>
      <c r="O65" s="21"/>
      <c r="P65" s="21"/>
      <c r="Q65" s="29"/>
      <c r="S65" s="49" t="s">
        <v>102</v>
      </c>
      <c r="T65" s="57" t="e">
        <f>(T89*T59)-(K47*K29)</f>
        <v>#VALUE!</v>
      </c>
      <c r="U65" s="28"/>
      <c r="V65" s="28"/>
      <c r="W65" s="21"/>
      <c r="X65" s="21"/>
      <c r="Y65" s="21"/>
      <c r="Z65" s="29"/>
      <c r="AB65" s="49" t="s">
        <v>102</v>
      </c>
      <c r="AC65" s="57" t="e">
        <f>(AC89*AC59)-(K47*K29)</f>
        <v>#VALUE!</v>
      </c>
      <c r="AD65" s="28"/>
      <c r="AE65" s="28"/>
      <c r="AF65" s="21"/>
      <c r="AG65" s="21"/>
      <c r="AH65" s="21"/>
      <c r="AI65" s="29"/>
    </row>
    <row r="66" spans="1:35">
      <c r="A66" s="66" t="s">
        <v>103</v>
      </c>
      <c r="B66" s="67">
        <v>0.05</v>
      </c>
      <c r="C66" s="28"/>
      <c r="D66" s="28"/>
      <c r="E66" s="21"/>
      <c r="F66" s="21"/>
      <c r="G66" s="21"/>
      <c r="H66" s="29"/>
      <c r="J66" s="66" t="s">
        <v>103</v>
      </c>
      <c r="K66" s="67">
        <v>0.05</v>
      </c>
      <c r="L66" s="28"/>
      <c r="M66" s="28"/>
      <c r="N66" s="21"/>
      <c r="O66" s="21"/>
      <c r="P66" s="21"/>
      <c r="Q66" s="29"/>
      <c r="S66" s="66" t="s">
        <v>103</v>
      </c>
      <c r="T66" s="67">
        <v>5.0000000000000001E-3</v>
      </c>
      <c r="U66" s="28"/>
      <c r="V66" s="28"/>
      <c r="W66" s="21"/>
      <c r="X66" s="21"/>
      <c r="Y66" s="21"/>
      <c r="Z66" s="29"/>
      <c r="AB66" s="66" t="s">
        <v>103</v>
      </c>
      <c r="AC66" s="67">
        <v>5.0000000000000001E-3</v>
      </c>
      <c r="AD66" s="28"/>
      <c r="AE66" s="28"/>
      <c r="AF66" s="21"/>
      <c r="AG66" s="21"/>
      <c r="AH66" s="21"/>
      <c r="AI66" s="29"/>
    </row>
    <row r="67" spans="1:35">
      <c r="A67" s="27"/>
      <c r="B67" s="72">
        <f>B66</f>
        <v>0.05</v>
      </c>
      <c r="C67" s="28"/>
      <c r="D67" s="28"/>
      <c r="E67" s="21"/>
      <c r="F67" s="21"/>
      <c r="G67" s="21"/>
      <c r="H67" s="29"/>
      <c r="J67" s="27" t="s">
        <v>104</v>
      </c>
      <c r="K67" s="72">
        <f>K66+(K66*0.25*(K29/12-1))</f>
        <v>7.5000000000000011E-2</v>
      </c>
      <c r="L67" s="28"/>
      <c r="M67" s="28"/>
      <c r="N67" s="21"/>
      <c r="O67" s="21"/>
      <c r="P67" s="21"/>
      <c r="Q67" s="29"/>
      <c r="S67" s="27" t="s">
        <v>104</v>
      </c>
      <c r="T67" s="72">
        <f>T66+(T66*0.5*(K29/12-1))</f>
        <v>0.01</v>
      </c>
      <c r="U67" s="28"/>
      <c r="V67" s="28"/>
      <c r="W67" s="21"/>
      <c r="X67" s="21"/>
      <c r="Y67" s="21"/>
      <c r="Z67" s="29"/>
      <c r="AB67" s="27" t="s">
        <v>104</v>
      </c>
      <c r="AC67" s="72">
        <f>AC66+(AC66*0.5*(K29/12-1))</f>
        <v>0.01</v>
      </c>
      <c r="AD67" s="28"/>
      <c r="AE67" s="28"/>
      <c r="AF67" s="21"/>
      <c r="AG67" s="21"/>
      <c r="AH67" s="21"/>
      <c r="AI67" s="29"/>
    </row>
    <row r="68" spans="1:35">
      <c r="A68" s="49" t="s">
        <v>105</v>
      </c>
      <c r="B68" s="57">
        <f>(G158*B67)</f>
        <v>1196.0001999999999</v>
      </c>
      <c r="C68" s="28"/>
      <c r="D68" s="28"/>
      <c r="E68" s="21"/>
      <c r="F68" s="21"/>
      <c r="G68" s="21"/>
      <c r="H68" s="29"/>
      <c r="J68" s="49" t="s">
        <v>105</v>
      </c>
      <c r="K68" s="57">
        <f>K61*K67</f>
        <v>2805.3750000000005</v>
      </c>
      <c r="L68" s="28"/>
      <c r="M68" s="28"/>
      <c r="N68" s="21"/>
      <c r="O68" s="21"/>
      <c r="P68" s="21"/>
      <c r="Q68" s="29"/>
      <c r="S68" s="49" t="s">
        <v>105</v>
      </c>
      <c r="T68" s="57">
        <f>T61*T67</f>
        <v>374.05</v>
      </c>
      <c r="U68" s="28"/>
      <c r="V68" s="28"/>
      <c r="W68" s="21"/>
      <c r="X68" s="21"/>
      <c r="Y68" s="21"/>
      <c r="Z68" s="29"/>
      <c r="AB68" s="49" t="s">
        <v>105</v>
      </c>
      <c r="AC68" s="57" t="e">
        <f>AH158*AC67</f>
        <v>#VALUE!</v>
      </c>
      <c r="AD68" s="28"/>
      <c r="AE68" s="28"/>
      <c r="AF68" s="21"/>
      <c r="AG68" s="21"/>
      <c r="AH68" s="21"/>
      <c r="AI68" s="29"/>
    </row>
    <row r="69" spans="1:35">
      <c r="A69" s="66" t="s">
        <v>106</v>
      </c>
      <c r="B69" s="67">
        <v>0</v>
      </c>
      <c r="C69" s="28"/>
      <c r="D69" s="28"/>
      <c r="E69" s="21"/>
      <c r="F69" s="21"/>
      <c r="G69" s="21"/>
      <c r="H69" s="29"/>
      <c r="J69" s="66" t="s">
        <v>106</v>
      </c>
      <c r="K69" s="67">
        <v>0</v>
      </c>
      <c r="L69" s="28"/>
      <c r="M69" s="28"/>
      <c r="N69" s="21"/>
      <c r="O69" s="21"/>
      <c r="P69" s="21"/>
      <c r="Q69" s="29"/>
      <c r="S69" s="66" t="s">
        <v>106</v>
      </c>
      <c r="T69" s="67">
        <v>0</v>
      </c>
      <c r="U69" s="28"/>
      <c r="V69" s="28"/>
      <c r="W69" s="21"/>
      <c r="X69" s="21"/>
      <c r="Y69" s="21"/>
      <c r="Z69" s="29"/>
      <c r="AB69" s="66" t="s">
        <v>106</v>
      </c>
      <c r="AC69" s="67">
        <v>0</v>
      </c>
      <c r="AD69" s="28"/>
      <c r="AE69" s="28"/>
      <c r="AF69" s="21"/>
      <c r="AG69" s="21"/>
      <c r="AH69" s="21"/>
      <c r="AI69" s="29"/>
    </row>
    <row r="70" spans="1:35">
      <c r="A70" s="68" t="s">
        <v>107</v>
      </c>
      <c r="B70" s="69">
        <v>0</v>
      </c>
      <c r="C70" s="28"/>
      <c r="D70" s="28"/>
      <c r="E70" s="21"/>
      <c r="F70" s="21"/>
      <c r="G70" s="21"/>
      <c r="H70" s="29"/>
      <c r="J70" s="68" t="s">
        <v>107</v>
      </c>
      <c r="K70" s="69">
        <v>0</v>
      </c>
      <c r="L70" s="28"/>
      <c r="M70" s="28"/>
      <c r="N70" s="21"/>
      <c r="O70" s="21"/>
      <c r="P70" s="21"/>
      <c r="Q70" s="29"/>
      <c r="S70" s="68" t="s">
        <v>107</v>
      </c>
      <c r="T70" s="69">
        <v>0</v>
      </c>
      <c r="U70" s="28"/>
      <c r="V70" s="28"/>
      <c r="W70" s="21"/>
      <c r="X70" s="21"/>
      <c r="Y70" s="21"/>
      <c r="Z70" s="29"/>
      <c r="AB70" s="68" t="s">
        <v>107</v>
      </c>
      <c r="AC70" s="69">
        <v>0</v>
      </c>
      <c r="AD70" s="28"/>
      <c r="AE70" s="28"/>
      <c r="AF70" s="21"/>
      <c r="AG70" s="21"/>
      <c r="AH70" s="21"/>
      <c r="AI70" s="29"/>
    </row>
    <row r="71" spans="1:35">
      <c r="A71" s="49" t="s">
        <v>108</v>
      </c>
      <c r="B71" s="73">
        <f>B69*(1+B70)</f>
        <v>0</v>
      </c>
      <c r="C71" s="28"/>
      <c r="D71" s="28"/>
      <c r="E71" s="21"/>
      <c r="F71" s="21"/>
      <c r="G71" s="21"/>
      <c r="H71" s="29"/>
      <c r="J71" s="49" t="s">
        <v>108</v>
      </c>
      <c r="K71" s="73">
        <f>K69*(1+K70)</f>
        <v>0</v>
      </c>
      <c r="L71" s="28"/>
      <c r="M71" s="28"/>
      <c r="N71" s="21"/>
      <c r="O71" s="21"/>
      <c r="P71" s="21"/>
      <c r="Q71" s="29"/>
      <c r="S71" s="49" t="s">
        <v>108</v>
      </c>
      <c r="T71" s="73">
        <f>T69*(1+T70)</f>
        <v>0</v>
      </c>
      <c r="U71" s="28"/>
      <c r="V71" s="28"/>
      <c r="W71" s="21"/>
      <c r="X71" s="21"/>
      <c r="Y71" s="21"/>
      <c r="Z71" s="29"/>
      <c r="AB71" s="49" t="s">
        <v>108</v>
      </c>
      <c r="AC71" s="73">
        <f>AC69*(1+AC70)</f>
        <v>0</v>
      </c>
      <c r="AD71" s="28"/>
      <c r="AE71" s="28"/>
      <c r="AF71" s="21"/>
      <c r="AG71" s="21"/>
      <c r="AH71" s="21"/>
      <c r="AI71" s="29"/>
    </row>
    <row r="72" spans="1:35">
      <c r="A72" s="66" t="s">
        <v>109</v>
      </c>
      <c r="B72" s="74">
        <v>0</v>
      </c>
      <c r="C72" s="28"/>
      <c r="D72" s="28"/>
      <c r="E72" s="21"/>
      <c r="F72" s="21"/>
      <c r="G72" s="21"/>
      <c r="H72" s="29"/>
      <c r="J72" s="66" t="s">
        <v>109</v>
      </c>
      <c r="K72" s="74">
        <v>0</v>
      </c>
      <c r="L72" s="28"/>
      <c r="M72" s="28"/>
      <c r="N72" s="21"/>
      <c r="O72" s="21"/>
      <c r="P72" s="21"/>
      <c r="Q72" s="29"/>
      <c r="S72" s="66" t="s">
        <v>109</v>
      </c>
      <c r="T72" s="74">
        <v>0</v>
      </c>
      <c r="U72" s="28"/>
      <c r="V72" s="28"/>
      <c r="W72" s="21"/>
      <c r="X72" s="21"/>
      <c r="Y72" s="21"/>
      <c r="Z72" s="29"/>
      <c r="AB72" s="66" t="s">
        <v>109</v>
      </c>
      <c r="AC72" s="74">
        <v>0</v>
      </c>
      <c r="AD72" s="28"/>
      <c r="AE72" s="28"/>
      <c r="AF72" s="21"/>
      <c r="AG72" s="21"/>
      <c r="AH72" s="21"/>
      <c r="AI72" s="29"/>
    </row>
    <row r="73" spans="1:35">
      <c r="A73" s="68" t="s">
        <v>110</v>
      </c>
      <c r="B73" s="65">
        <v>0</v>
      </c>
      <c r="C73" s="28"/>
      <c r="D73" s="28"/>
      <c r="E73" s="21"/>
      <c r="F73" s="21"/>
      <c r="G73" s="21"/>
      <c r="H73" s="29"/>
      <c r="J73" s="68" t="s">
        <v>110</v>
      </c>
      <c r="K73" s="65">
        <v>0</v>
      </c>
      <c r="L73" s="28"/>
      <c r="M73" s="28"/>
      <c r="N73" s="21"/>
      <c r="O73" s="21"/>
      <c r="P73" s="21"/>
      <c r="Q73" s="29"/>
      <c r="S73" s="68" t="s">
        <v>110</v>
      </c>
      <c r="T73" s="65">
        <v>0</v>
      </c>
      <c r="U73" s="28"/>
      <c r="V73" s="28"/>
      <c r="W73" s="21"/>
      <c r="X73" s="21"/>
      <c r="Y73" s="21"/>
      <c r="Z73" s="29"/>
      <c r="AB73" s="68" t="s">
        <v>110</v>
      </c>
      <c r="AC73" s="65">
        <v>0</v>
      </c>
      <c r="AD73" s="28"/>
      <c r="AE73" s="28"/>
      <c r="AF73" s="21"/>
      <c r="AG73" s="21"/>
      <c r="AH73" s="21"/>
      <c r="AI73" s="29"/>
    </row>
    <row r="74" spans="1:35">
      <c r="A74" s="49" t="s">
        <v>111</v>
      </c>
      <c r="B74" s="57">
        <f>B73*K29</f>
        <v>0</v>
      </c>
      <c r="C74" s="28"/>
      <c r="D74" s="28">
        <f>B74+B72</f>
        <v>0</v>
      </c>
      <c r="E74" s="21"/>
      <c r="F74" s="21"/>
      <c r="G74" s="21"/>
      <c r="H74" s="29"/>
      <c r="J74" s="49" t="s">
        <v>111</v>
      </c>
      <c r="K74" s="57">
        <f>K73*K29</f>
        <v>0</v>
      </c>
      <c r="L74" s="28"/>
      <c r="M74" s="28">
        <f>K74+K72</f>
        <v>0</v>
      </c>
      <c r="N74" s="21"/>
      <c r="O74" s="21"/>
      <c r="P74" s="21"/>
      <c r="Q74" s="29"/>
      <c r="S74" s="49" t="s">
        <v>111</v>
      </c>
      <c r="T74" s="57">
        <f>T73*K29</f>
        <v>0</v>
      </c>
      <c r="U74" s="28"/>
      <c r="V74" s="28">
        <f>T74+T72</f>
        <v>0</v>
      </c>
      <c r="W74" s="21"/>
      <c r="X74" s="21"/>
      <c r="Y74" s="21"/>
      <c r="Z74" s="29"/>
      <c r="AB74" s="49" t="s">
        <v>111</v>
      </c>
      <c r="AC74" s="57">
        <f>AC73*K29</f>
        <v>0</v>
      </c>
      <c r="AD74" s="28"/>
      <c r="AE74" s="28">
        <f>AC74+AC72</f>
        <v>0</v>
      </c>
      <c r="AF74" s="21"/>
      <c r="AG74" s="21"/>
      <c r="AH74" s="21"/>
      <c r="AI74" s="29"/>
    </row>
    <row r="75" spans="1:35">
      <c r="A75" s="68" t="s">
        <v>112</v>
      </c>
      <c r="B75" s="65">
        <v>0</v>
      </c>
      <c r="C75" s="28"/>
      <c r="D75" s="28">
        <f>B75</f>
        <v>0</v>
      </c>
      <c r="E75" s="21"/>
      <c r="F75" s="21"/>
      <c r="G75" s="21"/>
      <c r="H75" s="29"/>
      <c r="J75" s="68" t="s">
        <v>112</v>
      </c>
      <c r="K75" s="65">
        <v>0</v>
      </c>
      <c r="L75" s="28"/>
      <c r="M75" s="28">
        <f>K75</f>
        <v>0</v>
      </c>
      <c r="N75" s="21"/>
      <c r="O75" s="21"/>
      <c r="P75" s="21"/>
      <c r="Q75" s="29"/>
      <c r="S75" s="68" t="s">
        <v>112</v>
      </c>
      <c r="T75" s="65">
        <v>0</v>
      </c>
      <c r="U75" s="28"/>
      <c r="V75" s="28">
        <f>T75</f>
        <v>0</v>
      </c>
      <c r="W75" s="21"/>
      <c r="X75" s="21"/>
      <c r="Y75" s="21"/>
      <c r="Z75" s="29"/>
      <c r="AB75" s="68" t="s">
        <v>112</v>
      </c>
      <c r="AC75" s="65">
        <v>0</v>
      </c>
      <c r="AD75" s="28"/>
      <c r="AE75" s="28">
        <f>AC75</f>
        <v>0</v>
      </c>
      <c r="AF75" s="21"/>
      <c r="AG75" s="21"/>
      <c r="AH75" s="21"/>
      <c r="AI75" s="29"/>
    </row>
    <row r="76" spans="1:35">
      <c r="A76" s="70" t="s">
        <v>113</v>
      </c>
      <c r="B76" s="75">
        <v>0</v>
      </c>
      <c r="C76" s="28"/>
      <c r="D76" s="28">
        <f>B76</f>
        <v>0</v>
      </c>
      <c r="E76" s="21"/>
      <c r="F76" s="28"/>
      <c r="G76" s="21"/>
      <c r="H76" s="29"/>
      <c r="J76" s="70" t="s">
        <v>113</v>
      </c>
      <c r="K76" s="75">
        <v>0</v>
      </c>
      <c r="L76" s="28"/>
      <c r="M76" s="28">
        <f>K76</f>
        <v>0</v>
      </c>
      <c r="N76" s="21"/>
      <c r="O76" s="21"/>
      <c r="P76" s="21"/>
      <c r="Q76" s="29"/>
      <c r="S76" s="70" t="s">
        <v>113</v>
      </c>
      <c r="T76" s="75">
        <v>0</v>
      </c>
      <c r="U76" s="28"/>
      <c r="V76" s="28">
        <f>T76</f>
        <v>0</v>
      </c>
      <c r="W76" s="21"/>
      <c r="X76" s="21"/>
      <c r="Y76" s="21"/>
      <c r="Z76" s="29"/>
      <c r="AB76" s="70" t="s">
        <v>113</v>
      </c>
      <c r="AC76" s="75">
        <v>0</v>
      </c>
      <c r="AD76" s="28"/>
      <c r="AE76" s="28">
        <f>AC76</f>
        <v>0</v>
      </c>
      <c r="AF76" s="21"/>
      <c r="AG76" s="21"/>
      <c r="AH76" s="21"/>
      <c r="AI76" s="29"/>
    </row>
    <row r="77" spans="1:35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  <c r="J77" s="76" t="s">
        <v>114</v>
      </c>
      <c r="K77" s="77">
        <f>SUM(M65:M76)</f>
        <v>0</v>
      </c>
      <c r="L77" s="28"/>
      <c r="M77" s="28"/>
      <c r="N77" s="21"/>
      <c r="O77" s="21"/>
      <c r="P77" s="21"/>
      <c r="Q77" s="29"/>
      <c r="S77" s="76" t="s">
        <v>114</v>
      </c>
      <c r="T77" s="77">
        <f>SUM(V65:V76)</f>
        <v>0</v>
      </c>
      <c r="U77" s="28"/>
      <c r="V77" s="28"/>
      <c r="W77" s="21"/>
      <c r="X77" s="21"/>
      <c r="Y77" s="21"/>
      <c r="Z77" s="29"/>
      <c r="AB77" s="76" t="s">
        <v>114</v>
      </c>
      <c r="AC77" s="77">
        <f>SUM(AE65:AE76)</f>
        <v>0</v>
      </c>
      <c r="AD77" s="28"/>
      <c r="AE77" s="28"/>
      <c r="AF77" s="21"/>
      <c r="AG77" s="21"/>
      <c r="AH77" s="21"/>
      <c r="AI77" s="29"/>
    </row>
    <row r="78" spans="1:35">
      <c r="A78" s="27" t="s">
        <v>115</v>
      </c>
      <c r="B78" s="29">
        <f>B77/K29</f>
        <v>0</v>
      </c>
      <c r="C78" s="28"/>
      <c r="D78" s="28"/>
      <c r="E78" s="21"/>
      <c r="F78" s="21"/>
      <c r="G78" s="21"/>
      <c r="H78" s="29"/>
      <c r="J78" s="27" t="s">
        <v>115</v>
      </c>
      <c r="K78" s="29">
        <f>K77/K29</f>
        <v>0</v>
      </c>
      <c r="L78" s="28"/>
      <c r="M78" s="28"/>
      <c r="N78" s="21"/>
      <c r="O78" s="21"/>
      <c r="P78" s="21"/>
      <c r="Q78" s="29"/>
      <c r="S78" s="27" t="s">
        <v>115</v>
      </c>
      <c r="T78" s="29">
        <f>T77/K29</f>
        <v>0</v>
      </c>
      <c r="U78" s="28"/>
      <c r="V78" s="28"/>
      <c r="W78" s="21"/>
      <c r="X78" s="21"/>
      <c r="Y78" s="21"/>
      <c r="Z78" s="29"/>
      <c r="AB78" s="27" t="s">
        <v>115</v>
      </c>
      <c r="AC78" s="29">
        <f>AC77/K29</f>
        <v>0</v>
      </c>
      <c r="AD78" s="28"/>
      <c r="AE78" s="28"/>
      <c r="AF78" s="21"/>
      <c r="AG78" s="21"/>
      <c r="AH78" s="21"/>
      <c r="AI78" s="29"/>
    </row>
    <row r="79" spans="1:35">
      <c r="A79" s="78" t="s">
        <v>116</v>
      </c>
      <c r="B79" s="52">
        <f>K47</f>
        <v>428.41971900703453</v>
      </c>
      <c r="C79" s="28"/>
      <c r="D79" s="28"/>
      <c r="E79" s="21"/>
      <c r="F79" s="21"/>
      <c r="G79" s="21"/>
      <c r="H79" s="29"/>
      <c r="J79" s="78" t="s">
        <v>116</v>
      </c>
      <c r="K79" s="52">
        <f>K47</f>
        <v>428.41971900703453</v>
      </c>
      <c r="L79" s="28"/>
      <c r="M79" s="28"/>
      <c r="N79" s="21"/>
      <c r="O79" s="21"/>
      <c r="P79" s="21"/>
      <c r="Q79" s="29"/>
      <c r="S79" s="78" t="s">
        <v>116</v>
      </c>
      <c r="T79" s="52">
        <f>B52</f>
        <v>428.41971900703453</v>
      </c>
      <c r="U79" s="28"/>
      <c r="V79" s="28"/>
      <c r="W79" s="21"/>
      <c r="X79" s="21"/>
      <c r="Y79" s="21"/>
      <c r="Z79" s="29"/>
      <c r="AB79" s="78" t="s">
        <v>116</v>
      </c>
      <c r="AC79" s="52">
        <f>B52</f>
        <v>428.41971900703453</v>
      </c>
      <c r="AD79" s="28"/>
      <c r="AE79" s="28"/>
      <c r="AF79" s="21"/>
      <c r="AG79" s="21"/>
      <c r="AH79" s="21"/>
      <c r="AI79" s="29"/>
    </row>
    <row r="80" spans="1:35">
      <c r="A80" s="27"/>
      <c r="B80" s="28"/>
      <c r="C80" s="28"/>
      <c r="D80" s="28"/>
      <c r="E80" s="21"/>
      <c r="F80" s="21"/>
      <c r="G80" s="21"/>
      <c r="H80" s="29"/>
      <c r="J80" s="27"/>
      <c r="K80" s="28"/>
      <c r="L80" s="28"/>
      <c r="M80" s="28"/>
      <c r="N80" s="21"/>
      <c r="O80" s="21"/>
      <c r="P80" s="21"/>
      <c r="Q80" s="29"/>
      <c r="S80" s="27"/>
      <c r="T80" s="28"/>
      <c r="U80" s="28"/>
      <c r="V80" s="28"/>
      <c r="W80" s="21"/>
      <c r="X80" s="21"/>
      <c r="Y80" s="21"/>
      <c r="Z80" s="29"/>
      <c r="AB80" s="27"/>
      <c r="AC80" s="28"/>
      <c r="AD80" s="28"/>
      <c r="AE80" s="28"/>
      <c r="AF80" s="21"/>
      <c r="AG80" s="21"/>
      <c r="AH80" s="21"/>
      <c r="AI80" s="29"/>
    </row>
    <row r="81" spans="1:35">
      <c r="A81" s="22" t="s">
        <v>117</v>
      </c>
      <c r="B81" s="24">
        <f>G158</f>
        <v>23920.003999999997</v>
      </c>
      <c r="C81" s="28"/>
      <c r="D81" s="28"/>
      <c r="E81" s="21"/>
      <c r="F81" s="22" t="s">
        <v>117</v>
      </c>
      <c r="G81" s="24">
        <f>G158</f>
        <v>23920.003999999997</v>
      </c>
      <c r="H81" s="29"/>
      <c r="J81" s="22" t="s">
        <v>117</v>
      </c>
      <c r="K81" s="24" t="e">
        <f>P158</f>
        <v>#VALUE!</v>
      </c>
      <c r="L81" s="28"/>
      <c r="M81" s="28"/>
      <c r="N81" s="21"/>
      <c r="O81" s="21"/>
      <c r="P81" s="21"/>
      <c r="Q81" s="29"/>
      <c r="S81" s="22" t="s">
        <v>117</v>
      </c>
      <c r="T81" s="24" t="e">
        <f>Y158</f>
        <v>#VALUE!</v>
      </c>
      <c r="U81" s="28"/>
      <c r="V81" s="28"/>
      <c r="W81" s="21"/>
      <c r="X81" s="21"/>
      <c r="Y81" s="21"/>
      <c r="Z81" s="29"/>
      <c r="AB81" s="22" t="s">
        <v>117</v>
      </c>
      <c r="AC81" s="24" t="e">
        <f>AH158</f>
        <v>#VALUE!</v>
      </c>
      <c r="AD81" s="28"/>
      <c r="AE81" s="28"/>
      <c r="AF81" s="21"/>
      <c r="AG81" s="21"/>
      <c r="AH81" s="21"/>
      <c r="AI81" s="29"/>
    </row>
    <row r="82" spans="1:35">
      <c r="A82" s="27" t="s">
        <v>118</v>
      </c>
      <c r="B82" s="29">
        <f>IF(A111="YES",A40,0)</f>
        <v>0</v>
      </c>
      <c r="C82" s="28"/>
      <c r="D82" s="28"/>
      <c r="E82" s="21"/>
      <c r="F82" s="27" t="s">
        <v>118</v>
      </c>
      <c r="G82" s="29">
        <f>IF(A111="YES",A40,0)</f>
        <v>0</v>
      </c>
      <c r="H82" s="29"/>
      <c r="J82" s="27" t="s">
        <v>118</v>
      </c>
      <c r="K82" s="29">
        <f>IF(J111="YES",A40,0)</f>
        <v>0</v>
      </c>
      <c r="L82" s="28"/>
      <c r="M82" s="28"/>
      <c r="N82" s="21"/>
      <c r="O82" s="21"/>
      <c r="P82" s="21"/>
      <c r="Q82" s="29"/>
      <c r="S82" s="27" t="s">
        <v>118</v>
      </c>
      <c r="T82" s="29">
        <f>A40</f>
        <v>0</v>
      </c>
      <c r="U82" s="28"/>
      <c r="V82" s="28"/>
      <c r="W82" s="21"/>
      <c r="X82" s="21"/>
      <c r="Y82" s="21"/>
      <c r="Z82" s="29"/>
      <c r="AB82" s="27" t="s">
        <v>118</v>
      </c>
      <c r="AC82" s="29">
        <f>A40</f>
        <v>0</v>
      </c>
      <c r="AD82" s="28"/>
      <c r="AE82" s="28"/>
      <c r="AF82" s="21"/>
      <c r="AG82" s="21"/>
      <c r="AH82" s="21"/>
      <c r="AI82" s="29"/>
    </row>
    <row r="83" spans="1:35">
      <c r="A83" s="27" t="s">
        <v>119</v>
      </c>
      <c r="B83" s="79">
        <f>B62+B63+B64</f>
        <v>0.12000000000000001</v>
      </c>
      <c r="C83" s="28"/>
      <c r="D83" s="28"/>
      <c r="E83" s="21"/>
      <c r="F83" s="27" t="s">
        <v>119</v>
      </c>
      <c r="G83" s="79">
        <f>B63</f>
        <v>7.0000000000000007E-2</v>
      </c>
      <c r="H83" s="29"/>
      <c r="J83" s="27" t="s">
        <v>119</v>
      </c>
      <c r="K83" s="72">
        <f>K62+K63+K64</f>
        <v>0.24000000000000002</v>
      </c>
      <c r="L83" s="28"/>
      <c r="M83" s="28"/>
      <c r="N83" s="21"/>
      <c r="O83" s="21"/>
      <c r="P83" s="21"/>
      <c r="Q83" s="29"/>
      <c r="S83" s="27" t="s">
        <v>119</v>
      </c>
      <c r="T83" s="72">
        <f>T62+T63+T64</f>
        <v>0.13100000000000001</v>
      </c>
      <c r="U83" s="28"/>
      <c r="V83" s="28"/>
      <c r="W83" s="21"/>
      <c r="X83" s="21"/>
      <c r="Y83" s="21"/>
      <c r="Z83" s="29"/>
      <c r="AB83" s="27" t="s">
        <v>119</v>
      </c>
      <c r="AC83" s="72">
        <f>AC62+AC63+AC64</f>
        <v>0.13100000000000001</v>
      </c>
      <c r="AD83" s="28"/>
      <c r="AE83" s="28"/>
      <c r="AF83" s="21"/>
      <c r="AG83" s="21"/>
      <c r="AH83" s="21"/>
      <c r="AI83" s="29"/>
    </row>
    <row r="84" spans="1:35">
      <c r="A84" s="27" t="s">
        <v>120</v>
      </c>
      <c r="B84" s="72">
        <f>B83/12</f>
        <v>0.01</v>
      </c>
      <c r="C84" s="28"/>
      <c r="D84" s="28"/>
      <c r="E84" s="21"/>
      <c r="F84" s="27" t="s">
        <v>120</v>
      </c>
      <c r="G84" s="72">
        <f>G83/12</f>
        <v>5.8333333333333336E-3</v>
      </c>
      <c r="H84" s="29"/>
      <c r="J84" s="27" t="s">
        <v>120</v>
      </c>
      <c r="K84" s="72">
        <f>K83/12</f>
        <v>0.02</v>
      </c>
      <c r="L84" s="28"/>
      <c r="M84" s="28"/>
      <c r="N84" s="21"/>
      <c r="O84" s="21"/>
      <c r="P84" s="21"/>
      <c r="Q84" s="29"/>
      <c r="S84" s="27" t="s">
        <v>120</v>
      </c>
      <c r="T84" s="72">
        <f>T83/12</f>
        <v>1.0916666666666667E-2</v>
      </c>
      <c r="U84" s="28"/>
      <c r="V84" s="28"/>
      <c r="W84" s="21"/>
      <c r="X84" s="21"/>
      <c r="Y84" s="21"/>
      <c r="Z84" s="29"/>
      <c r="AB84" s="27" t="s">
        <v>120</v>
      </c>
      <c r="AC84" s="72">
        <f>AC83/12</f>
        <v>1.0916666666666667E-2</v>
      </c>
      <c r="AD84" s="28"/>
      <c r="AE84" s="28"/>
      <c r="AF84" s="21"/>
      <c r="AG84" s="21"/>
      <c r="AH84" s="21"/>
      <c r="AI84" s="29"/>
    </row>
    <row r="85" spans="1:35">
      <c r="A85" s="27" t="s">
        <v>121</v>
      </c>
      <c r="B85" s="29">
        <f>IF(B82=0,(B59+B58),(B59))</f>
        <v>36</v>
      </c>
      <c r="C85" s="28"/>
      <c r="D85" s="28"/>
      <c r="E85" s="21"/>
      <c r="F85" s="27" t="s">
        <v>121</v>
      </c>
      <c r="G85" s="29">
        <f>IF(G82=0,(B59+B58),(B59))</f>
        <v>36</v>
      </c>
      <c r="H85" s="29"/>
      <c r="J85" s="27" t="s">
        <v>121</v>
      </c>
      <c r="K85" s="29">
        <f>IF(K82=0,(K59+K58),(K59))</f>
        <v>36</v>
      </c>
      <c r="L85" s="28"/>
      <c r="M85" s="28"/>
      <c r="N85" s="21"/>
      <c r="O85" s="21"/>
      <c r="P85" s="21"/>
      <c r="Q85" s="29"/>
      <c r="S85" s="27" t="s">
        <v>121</v>
      </c>
      <c r="T85" s="29">
        <f>T59</f>
        <v>35</v>
      </c>
      <c r="U85" s="28"/>
      <c r="V85" s="28"/>
      <c r="W85" s="21"/>
      <c r="X85" s="21"/>
      <c r="Y85" s="21"/>
      <c r="Z85" s="29"/>
      <c r="AB85" s="27" t="s">
        <v>121</v>
      </c>
      <c r="AC85" s="29">
        <f>AC59</f>
        <v>35</v>
      </c>
      <c r="AD85" s="28"/>
      <c r="AE85" s="28"/>
      <c r="AF85" s="21"/>
      <c r="AG85" s="21"/>
      <c r="AH85" s="21"/>
      <c r="AI85" s="29"/>
    </row>
    <row r="86" spans="1:35">
      <c r="A86" s="27" t="s">
        <v>122</v>
      </c>
      <c r="B86" s="29">
        <f>(B82/((1+B84)^(B85+1)))</f>
        <v>0</v>
      </c>
      <c r="C86" s="28"/>
      <c r="D86" s="28"/>
      <c r="E86" s="21"/>
      <c r="F86" s="27" t="s">
        <v>122</v>
      </c>
      <c r="G86" s="29">
        <f>(G82/((1+G84)^(G85+1)))</f>
        <v>0</v>
      </c>
      <c r="H86" s="29"/>
      <c r="J86" s="27" t="s">
        <v>122</v>
      </c>
      <c r="K86" s="29">
        <f>(K82/((1+K84)^(K85+1)))</f>
        <v>0</v>
      </c>
      <c r="L86" s="28"/>
      <c r="M86" s="28"/>
      <c r="N86" s="21"/>
      <c r="O86" s="21"/>
      <c r="P86" s="21"/>
      <c r="Q86" s="29"/>
      <c r="S86" s="27" t="s">
        <v>122</v>
      </c>
      <c r="T86" s="29">
        <f>(T82/((1+T84)^(T85+1)))</f>
        <v>0</v>
      </c>
      <c r="U86" s="28"/>
      <c r="V86" s="28"/>
      <c r="W86" s="21"/>
      <c r="X86" s="21"/>
      <c r="Y86" s="21"/>
      <c r="Z86" s="29"/>
      <c r="AB86" s="27" t="s">
        <v>122</v>
      </c>
      <c r="AC86" s="29">
        <f>(AC82/((1+AC84)^(AC85+1)))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123</v>
      </c>
      <c r="B87" s="29">
        <f>((1-(1/((1+B84)^B85)))/B84)</f>
        <v>30.10750503727413</v>
      </c>
      <c r="C87" s="28"/>
      <c r="D87" s="28"/>
      <c r="E87" s="21"/>
      <c r="F87" s="27" t="s">
        <v>123</v>
      </c>
      <c r="G87" s="29">
        <f>((1-(1/((1+G84)^G85)))/G84)</f>
        <v>32.386464451633181</v>
      </c>
      <c r="H87" s="29"/>
      <c r="J87" s="27" t="s">
        <v>123</v>
      </c>
      <c r="K87" s="29">
        <f>((1-(1/((1+K84)^K85)))/K84)</f>
        <v>25.488842482387387</v>
      </c>
      <c r="L87" s="28"/>
      <c r="M87" s="28"/>
      <c r="N87" s="21"/>
      <c r="O87" s="21"/>
      <c r="P87" s="21"/>
      <c r="Q87" s="29"/>
      <c r="S87" s="27" t="s">
        <v>123</v>
      </c>
      <c r="T87" s="29">
        <f>((1-(1/((1+T84)^T85)))/T84)</f>
        <v>28.960065194107752</v>
      </c>
      <c r="U87" s="28"/>
      <c r="V87" s="28"/>
      <c r="W87" s="21"/>
      <c r="X87" s="21"/>
      <c r="Y87" s="21"/>
      <c r="Z87" s="29"/>
      <c r="AB87" s="27" t="s">
        <v>123</v>
      </c>
      <c r="AC87" s="29">
        <f>((1-(1/((1+AC84)^AC85)))/AC84)</f>
        <v>28.960065194107752</v>
      </c>
      <c r="AD87" s="28"/>
      <c r="AE87" s="28"/>
      <c r="AF87" s="21"/>
      <c r="AG87" s="21"/>
      <c r="AH87" s="21"/>
      <c r="AI87" s="29"/>
    </row>
    <row r="88" spans="1:35">
      <c r="A88" s="27" t="s">
        <v>124</v>
      </c>
      <c r="B88" s="29">
        <f>B81-B86</f>
        <v>23920.003999999997</v>
      </c>
      <c r="C88" s="28"/>
      <c r="D88" s="28"/>
      <c r="E88" s="21"/>
      <c r="F88" s="27" t="s">
        <v>124</v>
      </c>
      <c r="G88" s="29">
        <f>G81-G86</f>
        <v>23920.003999999997</v>
      </c>
      <c r="H88" s="29"/>
      <c r="J88" s="27" t="s">
        <v>124</v>
      </c>
      <c r="K88" s="29" t="e">
        <f>K81-K86</f>
        <v>#VALUE!</v>
      </c>
      <c r="L88" s="28"/>
      <c r="M88" s="28"/>
      <c r="N88" s="21"/>
      <c r="O88" s="21"/>
      <c r="P88" s="21"/>
      <c r="Q88" s="29"/>
      <c r="S88" s="27" t="s">
        <v>124</v>
      </c>
      <c r="T88" s="29" t="e">
        <f>T81-T86</f>
        <v>#VALUE!</v>
      </c>
      <c r="U88" s="28"/>
      <c r="V88" s="28"/>
      <c r="W88" s="21"/>
      <c r="X88" s="21"/>
      <c r="Y88" s="21"/>
      <c r="Z88" s="29"/>
      <c r="AB88" s="27" t="s">
        <v>124</v>
      </c>
      <c r="AC88" s="29" t="e">
        <f>AC81-AC86</f>
        <v>#VALUE!</v>
      </c>
      <c r="AD88" s="28"/>
      <c r="AE88" s="28"/>
      <c r="AF88" s="21"/>
      <c r="AG88" s="21"/>
      <c r="AH88" s="21"/>
      <c r="AI88" s="29"/>
    </row>
    <row r="89" spans="1:35">
      <c r="A89" s="27" t="s">
        <v>125</v>
      </c>
      <c r="B89" s="29">
        <f>(B88/B87)</f>
        <v>794.48642358063898</v>
      </c>
      <c r="C89" s="28"/>
      <c r="D89" s="28"/>
      <c r="E89" s="21"/>
      <c r="F89" s="27" t="s">
        <v>125</v>
      </c>
      <c r="G89" s="29">
        <f>(G88/G87)</f>
        <v>738.5802805280822</v>
      </c>
      <c r="H89" s="29"/>
      <c r="J89" s="27" t="s">
        <v>125</v>
      </c>
      <c r="K89" s="29" t="e">
        <f>(K88/K87)</f>
        <v>#VALUE!</v>
      </c>
      <c r="L89" s="28"/>
      <c r="M89" s="28"/>
      <c r="N89" s="21"/>
      <c r="O89" s="21"/>
      <c r="P89" s="21"/>
      <c r="Q89" s="29"/>
      <c r="S89" s="27" t="s">
        <v>125</v>
      </c>
      <c r="T89" s="29" t="e">
        <f>(T88/T87)</f>
        <v>#VALUE!</v>
      </c>
      <c r="U89" s="28"/>
      <c r="V89" s="28"/>
      <c r="W89" s="21"/>
      <c r="X89" s="21"/>
      <c r="Y89" s="21"/>
      <c r="Z89" s="29"/>
      <c r="AB89" s="27" t="s">
        <v>125</v>
      </c>
      <c r="AC89" s="29" t="e">
        <f>(AC88/AC87)</f>
        <v>#VALUE!</v>
      </c>
      <c r="AD89" s="28"/>
      <c r="AE89" s="28"/>
      <c r="AF89" s="21"/>
      <c r="AG89" s="21"/>
      <c r="AH89" s="21"/>
      <c r="AI89" s="29"/>
    </row>
    <row r="90" spans="1:35">
      <c r="A90" s="27" t="s">
        <v>126</v>
      </c>
      <c r="B90" s="29">
        <f>((B89*(B85))+B77)</f>
        <v>28601.511248903003</v>
      </c>
      <c r="C90" s="28"/>
      <c r="D90" s="28"/>
      <c r="E90" s="21"/>
      <c r="F90" s="27" t="s">
        <v>126</v>
      </c>
      <c r="G90" s="29">
        <f>((G89*(G85))+G77)</f>
        <v>26588.890099010958</v>
      </c>
      <c r="H90" s="29"/>
      <c r="J90" s="27" t="s">
        <v>126</v>
      </c>
      <c r="K90" s="29" t="e">
        <f>((K89*(K85))+K77)</f>
        <v>#VALUE!</v>
      </c>
      <c r="L90" s="28"/>
      <c r="M90" s="28"/>
      <c r="N90" s="21"/>
      <c r="O90" s="21"/>
      <c r="P90" s="21"/>
      <c r="Q90" s="29"/>
      <c r="S90" s="27" t="s">
        <v>126</v>
      </c>
      <c r="T90" s="29" t="e">
        <f>(T89*(T85))+T77</f>
        <v>#VALUE!</v>
      </c>
      <c r="U90" s="28"/>
      <c r="V90" s="28"/>
      <c r="W90" s="21"/>
      <c r="X90" s="21"/>
      <c r="Y90" s="21"/>
      <c r="Z90" s="29"/>
      <c r="AB90" s="27" t="s">
        <v>126</v>
      </c>
      <c r="AC90" s="29" t="e">
        <f>(AC89*(AC59))+AC77</f>
        <v>#VALUE!</v>
      </c>
      <c r="AD90" s="28"/>
      <c r="AE90" s="28"/>
      <c r="AF90" s="21"/>
      <c r="AG90" s="21"/>
      <c r="AH90" s="21"/>
      <c r="AI90" s="29"/>
    </row>
    <row r="91" spans="1:35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  <c r="J91" s="27" t="s">
        <v>127</v>
      </c>
      <c r="K91" s="29" t="e">
        <f>(K90/(1-K71))*K71</f>
        <v>#VALUE!</v>
      </c>
      <c r="L91" s="28"/>
      <c r="M91" s="28"/>
      <c r="N91" s="21"/>
      <c r="O91" s="21"/>
      <c r="P91" s="21"/>
      <c r="Q91" s="29"/>
      <c r="S91" s="27" t="s">
        <v>127</v>
      </c>
      <c r="T91" s="29" t="e">
        <f>(T90/(1-T71))*T71</f>
        <v>#VALUE!</v>
      </c>
      <c r="U91" s="28"/>
      <c r="V91" s="28"/>
      <c r="W91" s="21"/>
      <c r="X91" s="21"/>
      <c r="Y91" s="21"/>
      <c r="Z91" s="29"/>
      <c r="AB91" s="27" t="s">
        <v>127</v>
      </c>
      <c r="AC91" s="29" t="e">
        <f>(AC90/(1-AC71))*AC71</f>
        <v>#VALUE!</v>
      </c>
      <c r="AD91" s="28"/>
      <c r="AE91" s="28"/>
      <c r="AF91" s="21"/>
      <c r="AG91" s="21"/>
      <c r="AH91" s="21"/>
      <c r="AI91" s="29"/>
    </row>
    <row r="92" spans="1:35">
      <c r="A92" s="49" t="s">
        <v>128</v>
      </c>
      <c r="B92" s="57">
        <f>(B90+B91)</f>
        <v>28601.511248903003</v>
      </c>
      <c r="C92" s="28"/>
      <c r="D92" s="28"/>
      <c r="E92" s="21"/>
      <c r="F92" s="49" t="s">
        <v>128</v>
      </c>
      <c r="G92" s="57">
        <f>(G90+G91)</f>
        <v>26588.890099010958</v>
      </c>
      <c r="H92" s="29"/>
      <c r="J92" s="49" t="s">
        <v>128</v>
      </c>
      <c r="K92" s="57" t="e">
        <f>(K90+K91)</f>
        <v>#VALUE!</v>
      </c>
      <c r="L92" s="28"/>
      <c r="M92" s="28"/>
      <c r="N92" s="21"/>
      <c r="O92" s="21"/>
      <c r="P92" s="21"/>
      <c r="Q92" s="29"/>
      <c r="S92" s="49" t="s">
        <v>128</v>
      </c>
      <c r="T92" s="57" t="e">
        <f>(T90+T91)</f>
        <v>#VALUE!</v>
      </c>
      <c r="U92" s="28"/>
      <c r="V92" s="28"/>
      <c r="W92" s="21"/>
      <c r="X92" s="21"/>
      <c r="Y92" s="21"/>
      <c r="Z92" s="29"/>
      <c r="AB92" s="49" t="s">
        <v>128</v>
      </c>
      <c r="AC92" s="57" t="e">
        <f>(AC90+AC91)</f>
        <v>#VALUE!</v>
      </c>
      <c r="AD92" s="28"/>
      <c r="AE92" s="28"/>
      <c r="AF92" s="21"/>
      <c r="AG92" s="21"/>
      <c r="AH92" s="21"/>
      <c r="AI92" s="29"/>
    </row>
    <row r="93" spans="1:35">
      <c r="A93" s="27"/>
      <c r="B93" s="28"/>
      <c r="C93" s="28"/>
      <c r="D93" s="28"/>
      <c r="E93" s="21"/>
      <c r="F93" s="27"/>
      <c r="G93" s="28"/>
      <c r="H93" s="29"/>
      <c r="J93" s="27"/>
      <c r="K93" s="28"/>
      <c r="L93" s="28"/>
      <c r="M93" s="28"/>
      <c r="N93" s="21"/>
      <c r="O93" s="21"/>
      <c r="P93" s="21"/>
      <c r="Q93" s="29"/>
      <c r="S93" s="27"/>
      <c r="T93" s="28"/>
      <c r="U93" s="28"/>
      <c r="V93" s="28"/>
      <c r="W93" s="21"/>
      <c r="X93" s="21"/>
      <c r="Y93" s="21"/>
      <c r="Z93" s="29"/>
      <c r="AB93" s="27"/>
      <c r="AC93" s="28"/>
      <c r="AD93" s="28"/>
      <c r="AE93" s="28"/>
      <c r="AF93" s="21"/>
      <c r="AG93" s="21"/>
      <c r="AH93" s="21"/>
      <c r="AI93" s="29"/>
    </row>
    <row r="94" spans="1:35">
      <c r="A94" s="76" t="s">
        <v>129</v>
      </c>
      <c r="B94" s="80" t="str">
        <f>IF(B26="YES",((E40/B85)*(1+A108)*(C45/100)),"0")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  <c r="J94" s="76" t="s">
        <v>129</v>
      </c>
      <c r="K94" s="77">
        <f>((E40/K85)*(1+J108))*1.2</f>
        <v>0</v>
      </c>
      <c r="L94" s="28"/>
      <c r="M94" s="28"/>
      <c r="N94" s="21"/>
      <c r="O94" s="21"/>
      <c r="P94" s="21"/>
      <c r="Q94" s="29"/>
      <c r="S94" s="76" t="s">
        <v>129</v>
      </c>
      <c r="T94" s="77">
        <f>((E40/T85)*(1+S108))</f>
        <v>0</v>
      </c>
      <c r="U94" s="28"/>
      <c r="V94" s="28"/>
      <c r="W94" s="21"/>
      <c r="X94" s="21"/>
      <c r="Y94" s="21"/>
      <c r="Z94" s="29"/>
      <c r="AB94" s="76" t="s">
        <v>129</v>
      </c>
      <c r="AC94" s="77">
        <f>((E40/AC85)*(1+AB108))*1.2</f>
        <v>0</v>
      </c>
      <c r="AD94" s="28"/>
      <c r="AE94" s="28"/>
      <c r="AF94" s="21"/>
      <c r="AG94" s="21"/>
      <c r="AH94" s="21"/>
      <c r="AI94" s="29"/>
    </row>
    <row r="95" spans="1:35">
      <c r="A95" s="81" t="s">
        <v>130</v>
      </c>
      <c r="B95" s="82">
        <f>B92/(B85)</f>
        <v>794.48642358063898</v>
      </c>
      <c r="C95" s="28"/>
      <c r="D95" s="28"/>
      <c r="E95" s="21"/>
      <c r="F95" s="81" t="s">
        <v>130</v>
      </c>
      <c r="G95" s="82">
        <f>G92/(G85)</f>
        <v>738.5802805280822</v>
      </c>
      <c r="H95" s="29"/>
      <c r="J95" s="81" t="s">
        <v>130</v>
      </c>
      <c r="K95" s="82" t="e">
        <f>K92/(K85)</f>
        <v>#VALUE!</v>
      </c>
      <c r="L95" s="28"/>
      <c r="M95" s="28"/>
      <c r="N95" s="21"/>
      <c r="O95" s="21"/>
      <c r="P95" s="21"/>
      <c r="Q95" s="29"/>
      <c r="S95" s="81" t="s">
        <v>130</v>
      </c>
      <c r="T95" s="82" t="e">
        <f>T92/(T85)</f>
        <v>#VALUE!</v>
      </c>
      <c r="U95" s="28"/>
      <c r="V95" s="28"/>
      <c r="W95" s="21"/>
      <c r="X95" s="21"/>
      <c r="Y95" s="21"/>
      <c r="Z95" s="29"/>
      <c r="AB95" s="81" t="s">
        <v>130</v>
      </c>
      <c r="AC95" s="82" t="e">
        <f>AC92/(AC59)</f>
        <v>#VALUE!</v>
      </c>
      <c r="AD95" s="28"/>
      <c r="AE95" s="28"/>
      <c r="AF95" s="21"/>
      <c r="AG95" s="21"/>
      <c r="AH95" s="21"/>
      <c r="AI95" s="29"/>
    </row>
    <row r="96" spans="1:35">
      <c r="A96" s="83" t="s">
        <v>131</v>
      </c>
      <c r="B96" s="84">
        <f>B94+B95</f>
        <v>794.48642358063898</v>
      </c>
      <c r="C96" s="28"/>
      <c r="D96" s="28"/>
      <c r="E96" s="21"/>
      <c r="F96" s="83" t="s">
        <v>131</v>
      </c>
      <c r="G96" s="84">
        <f>G94+G95</f>
        <v>738.5802805280822</v>
      </c>
      <c r="H96" s="29"/>
      <c r="J96" s="83" t="s">
        <v>131</v>
      </c>
      <c r="K96" s="84" t="e">
        <f>(K94+K95)</f>
        <v>#VALUE!</v>
      </c>
      <c r="L96" s="28"/>
      <c r="M96" s="28"/>
      <c r="N96" s="21"/>
      <c r="O96" s="21"/>
      <c r="P96" s="21"/>
      <c r="Q96" s="29"/>
      <c r="S96" s="83" t="s">
        <v>131</v>
      </c>
      <c r="T96" s="84" t="e">
        <f>T94+T95</f>
        <v>#VALUE!</v>
      </c>
      <c r="U96" s="28"/>
      <c r="V96" s="28"/>
      <c r="W96" s="21"/>
      <c r="X96" s="21"/>
      <c r="Y96" s="21"/>
      <c r="Z96" s="29"/>
      <c r="AB96" s="83" t="s">
        <v>131</v>
      </c>
      <c r="AC96" s="84" t="e">
        <f>AC94+AC95</f>
        <v>#VALUE!</v>
      </c>
      <c r="AD96" s="28"/>
      <c r="AE96" s="28"/>
      <c r="AF96" s="21"/>
      <c r="AG96" s="21"/>
      <c r="AH96" s="21"/>
      <c r="AI96" s="29"/>
    </row>
    <row r="97" spans="1:42">
      <c r="A97" s="49"/>
      <c r="B97" s="50"/>
      <c r="C97" s="50"/>
      <c r="D97" s="50"/>
      <c r="E97" s="85"/>
      <c r="F97" s="85"/>
      <c r="G97" s="85"/>
      <c r="H97" s="57"/>
      <c r="J97" s="49"/>
      <c r="K97" s="50"/>
      <c r="L97" s="50"/>
      <c r="M97" s="50"/>
      <c r="N97" s="85"/>
      <c r="O97" s="85"/>
      <c r="P97" s="85"/>
      <c r="Q97" s="57"/>
      <c r="S97" s="49"/>
      <c r="T97" s="50"/>
      <c r="U97" s="50"/>
      <c r="V97" s="50"/>
      <c r="W97" s="85"/>
      <c r="X97" s="85"/>
      <c r="Y97" s="85"/>
      <c r="Z97" s="57"/>
      <c r="AB97" s="49"/>
      <c r="AC97" s="50"/>
      <c r="AD97" s="50"/>
      <c r="AE97" s="50"/>
      <c r="AF97" s="85"/>
      <c r="AG97" s="85"/>
      <c r="AH97" s="85"/>
      <c r="AI97" s="57"/>
    </row>
    <row r="98" spans="1:42" ht="14.25">
      <c r="A98" s="21"/>
      <c r="B98" s="21"/>
      <c r="C98" s="21"/>
      <c r="D98" s="21"/>
      <c r="E98" s="21"/>
      <c r="F98" s="21"/>
      <c r="G98" s="21"/>
      <c r="H98" s="21"/>
      <c r="J98" s="21"/>
      <c r="K98" s="21"/>
      <c r="L98" s="21"/>
      <c r="M98" s="21"/>
      <c r="N98" s="21"/>
      <c r="O98" s="21"/>
      <c r="P98" s="21"/>
      <c r="Q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</row>
    <row r="99" spans="1:42" ht="14.25">
      <c r="A99" s="21"/>
      <c r="B99" s="21"/>
      <c r="C99" s="21"/>
      <c r="D99" s="21"/>
      <c r="E99" s="21"/>
      <c r="F99" s="21"/>
      <c r="G99" s="21"/>
      <c r="H99" s="21"/>
      <c r="J99" s="21"/>
      <c r="K99" s="21"/>
      <c r="L99" s="21"/>
      <c r="M99" s="21"/>
      <c r="N99" s="21"/>
      <c r="O99" s="21"/>
      <c r="P99" s="21"/>
      <c r="Q99" s="21"/>
      <c r="S99" s="21"/>
      <c r="T99" s="21"/>
      <c r="U99" s="21"/>
      <c r="V99" s="21"/>
      <c r="W99" s="21"/>
      <c r="X99" s="21"/>
      <c r="Y99" s="21"/>
      <c r="Z99" s="21"/>
      <c r="AB99" s="21"/>
      <c r="AC99" s="21"/>
      <c r="AD99" s="21"/>
      <c r="AE99" s="21"/>
      <c r="AF99" s="21"/>
      <c r="AG99" s="21"/>
      <c r="AH99" s="21"/>
      <c r="AI99" s="21"/>
    </row>
    <row r="100" spans="1:42" ht="47.25" customHeight="1">
      <c r="A100" s="344" t="s">
        <v>132</v>
      </c>
      <c r="B100" s="344"/>
      <c r="C100" s="344"/>
      <c r="D100" s="344"/>
      <c r="E100" s="344"/>
      <c r="F100" s="344"/>
      <c r="G100" s="344"/>
      <c r="H100" s="344"/>
      <c r="J100" s="344" t="s">
        <v>133</v>
      </c>
      <c r="K100" s="344"/>
      <c r="L100" s="344"/>
      <c r="M100" s="344"/>
      <c r="N100" s="344"/>
      <c r="O100" s="344"/>
      <c r="P100" s="344"/>
      <c r="Q100" s="344"/>
      <c r="S100" s="344" t="s">
        <v>134</v>
      </c>
      <c r="T100" s="344"/>
      <c r="U100" s="344"/>
      <c r="V100" s="344"/>
      <c r="W100" s="344"/>
      <c r="X100" s="344"/>
      <c r="Y100" s="344"/>
      <c r="Z100" s="344"/>
      <c r="AB100" s="344" t="s">
        <v>135</v>
      </c>
      <c r="AC100" s="344"/>
      <c r="AD100" s="344"/>
      <c r="AE100" s="344"/>
      <c r="AF100" s="344"/>
      <c r="AG100" s="344"/>
      <c r="AH100" s="344"/>
      <c r="AI100" s="344"/>
    </row>
    <row r="101" spans="1:42">
      <c r="A101" s="22"/>
      <c r="B101" s="23"/>
      <c r="C101" s="23"/>
      <c r="D101" s="23"/>
      <c r="E101" s="63"/>
      <c r="F101" s="63"/>
      <c r="G101" s="63"/>
      <c r="H101" s="87"/>
      <c r="J101" s="22"/>
      <c r="K101" s="23"/>
      <c r="L101" s="23"/>
      <c r="M101" s="23"/>
      <c r="N101" s="63"/>
      <c r="O101" s="63"/>
      <c r="P101" s="63"/>
      <c r="Q101" s="87"/>
      <c r="S101" s="22"/>
      <c r="T101" s="23"/>
      <c r="U101" s="23"/>
      <c r="V101" s="23"/>
      <c r="W101" s="63"/>
      <c r="X101" s="63"/>
      <c r="Y101" s="63"/>
      <c r="Z101" s="87"/>
      <c r="AB101" s="22"/>
      <c r="AC101" s="23"/>
      <c r="AD101" s="23"/>
      <c r="AE101" s="23"/>
      <c r="AF101" s="63"/>
      <c r="AG101" s="63"/>
      <c r="AH101" s="63"/>
      <c r="AI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35" t="s">
        <v>136</v>
      </c>
      <c r="K102" s="335"/>
      <c r="L102" s="335"/>
      <c r="M102" s="335"/>
      <c r="N102" s="335"/>
      <c r="O102" s="335"/>
      <c r="P102" s="335"/>
      <c r="Q102" s="335"/>
      <c r="S102" s="335" t="s">
        <v>136</v>
      </c>
      <c r="T102" s="335"/>
      <c r="U102" s="335"/>
      <c r="V102" s="335"/>
      <c r="W102" s="335"/>
      <c r="X102" s="335"/>
      <c r="Y102" s="335"/>
      <c r="Z102" s="335"/>
      <c r="AB102" s="335" t="s">
        <v>136</v>
      </c>
      <c r="AC102" s="335"/>
      <c r="AD102" s="335"/>
      <c r="AE102" s="335"/>
      <c r="AF102" s="335"/>
      <c r="AG102" s="335"/>
      <c r="AH102" s="335"/>
      <c r="AI102" s="335"/>
    </row>
    <row r="103" spans="1:42">
      <c r="A103" s="27"/>
      <c r="B103" s="28"/>
      <c r="C103" s="28"/>
      <c r="D103" s="28"/>
      <c r="E103" s="21"/>
      <c r="F103" s="21"/>
      <c r="G103" s="21"/>
      <c r="H103" s="88"/>
      <c r="J103" s="27"/>
      <c r="K103" s="28"/>
      <c r="L103" s="28"/>
      <c r="M103" s="28"/>
      <c r="N103" s="21"/>
      <c r="O103" s="21"/>
      <c r="P103" s="21"/>
      <c r="Q103" s="88"/>
      <c r="S103" s="27"/>
      <c r="T103" s="28"/>
      <c r="U103" s="28"/>
      <c r="V103" s="28"/>
      <c r="W103" s="21"/>
      <c r="X103" s="21"/>
      <c r="Y103" s="21"/>
      <c r="Z103" s="88"/>
      <c r="AB103" s="27"/>
      <c r="AC103" s="28"/>
      <c r="AD103" s="28"/>
      <c r="AE103" s="28"/>
      <c r="AF103" s="21"/>
      <c r="AG103" s="21"/>
      <c r="AH103" s="21"/>
      <c r="AI103" s="88"/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J104" s="27" t="s">
        <v>137</v>
      </c>
      <c r="K104" s="28" t="s">
        <v>36</v>
      </c>
      <c r="L104" s="28"/>
      <c r="M104" s="28"/>
      <c r="N104" s="28" t="s">
        <v>138</v>
      </c>
      <c r="O104" s="28"/>
      <c r="P104" s="28"/>
      <c r="Q104" s="29"/>
      <c r="S104" s="27" t="s">
        <v>137</v>
      </c>
      <c r="T104" s="28" t="s">
        <v>36</v>
      </c>
      <c r="U104" s="28"/>
      <c r="V104" s="28"/>
      <c r="W104" s="28" t="s">
        <v>138</v>
      </c>
      <c r="X104" s="28"/>
      <c r="Y104" s="28"/>
      <c r="Z104" s="29"/>
      <c r="AB104" s="27" t="s">
        <v>137</v>
      </c>
      <c r="AC104" s="28" t="s">
        <v>36</v>
      </c>
      <c r="AD104" s="28"/>
      <c r="AE104" s="28"/>
      <c r="AF104" s="28" t="s">
        <v>138</v>
      </c>
      <c r="AG104" s="28"/>
      <c r="AH104" s="28"/>
      <c r="AI104" s="29"/>
    </row>
    <row r="105" spans="1:42">
      <c r="A105" s="32" t="s">
        <v>139</v>
      </c>
      <c r="B105" s="345" t="s">
        <v>140</v>
      </c>
      <c r="C105" s="345"/>
      <c r="D105" s="345"/>
      <c r="E105" s="403" t="s">
        <v>386</v>
      </c>
      <c r="F105" s="403"/>
      <c r="G105" s="403"/>
      <c r="H105" s="88"/>
      <c r="J105" s="32" t="s">
        <v>139</v>
      </c>
      <c r="K105" s="345" t="s">
        <v>140</v>
      </c>
      <c r="L105" s="345"/>
      <c r="M105" s="345"/>
      <c r="N105" s="346" t="s">
        <v>31</v>
      </c>
      <c r="O105" s="346"/>
      <c r="P105" s="346"/>
      <c r="Q105" s="88"/>
      <c r="S105" s="32" t="s">
        <v>139</v>
      </c>
      <c r="T105" s="345" t="s">
        <v>140</v>
      </c>
      <c r="U105" s="345"/>
      <c r="V105" s="345"/>
      <c r="W105" s="346" t="s">
        <v>31</v>
      </c>
      <c r="X105" s="346"/>
      <c r="Y105" s="346"/>
      <c r="Z105" s="88"/>
      <c r="AB105" s="32" t="s">
        <v>139</v>
      </c>
      <c r="AC105" s="345" t="s">
        <v>140</v>
      </c>
      <c r="AD105" s="345"/>
      <c r="AE105" s="345"/>
      <c r="AF105" s="346" t="s">
        <v>31</v>
      </c>
      <c r="AG105" s="346"/>
      <c r="AH105" s="346"/>
      <c r="AI105" s="88"/>
    </row>
    <row r="106" spans="1:42">
      <c r="A106" s="27"/>
      <c r="B106" s="28"/>
      <c r="C106" s="28"/>
      <c r="D106" s="21"/>
      <c r="E106" s="28"/>
      <c r="F106" s="28"/>
      <c r="G106" s="21"/>
      <c r="H106" s="29"/>
      <c r="J106" s="27"/>
      <c r="K106" s="28"/>
      <c r="L106" s="28"/>
      <c r="M106" s="21"/>
      <c r="N106" s="28"/>
      <c r="O106" s="28"/>
      <c r="P106" s="21"/>
      <c r="Q106" s="29"/>
      <c r="S106" s="27"/>
      <c r="T106" s="28"/>
      <c r="U106" s="28"/>
      <c r="V106" s="21"/>
      <c r="W106" s="28"/>
      <c r="X106" s="28"/>
      <c r="Y106" s="21"/>
      <c r="Z106" s="29"/>
      <c r="AB106" s="27"/>
      <c r="AC106" s="28"/>
      <c r="AD106" s="28"/>
      <c r="AE106" s="21"/>
      <c r="AF106" s="28"/>
      <c r="AG106" s="28"/>
      <c r="AH106" s="21"/>
      <c r="AI106" s="29"/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J107" s="27" t="s">
        <v>141</v>
      </c>
      <c r="K107" s="28" t="s">
        <v>142</v>
      </c>
      <c r="L107" s="28"/>
      <c r="M107" s="21"/>
      <c r="N107" s="28" t="s">
        <v>143</v>
      </c>
      <c r="O107" s="28"/>
      <c r="P107" s="21"/>
      <c r="Q107" s="88"/>
      <c r="S107" s="27" t="s">
        <v>141</v>
      </c>
      <c r="T107" s="28" t="s">
        <v>142</v>
      </c>
      <c r="U107" s="28"/>
      <c r="V107" s="21"/>
      <c r="W107" s="28" t="s">
        <v>143</v>
      </c>
      <c r="X107" s="28"/>
      <c r="Y107" s="21"/>
      <c r="Z107" s="88"/>
      <c r="AB107" s="27" t="s">
        <v>141</v>
      </c>
      <c r="AC107" s="28" t="s">
        <v>142</v>
      </c>
      <c r="AD107" s="28"/>
      <c r="AE107" s="21"/>
      <c r="AF107" s="28" t="s">
        <v>143</v>
      </c>
      <c r="AG107" s="28"/>
      <c r="AH107" s="21"/>
      <c r="AI107" s="88"/>
    </row>
    <row r="108" spans="1:42">
      <c r="A108" s="91">
        <v>0.2</v>
      </c>
      <c r="B108" s="348" t="n">
        <v>0.0</v>
      </c>
      <c r="C108" s="348"/>
      <c r="D108" s="348" t="n">
        <v>0.0</v>
      </c>
      <c r="E108" s="349">
        <f>B83</f>
        <v>0.12000000000000001</v>
      </c>
      <c r="F108" s="349"/>
      <c r="G108" s="349"/>
      <c r="H108" s="42"/>
      <c r="J108" s="91">
        <v>0.3</v>
      </c>
      <c r="K108" s="348" t="s">
        <v>144</v>
      </c>
      <c r="L108" s="348"/>
      <c r="M108" s="348"/>
      <c r="N108" s="349">
        <f>K83</f>
        <v>0.24000000000000002</v>
      </c>
      <c r="O108" s="349"/>
      <c r="P108" s="349"/>
      <c r="Q108" s="42"/>
      <c r="S108" s="91">
        <v>0.2</v>
      </c>
      <c r="T108" s="348" t="s">
        <v>145</v>
      </c>
      <c r="U108" s="348"/>
      <c r="V108" s="348"/>
      <c r="W108" s="349">
        <f>T83</f>
        <v>0.13100000000000001</v>
      </c>
      <c r="X108" s="349"/>
      <c r="Y108" s="349"/>
      <c r="Z108" s="42"/>
      <c r="AB108" s="91">
        <v>0.2</v>
      </c>
      <c r="AC108" s="348" t="s">
        <v>145</v>
      </c>
      <c r="AD108" s="348"/>
      <c r="AE108" s="348"/>
      <c r="AF108" s="350">
        <f>AC83</f>
        <v>0.13100000000000001</v>
      </c>
      <c r="AG108" s="350"/>
      <c r="AH108" s="350"/>
      <c r="AI108" s="42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J109" s="27"/>
      <c r="K109" s="28"/>
      <c r="L109" s="28"/>
      <c r="M109" s="28"/>
      <c r="N109" s="28"/>
      <c r="O109" s="28"/>
      <c r="P109" s="28"/>
      <c r="Q109" s="29"/>
      <c r="S109" s="27"/>
      <c r="T109" s="28"/>
      <c r="U109" s="28"/>
      <c r="V109" s="28"/>
      <c r="W109" s="28"/>
      <c r="X109" s="28"/>
      <c r="Y109" s="28"/>
      <c r="Z109" s="29"/>
      <c r="AB109" s="27"/>
      <c r="AC109" s="28"/>
      <c r="AD109" s="28"/>
      <c r="AE109" s="28"/>
      <c r="AF109" s="28"/>
      <c r="AG109" s="28"/>
      <c r="AH109" s="28"/>
      <c r="AI109" s="29"/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J110" s="27" t="s">
        <v>147</v>
      </c>
      <c r="K110" s="28" t="s">
        <v>148</v>
      </c>
      <c r="L110" s="28"/>
      <c r="M110" s="28"/>
      <c r="N110" s="28" t="s">
        <v>149</v>
      </c>
      <c r="O110" s="28"/>
      <c r="P110" s="28"/>
      <c r="Q110" s="29"/>
      <c r="S110" s="27" t="s">
        <v>147</v>
      </c>
      <c r="T110" s="28" t="s">
        <v>148</v>
      </c>
      <c r="U110" s="28"/>
      <c r="V110" s="28"/>
      <c r="W110" s="28" t="s">
        <v>149</v>
      </c>
      <c r="X110" s="28"/>
      <c r="Y110" s="28"/>
      <c r="Z110" s="29"/>
      <c r="AB110" s="27" t="s">
        <v>147</v>
      </c>
      <c r="AC110" s="28" t="s">
        <v>148</v>
      </c>
      <c r="AD110" s="28"/>
      <c r="AE110" s="28"/>
      <c r="AF110" s="28" t="s">
        <v>149</v>
      </c>
      <c r="AG110" s="28"/>
      <c r="AH110" s="28"/>
      <c r="AI110" s="29"/>
    </row>
    <row r="111" spans="1:42">
      <c r="A111" s="36" t="s">
        <v>385</v>
      </c>
      <c r="B111" s="348">
        <v>1000</v>
      </c>
      <c r="C111" s="348"/>
      <c r="D111" s="348"/>
      <c r="E111" s="348">
        <v>1000</v>
      </c>
      <c r="F111" s="348"/>
      <c r="G111" s="348"/>
      <c r="H111" s="88"/>
      <c r="J111" s="36" t="s">
        <v>32</v>
      </c>
      <c r="K111" s="348">
        <v>1000</v>
      </c>
      <c r="L111" s="348"/>
      <c r="M111" s="348"/>
      <c r="N111" s="348">
        <v>0</v>
      </c>
      <c r="O111" s="348"/>
      <c r="P111" s="348"/>
      <c r="Q111" s="88"/>
      <c r="S111" s="36" t="s">
        <v>31</v>
      </c>
      <c r="T111" s="348">
        <v>1000</v>
      </c>
      <c r="U111" s="348"/>
      <c r="V111" s="348"/>
      <c r="W111" s="348">
        <v>0</v>
      </c>
      <c r="X111" s="348"/>
      <c r="Y111" s="348"/>
      <c r="Z111" s="88"/>
      <c r="AB111" s="36" t="s">
        <v>31</v>
      </c>
      <c r="AC111" s="348">
        <v>1000</v>
      </c>
      <c r="AD111" s="348"/>
      <c r="AE111" s="348"/>
      <c r="AF111" s="348">
        <v>0</v>
      </c>
      <c r="AG111" s="348"/>
      <c r="AH111" s="348"/>
      <c r="AI111" s="88"/>
    </row>
    <row r="112" spans="1:42">
      <c r="A112" s="27"/>
      <c r="B112" s="28"/>
      <c r="C112" s="28"/>
      <c r="D112" s="28"/>
      <c r="E112" s="28"/>
      <c r="F112" s="28"/>
      <c r="G112" s="21"/>
      <c r="H112" s="88"/>
      <c r="J112" s="27"/>
      <c r="K112" s="28"/>
      <c r="L112" s="28"/>
      <c r="M112" s="28"/>
      <c r="N112" s="28"/>
      <c r="O112" s="28"/>
      <c r="P112" s="21"/>
      <c r="Q112" s="88"/>
      <c r="S112" s="27"/>
      <c r="T112" s="28"/>
      <c r="U112" s="28"/>
      <c r="V112" s="28"/>
      <c r="W112" s="28"/>
      <c r="X112" s="28"/>
      <c r="Y112" s="21"/>
      <c r="Z112" s="88"/>
      <c r="AB112" s="27"/>
      <c r="AC112" s="28"/>
      <c r="AD112" s="28"/>
      <c r="AE112" s="28"/>
      <c r="AF112" s="28"/>
      <c r="AG112" s="28"/>
      <c r="AH112" s="21"/>
      <c r="AI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  <c r="J113" s="93" t="s">
        <v>150</v>
      </c>
      <c r="K113" s="28" t="s">
        <v>151</v>
      </c>
      <c r="L113" s="28"/>
      <c r="M113" s="28"/>
      <c r="N113" s="28" t="s">
        <v>152</v>
      </c>
      <c r="O113" s="28"/>
      <c r="P113" s="21"/>
      <c r="Q113" s="88"/>
      <c r="S113" s="93" t="s">
        <v>150</v>
      </c>
      <c r="T113" s="28" t="s">
        <v>151</v>
      </c>
      <c r="U113" s="28"/>
      <c r="V113" s="28"/>
      <c r="W113" s="28" t="s">
        <v>152</v>
      </c>
      <c r="X113" s="28"/>
      <c r="Y113" s="21"/>
      <c r="Z113" s="88"/>
      <c r="AB113" s="93" t="s">
        <v>150</v>
      </c>
      <c r="AC113" s="28" t="s">
        <v>151</v>
      </c>
      <c r="AD113" s="28"/>
      <c r="AE113" s="28"/>
      <c r="AF113" s="28" t="s">
        <v>152</v>
      </c>
      <c r="AG113" s="28"/>
      <c r="AH113" s="21"/>
      <c r="AI113" s="88"/>
    </row>
    <row r="114" spans="1:35">
      <c r="A114" s="94">
        <f>B111+E111</f>
        <v>2000</v>
      </c>
      <c r="B114" s="348">
        <v>833.33333333333337</v>
      </c>
      <c r="C114" s="348"/>
      <c r="D114" s="348"/>
      <c r="E114" s="348">
        <v>0</v>
      </c>
      <c r="F114" s="348"/>
      <c r="G114" s="348"/>
      <c r="H114" s="88"/>
      <c r="J114" s="94">
        <f>K111+N111</f>
        <v>1000</v>
      </c>
      <c r="K114" s="348">
        <v>239.99</v>
      </c>
      <c r="L114" s="348"/>
      <c r="M114" s="348"/>
      <c r="N114" s="348">
        <v>0</v>
      </c>
      <c r="O114" s="348"/>
      <c r="P114" s="348"/>
      <c r="Q114" s="88"/>
      <c r="S114" s="94">
        <f>T111+W111</f>
        <v>1000</v>
      </c>
      <c r="T114" s="348">
        <v>199.99</v>
      </c>
      <c r="U114" s="348"/>
      <c r="V114" s="348"/>
      <c r="W114" s="348">
        <v>0</v>
      </c>
      <c r="X114" s="348"/>
      <c r="Y114" s="348"/>
      <c r="Z114" s="88"/>
      <c r="AB114" s="94">
        <f>AC111+AF111</f>
        <v>1000</v>
      </c>
      <c r="AC114" s="348">
        <v>239.99</v>
      </c>
      <c r="AD114" s="348"/>
      <c r="AE114" s="348"/>
      <c r="AF114" s="348">
        <v>0</v>
      </c>
      <c r="AG114" s="348"/>
      <c r="AH114" s="348"/>
      <c r="AI114" s="88"/>
    </row>
    <row r="115" spans="1:35" ht="14.25">
      <c r="A115" s="95"/>
      <c r="B115" s="21"/>
      <c r="C115" s="21"/>
      <c r="D115" s="21"/>
      <c r="E115" s="21"/>
      <c r="F115" s="21"/>
      <c r="G115" s="21"/>
      <c r="H115" s="88"/>
      <c r="J115" s="95"/>
      <c r="K115" s="21"/>
      <c r="L115" s="21"/>
      <c r="M115" s="21"/>
      <c r="N115" s="21"/>
      <c r="O115" s="21"/>
      <c r="P115" s="21"/>
      <c r="Q115" s="88"/>
      <c r="S115" s="95"/>
      <c r="T115" s="21"/>
      <c r="U115" s="21"/>
      <c r="V115" s="21"/>
      <c r="W115" s="21"/>
      <c r="X115" s="21"/>
      <c r="Y115" s="21"/>
      <c r="Z115" s="88"/>
      <c r="AB115" s="95"/>
      <c r="AC115" s="21"/>
      <c r="AD115" s="21"/>
      <c r="AE115" s="21"/>
      <c r="AF115" s="21"/>
      <c r="AG115" s="21"/>
      <c r="AH115" s="21"/>
      <c r="AI115" s="88"/>
    </row>
    <row r="116" spans="1:35" ht="14.25">
      <c r="A116" s="95"/>
      <c r="B116" s="21"/>
      <c r="C116" s="21"/>
      <c r="D116" s="21"/>
      <c r="E116" s="21"/>
      <c r="F116" s="21"/>
      <c r="G116" s="21"/>
      <c r="H116" s="88"/>
      <c r="J116" s="95"/>
      <c r="K116" s="21"/>
      <c r="L116" s="21"/>
      <c r="M116" s="21"/>
      <c r="N116" s="21"/>
      <c r="O116" s="21"/>
      <c r="P116" s="21"/>
      <c r="Q116" s="88"/>
      <c r="S116" s="95"/>
      <c r="T116" s="21"/>
      <c r="U116" s="21"/>
      <c r="V116" s="21"/>
      <c r="W116" s="21"/>
      <c r="X116" s="21"/>
      <c r="Y116" s="21"/>
      <c r="Z116" s="88"/>
      <c r="AB116" s="95"/>
      <c r="AC116" s="21"/>
      <c r="AD116" s="21"/>
      <c r="AE116" s="21"/>
      <c r="AF116" s="21"/>
      <c r="AG116" s="21"/>
      <c r="AH116" s="21"/>
      <c r="AI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35" t="s">
        <v>153</v>
      </c>
      <c r="K117" s="335"/>
      <c r="L117" s="335"/>
      <c r="M117" s="335"/>
      <c r="N117" s="335"/>
      <c r="O117" s="335"/>
      <c r="P117" s="335"/>
      <c r="Q117" s="335"/>
      <c r="S117" s="335" t="s">
        <v>153</v>
      </c>
      <c r="T117" s="335"/>
      <c r="U117" s="335"/>
      <c r="V117" s="335"/>
      <c r="W117" s="335"/>
      <c r="X117" s="335"/>
      <c r="Y117" s="335"/>
      <c r="Z117" s="335"/>
      <c r="AB117" s="335" t="s">
        <v>153</v>
      </c>
      <c r="AC117" s="335"/>
      <c r="AD117" s="335"/>
      <c r="AE117" s="335"/>
      <c r="AF117" s="335"/>
      <c r="AG117" s="335"/>
      <c r="AH117" s="335"/>
      <c r="AI117" s="335"/>
    </row>
    <row r="118" spans="1:35" ht="14.25">
      <c r="A118" s="95"/>
      <c r="B118" s="21"/>
      <c r="C118" s="21"/>
      <c r="D118" s="21"/>
      <c r="E118" s="21"/>
      <c r="F118" s="21"/>
      <c r="G118" s="21"/>
      <c r="H118" s="88"/>
      <c r="J118" s="95"/>
      <c r="K118" s="21"/>
      <c r="L118" s="21"/>
      <c r="M118" s="21"/>
      <c r="N118" s="21"/>
      <c r="O118" s="21"/>
      <c r="P118" s="21"/>
      <c r="Q118" s="88"/>
      <c r="S118" s="95"/>
      <c r="T118" s="21"/>
      <c r="U118" s="21"/>
      <c r="V118" s="21"/>
      <c r="W118" s="21"/>
      <c r="X118" s="21"/>
      <c r="Y118" s="21"/>
      <c r="Z118" s="88"/>
      <c r="AB118" s="95"/>
      <c r="AC118" s="21"/>
      <c r="AD118" s="21"/>
      <c r="AE118" s="21"/>
      <c r="AF118" s="21"/>
      <c r="AG118" s="21"/>
      <c r="AH118" s="21"/>
      <c r="AI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J119" s="66"/>
      <c r="K119" s="351" t="s">
        <v>154</v>
      </c>
      <c r="L119" s="351"/>
      <c r="M119" s="351" t="s">
        <v>155</v>
      </c>
      <c r="N119" s="351"/>
      <c r="O119" s="351" t="s">
        <v>156</v>
      </c>
      <c r="P119" s="351"/>
      <c r="Q119" s="96" t="s">
        <v>157</v>
      </c>
      <c r="S119" s="66"/>
      <c r="T119" s="351" t="s">
        <v>154</v>
      </c>
      <c r="U119" s="351"/>
      <c r="V119" s="351" t="s">
        <v>155</v>
      </c>
      <c r="W119" s="351"/>
      <c r="X119" s="351" t="s">
        <v>156</v>
      </c>
      <c r="Y119" s="351"/>
      <c r="Z119" s="96" t="s">
        <v>157</v>
      </c>
      <c r="AB119" s="66"/>
      <c r="AC119" s="351" t="s">
        <v>154</v>
      </c>
      <c r="AD119" s="351"/>
      <c r="AE119" s="351" t="s">
        <v>155</v>
      </c>
      <c r="AF119" s="351"/>
      <c r="AG119" s="351" t="s">
        <v>156</v>
      </c>
      <c r="AH119" s="351"/>
      <c r="AI119" s="96" t="s">
        <v>157</v>
      </c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  <c r="J120" s="68"/>
      <c r="K120" s="97" t="s">
        <v>158</v>
      </c>
      <c r="L120" s="98" t="s">
        <v>159</v>
      </c>
      <c r="M120" s="97" t="s">
        <v>158</v>
      </c>
      <c r="N120" s="99" t="s">
        <v>159</v>
      </c>
      <c r="O120" s="97" t="s">
        <v>158</v>
      </c>
      <c r="P120" s="99" t="s">
        <v>159</v>
      </c>
      <c r="Q120" s="100"/>
      <c r="S120" s="68"/>
      <c r="T120" s="97" t="s">
        <v>158</v>
      </c>
      <c r="U120" s="98" t="s">
        <v>159</v>
      </c>
      <c r="V120" s="97" t="s">
        <v>158</v>
      </c>
      <c r="W120" s="99" t="s">
        <v>159</v>
      </c>
      <c r="X120" s="97" t="s">
        <v>158</v>
      </c>
      <c r="Y120" s="99" t="s">
        <v>159</v>
      </c>
      <c r="Z120" s="100"/>
      <c r="AB120" s="68"/>
      <c r="AC120" s="97" t="s">
        <v>158</v>
      </c>
      <c r="AD120" s="98" t="s">
        <v>159</v>
      </c>
      <c r="AE120" s="97" t="s">
        <v>158</v>
      </c>
      <c r="AF120" s="99" t="s">
        <v>159</v>
      </c>
      <c r="AG120" s="97" t="s">
        <v>158</v>
      </c>
      <c r="AH120" s="99" t="s">
        <v>159</v>
      </c>
      <c r="AI120" s="100"/>
    </row>
    <row r="121" spans="1:35">
      <c r="A121" s="22" t="s">
        <v>160</v>
      </c>
      <c r="B121" s="22">
        <f>B9</f>
        <v>13875</v>
      </c>
      <c r="C121" s="36">
        <v>20416.669999999998</v>
      </c>
      <c r="D121" s="22">
        <v>0</v>
      </c>
      <c r="E121" s="36">
        <f>D121</f>
        <v>0</v>
      </c>
      <c r="F121" s="22">
        <f>B11</f>
        <v>0</v>
      </c>
      <c r="G121" s="36">
        <f>F121</f>
        <v>0</v>
      </c>
      <c r="H121" s="101">
        <f>H3</f>
        <v>0</v>
      </c>
      <c r="J121" s="22" t="s">
        <v>160</v>
      </c>
      <c r="K121" s="22" t="str">
        <f>B3</f>
        <v xml:space="preserve"> </v>
      </c>
      <c r="L121" s="36">
        <v>28629.17</v>
      </c>
      <c r="M121" s="22" t="str">
        <f>D3</f>
        <v xml:space="preserve"> </v>
      </c>
      <c r="N121" s="36" t="str">
        <f>M121</f>
        <v xml:space="preserve"> </v>
      </c>
      <c r="O121" s="22" t="str">
        <f>F3</f>
        <v xml:space="preserve"> </v>
      </c>
      <c r="P121" s="36" t="str">
        <f>O121</f>
        <v xml:space="preserve"> </v>
      </c>
      <c r="Q121" s="101">
        <f>H3</f>
        <v>0</v>
      </c>
      <c r="S121" s="22" t="s">
        <v>160</v>
      </c>
      <c r="T121" s="22" t="str">
        <f>B3</f>
        <v xml:space="preserve"> </v>
      </c>
      <c r="U121" s="36" t="str">
        <f>T121</f>
        <v xml:space="preserve"> </v>
      </c>
      <c r="V121" s="22" t="str">
        <f>D3</f>
        <v xml:space="preserve"> </v>
      </c>
      <c r="W121" s="36" t="str">
        <f>V121</f>
        <v xml:space="preserve"> </v>
      </c>
      <c r="X121" s="22" t="str">
        <f>F3</f>
        <v xml:space="preserve"> </v>
      </c>
      <c r="Y121" s="36" t="str">
        <f>X121</f>
        <v xml:space="preserve"> </v>
      </c>
      <c r="Z121" s="101">
        <f>H3</f>
        <v>0</v>
      </c>
      <c r="AB121" s="22" t="s">
        <v>160</v>
      </c>
      <c r="AC121" s="22" t="str">
        <f>B3</f>
        <v xml:space="preserve"> </v>
      </c>
      <c r="AD121" s="36" t="str">
        <f>AC121</f>
        <v xml:space="preserve"> </v>
      </c>
      <c r="AE121" s="22" t="str">
        <f>D3</f>
        <v xml:space="preserve"> </v>
      </c>
      <c r="AF121" s="36" t="str">
        <f>AE121</f>
        <v xml:space="preserve"> </v>
      </c>
      <c r="AG121" s="22" t="str">
        <f>F3</f>
        <v xml:space="preserve"> </v>
      </c>
      <c r="AH121" s="36" t="str">
        <f>AG121</f>
        <v xml:space="preserve"> </v>
      </c>
      <c r="AI121" s="101">
        <f>H3</f>
        <v>0</v>
      </c>
    </row>
    <row r="122" spans="1:35">
      <c r="A122" s="27" t="s">
        <v>161</v>
      </c>
      <c r="B122" s="102">
        <v>0</v>
      </c>
      <c r="C122" s="103">
        <v>0</v>
      </c>
      <c r="D122" s="102">
        <v>0</v>
      </c>
      <c r="E122" s="103">
        <v>0</v>
      </c>
      <c r="F122" s="102">
        <v>0</v>
      </c>
      <c r="G122" s="296">
        <v>0</v>
      </c>
      <c r="H122" s="105"/>
      <c r="J122" s="27" t="s">
        <v>161</v>
      </c>
      <c r="K122" s="102">
        <f>B4</f>
        <v>16650</v>
      </c>
      <c r="L122" s="103">
        <v>0</v>
      </c>
      <c r="M122" s="102">
        <f>D4</f>
        <v>0</v>
      </c>
      <c r="N122" s="103">
        <f>M122</f>
        <v>0</v>
      </c>
      <c r="O122" s="102" t="str">
        <f>F4</f>
        <v xml:space="preserve"> </v>
      </c>
      <c r="P122" s="296" t="str">
        <f>O122</f>
        <v xml:space="preserve"> </v>
      </c>
      <c r="Q122" s="105"/>
      <c r="S122" s="27" t="s">
        <v>161</v>
      </c>
      <c r="T122" s="102">
        <f>B4</f>
        <v>16650</v>
      </c>
      <c r="U122" s="103">
        <v>0.25</v>
      </c>
      <c r="V122" s="102">
        <f>D4</f>
        <v>0</v>
      </c>
      <c r="W122" s="103">
        <f>V122</f>
        <v>0</v>
      </c>
      <c r="X122" s="102" t="str">
        <f>F4</f>
        <v xml:space="preserve"> </v>
      </c>
      <c r="Y122" s="296" t="str">
        <f>X122</f>
        <v xml:space="preserve"> </v>
      </c>
      <c r="Z122" s="105"/>
      <c r="AB122" s="27" t="s">
        <v>161</v>
      </c>
      <c r="AC122" s="102">
        <f>B4</f>
        <v>16650</v>
      </c>
      <c r="AD122" s="103">
        <v>0.25</v>
      </c>
      <c r="AE122" s="102">
        <f>D4</f>
        <v>0</v>
      </c>
      <c r="AF122" s="103">
        <f>AE122</f>
        <v>0</v>
      </c>
      <c r="AG122" s="102" t="str">
        <f>F4</f>
        <v xml:space="preserve"> </v>
      </c>
      <c r="AH122" s="296" t="str">
        <f>AG122</f>
        <v xml:space="preserve"> </v>
      </c>
      <c r="AI122" s="105"/>
    </row>
    <row r="123" spans="1:35">
      <c r="A123" s="27" t="s">
        <v>162</v>
      </c>
      <c r="B123" s="27">
        <v>0</v>
      </c>
      <c r="C123" s="36">
        <v>0</v>
      </c>
      <c r="D123" s="27">
        <v>0</v>
      </c>
      <c r="E123" s="36">
        <v>0</v>
      </c>
      <c r="F123" s="27">
        <v>0</v>
      </c>
      <c r="G123" s="36">
        <v>0</v>
      </c>
      <c r="H123" s="29"/>
      <c r="J123" s="27" t="s">
        <v>162</v>
      </c>
      <c r="K123" s="27">
        <f>B5</f>
        <v>0</v>
      </c>
      <c r="L123" s="36">
        <v>0</v>
      </c>
      <c r="M123" s="27">
        <f>D5</f>
        <v>0</v>
      </c>
      <c r="N123" s="36">
        <f>M123</f>
        <v>0</v>
      </c>
      <c r="O123" s="27" t="str">
        <f>F5</f>
        <v xml:space="preserve"> </v>
      </c>
      <c r="P123" s="36" t="str">
        <f>O123</f>
        <v xml:space="preserve"> </v>
      </c>
      <c r="Q123" s="29"/>
      <c r="S123" s="27" t="s">
        <v>162</v>
      </c>
      <c r="T123" s="27">
        <f>B5</f>
        <v>0</v>
      </c>
      <c r="U123" s="36">
        <v>0</v>
      </c>
      <c r="V123" s="27">
        <f>D5</f>
        <v>0</v>
      </c>
      <c r="W123" s="36">
        <f>V123</f>
        <v>0</v>
      </c>
      <c r="X123" s="27" t="str">
        <f>F5</f>
        <v xml:space="preserve"> </v>
      </c>
      <c r="Y123" s="36" t="str">
        <f>X123</f>
        <v xml:space="preserve"> </v>
      </c>
      <c r="Z123" s="29"/>
      <c r="AB123" s="27" t="s">
        <v>162</v>
      </c>
      <c r="AC123" s="27">
        <f>B5</f>
        <v>0</v>
      </c>
      <c r="AD123" s="36">
        <v>0</v>
      </c>
      <c r="AE123" s="27">
        <f>D5</f>
        <v>0</v>
      </c>
      <c r="AF123" s="36">
        <f>AE123</f>
        <v>0</v>
      </c>
      <c r="AG123" s="27" t="str">
        <f>F5</f>
        <v xml:space="preserve"> </v>
      </c>
      <c r="AH123" s="36" t="str">
        <f>AG123</f>
        <v xml:space="preserve"> </v>
      </c>
      <c r="AI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  <c r="J124" s="27" t="s">
        <v>163</v>
      </c>
      <c r="K124" s="27" t="e">
        <f t="shared" ref="K124:P124" si="0">(K121*K122)+K123</f>
        <v>#VALUE!</v>
      </c>
      <c r="L124" s="24">
        <f t="shared" si="0"/>
        <v>0</v>
      </c>
      <c r="M124" s="27" t="e">
        <f t="shared" si="0"/>
        <v>#VALUE!</v>
      </c>
      <c r="N124" s="24" t="e">
        <f t="shared" si="0"/>
        <v>#VALUE!</v>
      </c>
      <c r="O124" s="27" t="e">
        <f t="shared" si="0"/>
        <v>#VALUE!</v>
      </c>
      <c r="P124" s="24" t="e">
        <f t="shared" si="0"/>
        <v>#VALUE!</v>
      </c>
      <c r="Q124" s="29"/>
      <c r="S124" s="27" t="s">
        <v>163</v>
      </c>
      <c r="T124" s="27" t="e">
        <f t="shared" ref="T124:Y124" si="1">(T121*T122)+T123</f>
        <v>#VALUE!</v>
      </c>
      <c r="U124" s="24" t="e">
        <f t="shared" si="1"/>
        <v>#VALUE!</v>
      </c>
      <c r="V124" s="27" t="e">
        <f t="shared" si="1"/>
        <v>#VALUE!</v>
      </c>
      <c r="W124" s="24" t="e">
        <f t="shared" si="1"/>
        <v>#VALUE!</v>
      </c>
      <c r="X124" s="27" t="e">
        <f t="shared" si="1"/>
        <v>#VALUE!</v>
      </c>
      <c r="Y124" s="24" t="e">
        <f t="shared" si="1"/>
        <v>#VALUE!</v>
      </c>
      <c r="Z124" s="29"/>
      <c r="AB124" s="27" t="s">
        <v>163</v>
      </c>
      <c r="AC124" s="27" t="e">
        <f t="shared" ref="AC124:AH124" si="2">(AC121*AC122)+AC123</f>
        <v>#VALUE!</v>
      </c>
      <c r="AD124" s="24" t="e">
        <f t="shared" si="2"/>
        <v>#VALUE!</v>
      </c>
      <c r="AE124" s="27" t="e">
        <f t="shared" si="2"/>
        <v>#VALUE!</v>
      </c>
      <c r="AF124" s="24" t="e">
        <f t="shared" si="2"/>
        <v>#VALUE!</v>
      </c>
      <c r="AG124" s="27" t="e">
        <f t="shared" si="2"/>
        <v>#VALUE!</v>
      </c>
      <c r="AH124" s="24" t="e">
        <f t="shared" si="2"/>
        <v>#VALUE!</v>
      </c>
      <c r="AI124" s="29"/>
    </row>
    <row r="125" spans="1:35">
      <c r="A125" s="49" t="s">
        <v>164</v>
      </c>
      <c r="B125" s="49">
        <f t="shared" ref="B125:G125" si="3">B121-B124</f>
        <v>13875</v>
      </c>
      <c r="C125" s="57">
        <f t="shared" si="3"/>
        <v>20416.669999999998</v>
      </c>
      <c r="D125" s="49">
        <f t="shared" si="3"/>
        <v>0</v>
      </c>
      <c r="E125" s="57">
        <f t="shared" si="3"/>
        <v>0</v>
      </c>
      <c r="F125" s="49">
        <f t="shared" si="3"/>
        <v>0</v>
      </c>
      <c r="G125" s="57">
        <f t="shared" si="3"/>
        <v>0</v>
      </c>
      <c r="H125" s="57"/>
      <c r="J125" s="49" t="s">
        <v>164</v>
      </c>
      <c r="K125" s="49" t="e">
        <f t="shared" ref="K125:P125" si="4">K121-K124</f>
        <v>#VALUE!</v>
      </c>
      <c r="L125" s="57">
        <f t="shared" si="4"/>
        <v>28629.17</v>
      </c>
      <c r="M125" s="49" t="e">
        <f t="shared" si="4"/>
        <v>#VALUE!</v>
      </c>
      <c r="N125" s="57" t="e">
        <f t="shared" si="4"/>
        <v>#VALUE!</v>
      </c>
      <c r="O125" s="49" t="e">
        <f t="shared" si="4"/>
        <v>#VALUE!</v>
      </c>
      <c r="P125" s="57" t="e">
        <f t="shared" si="4"/>
        <v>#VALUE!</v>
      </c>
      <c r="Q125" s="57"/>
      <c r="S125" s="49" t="s">
        <v>164</v>
      </c>
      <c r="T125" s="49" t="e">
        <f t="shared" ref="T125:Y125" si="5">T121-T124</f>
        <v>#VALUE!</v>
      </c>
      <c r="U125" s="57" t="e">
        <f t="shared" si="5"/>
        <v>#VALUE!</v>
      </c>
      <c r="V125" s="49" t="e">
        <f t="shared" si="5"/>
        <v>#VALUE!</v>
      </c>
      <c r="W125" s="57" t="e">
        <f t="shared" si="5"/>
        <v>#VALUE!</v>
      </c>
      <c r="X125" s="49" t="e">
        <f t="shared" si="5"/>
        <v>#VALUE!</v>
      </c>
      <c r="Y125" s="57" t="e">
        <f t="shared" si="5"/>
        <v>#VALUE!</v>
      </c>
      <c r="Z125" s="57"/>
      <c r="AB125" s="49" t="s">
        <v>164</v>
      </c>
      <c r="AC125" s="49" t="e">
        <f t="shared" ref="AC125:AH125" si="6">AC121-AC124</f>
        <v>#VALUE!</v>
      </c>
      <c r="AD125" s="57" t="e">
        <f t="shared" si="6"/>
        <v>#VALUE!</v>
      </c>
      <c r="AE125" s="49" t="e">
        <f t="shared" si="6"/>
        <v>#VALUE!</v>
      </c>
      <c r="AF125" s="57" t="e">
        <f t="shared" si="6"/>
        <v>#VALUE!</v>
      </c>
      <c r="AG125" s="49" t="e">
        <f t="shared" si="6"/>
        <v>#VALUE!</v>
      </c>
      <c r="AH125" s="57" t="e">
        <f t="shared" si="6"/>
        <v>#VALUE!</v>
      </c>
      <c r="AI125" s="57"/>
    </row>
    <row r="126" spans="1:35">
      <c r="A126" s="27"/>
      <c r="B126" s="28"/>
      <c r="C126" s="28"/>
      <c r="D126" s="28"/>
      <c r="E126" s="28"/>
      <c r="F126" s="28"/>
      <c r="G126" s="28"/>
      <c r="H126" s="29"/>
      <c r="J126" s="27"/>
      <c r="K126" s="28"/>
      <c r="L126" s="28"/>
      <c r="M126" s="28"/>
      <c r="N126" s="28"/>
      <c r="O126" s="28"/>
      <c r="P126" s="28"/>
      <c r="Q126" s="29"/>
      <c r="S126" s="27"/>
      <c r="T126" s="28"/>
      <c r="U126" s="28"/>
      <c r="V126" s="28"/>
      <c r="W126" s="28"/>
      <c r="X126" s="28"/>
      <c r="Y126" s="28"/>
      <c r="Z126" s="29"/>
      <c r="AB126" s="27"/>
      <c r="AC126" s="28"/>
      <c r="AD126" s="28"/>
      <c r="AE126" s="28"/>
      <c r="AF126" s="28"/>
      <c r="AG126" s="28"/>
      <c r="AH126" s="28"/>
      <c r="AI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  <c r="J127" s="107"/>
      <c r="K127" s="108"/>
      <c r="L127" s="108"/>
      <c r="M127" s="108"/>
      <c r="N127" s="108"/>
      <c r="O127" s="108"/>
      <c r="P127" s="109" t="s">
        <v>158</v>
      </c>
      <c r="Q127" s="110" t="s">
        <v>159</v>
      </c>
      <c r="S127" s="107"/>
      <c r="T127" s="108"/>
      <c r="U127" s="108"/>
      <c r="V127" s="108"/>
      <c r="W127" s="108"/>
      <c r="X127" s="108"/>
      <c r="Y127" s="109" t="s">
        <v>158</v>
      </c>
      <c r="Z127" s="110" t="s">
        <v>159</v>
      </c>
      <c r="AB127" s="107"/>
      <c r="AC127" s="108"/>
      <c r="AD127" s="108"/>
      <c r="AE127" s="108"/>
      <c r="AF127" s="108"/>
      <c r="AG127" s="108"/>
      <c r="AH127" s="109" t="s">
        <v>158</v>
      </c>
      <c r="AI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  <c r="J128" s="111" t="s">
        <v>165</v>
      </c>
      <c r="K128" s="112"/>
      <c r="L128" s="112"/>
      <c r="M128" s="112"/>
      <c r="N128" s="112"/>
      <c r="O128" s="112"/>
      <c r="P128" s="113">
        <f>Q121</f>
        <v>0</v>
      </c>
      <c r="Q128" s="114">
        <f>SUM(Q131:Q133)</f>
        <v>0</v>
      </c>
      <c r="S128" s="111" t="s">
        <v>165</v>
      </c>
      <c r="T128" s="112"/>
      <c r="U128" s="112"/>
      <c r="V128" s="112"/>
      <c r="W128" s="112"/>
      <c r="X128" s="112"/>
      <c r="Y128" s="113">
        <f>Z121</f>
        <v>0</v>
      </c>
      <c r="Z128" s="114">
        <f>SUM(Z131:Z133)</f>
        <v>0</v>
      </c>
      <c r="AB128" s="111" t="s">
        <v>165</v>
      </c>
      <c r="AC128" s="112"/>
      <c r="AD128" s="112"/>
      <c r="AE128" s="112"/>
      <c r="AF128" s="112"/>
      <c r="AG128" s="112"/>
      <c r="AH128" s="113">
        <f>AI121</f>
        <v>0</v>
      </c>
      <c r="AI128" s="114">
        <f>SUM(AI131:AI133)</f>
        <v>0</v>
      </c>
    </row>
    <row r="129" spans="1:35">
      <c r="A129" s="27"/>
      <c r="B129" s="28"/>
      <c r="C129" s="28"/>
      <c r="D129" s="28"/>
      <c r="E129" s="28"/>
      <c r="F129" s="28"/>
      <c r="G129" s="115"/>
      <c r="H129" s="116"/>
      <c r="J129" s="27"/>
      <c r="K129" s="28"/>
      <c r="L129" s="28"/>
      <c r="M129" s="28"/>
      <c r="N129" s="28"/>
      <c r="O129" s="28"/>
      <c r="P129" s="115"/>
      <c r="Q129" s="116"/>
      <c r="S129" s="27"/>
      <c r="T129" s="28"/>
      <c r="U129" s="28"/>
      <c r="V129" s="28"/>
      <c r="W129" s="28"/>
      <c r="X129" s="28"/>
      <c r="Y129" s="115"/>
      <c r="Z129" s="116"/>
      <c r="AB129" s="27"/>
      <c r="AC129" s="28"/>
      <c r="AD129" s="28"/>
      <c r="AE129" s="28"/>
      <c r="AF129" s="28"/>
      <c r="AG129" s="28"/>
      <c r="AH129" s="115"/>
      <c r="AI129" s="116"/>
    </row>
    <row r="130" spans="1:35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J130" s="117" t="s">
        <v>166</v>
      </c>
      <c r="K130" s="352" t="s">
        <v>167</v>
      </c>
      <c r="L130" s="352"/>
      <c r="M130" s="352" t="s">
        <v>168</v>
      </c>
      <c r="N130" s="352"/>
      <c r="O130" s="352" t="s">
        <v>162</v>
      </c>
      <c r="P130" s="352"/>
      <c r="Q130" s="116" t="s">
        <v>159</v>
      </c>
      <c r="S130" s="117" t="s">
        <v>166</v>
      </c>
      <c r="T130" s="352" t="s">
        <v>167</v>
      </c>
      <c r="U130" s="352"/>
      <c r="V130" s="352" t="s">
        <v>168</v>
      </c>
      <c r="W130" s="352"/>
      <c r="X130" s="352" t="s">
        <v>162</v>
      </c>
      <c r="Y130" s="352"/>
      <c r="Z130" s="116" t="s">
        <v>159</v>
      </c>
      <c r="AB130" s="117" t="s">
        <v>166</v>
      </c>
      <c r="AC130" s="352" t="s">
        <v>167</v>
      </c>
      <c r="AD130" s="352"/>
      <c r="AE130" s="352" t="s">
        <v>168</v>
      </c>
      <c r="AF130" s="352"/>
      <c r="AG130" s="352" t="s">
        <v>162</v>
      </c>
      <c r="AH130" s="352"/>
      <c r="AI130" s="116" t="s">
        <v>159</v>
      </c>
    </row>
    <row r="131" spans="1:35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J131" s="27" t="s">
        <v>169</v>
      </c>
      <c r="K131" s="354">
        <f>P128</f>
        <v>0</v>
      </c>
      <c r="L131" s="354"/>
      <c r="M131" s="355">
        <v>0</v>
      </c>
      <c r="N131" s="355"/>
      <c r="O131" s="354">
        <v>0</v>
      </c>
      <c r="P131" s="354"/>
      <c r="Q131" s="119">
        <f>(K131-(K131*M131))-O131</f>
        <v>0</v>
      </c>
      <c r="S131" s="27" t="s">
        <v>169</v>
      </c>
      <c r="T131" s="354">
        <f>Y128</f>
        <v>0</v>
      </c>
      <c r="U131" s="354"/>
      <c r="V131" s="355">
        <v>0</v>
      </c>
      <c r="W131" s="355"/>
      <c r="X131" s="354">
        <v>0</v>
      </c>
      <c r="Y131" s="354"/>
      <c r="Z131" s="119">
        <f>(T131-(T131*V131))-X131</f>
        <v>0</v>
      </c>
      <c r="AB131" s="27" t="s">
        <v>169</v>
      </c>
      <c r="AC131" s="354">
        <f>AH128</f>
        <v>0</v>
      </c>
      <c r="AD131" s="354"/>
      <c r="AE131" s="355">
        <v>0</v>
      </c>
      <c r="AF131" s="355"/>
      <c r="AG131" s="354">
        <v>0</v>
      </c>
      <c r="AH131" s="354"/>
      <c r="AI131" s="119">
        <f>(AC131-(AC131*AE131))-AG131</f>
        <v>0</v>
      </c>
    </row>
    <row r="132" spans="1:35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J132" s="27" t="s">
        <v>170</v>
      </c>
      <c r="K132" s="354">
        <v>0</v>
      </c>
      <c r="L132" s="354"/>
      <c r="M132" s="355">
        <v>0</v>
      </c>
      <c r="N132" s="355"/>
      <c r="O132" s="354">
        <v>0</v>
      </c>
      <c r="P132" s="354"/>
      <c r="Q132" s="119">
        <f>(K132-(K132*M132))-O132</f>
        <v>0</v>
      </c>
      <c r="S132" s="27" t="s">
        <v>170</v>
      </c>
      <c r="T132" s="354">
        <v>0</v>
      </c>
      <c r="U132" s="354"/>
      <c r="V132" s="355">
        <v>0</v>
      </c>
      <c r="W132" s="355"/>
      <c r="X132" s="354">
        <v>0</v>
      </c>
      <c r="Y132" s="354"/>
      <c r="Z132" s="119">
        <f>(T132-(T132*V132))-X132</f>
        <v>0</v>
      </c>
      <c r="AB132" s="27" t="s">
        <v>170</v>
      </c>
      <c r="AC132" s="354">
        <v>0</v>
      </c>
      <c r="AD132" s="354"/>
      <c r="AE132" s="355">
        <v>0</v>
      </c>
      <c r="AF132" s="355"/>
      <c r="AG132" s="354">
        <v>0</v>
      </c>
      <c r="AH132" s="354"/>
      <c r="AI132" s="119">
        <f>(AC132-(AC132*AE132))-AG132</f>
        <v>0</v>
      </c>
    </row>
    <row r="133" spans="1:35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J133" s="27" t="s">
        <v>171</v>
      </c>
      <c r="K133" s="354">
        <v>0</v>
      </c>
      <c r="L133" s="354"/>
      <c r="M133" s="355">
        <v>0</v>
      </c>
      <c r="N133" s="355"/>
      <c r="O133" s="354">
        <v>0</v>
      </c>
      <c r="P133" s="354"/>
      <c r="Q133" s="119">
        <f>(K133-(K133*M133))-O133</f>
        <v>0</v>
      </c>
      <c r="S133" s="27" t="s">
        <v>171</v>
      </c>
      <c r="T133" s="354">
        <v>0</v>
      </c>
      <c r="U133" s="354"/>
      <c r="V133" s="355">
        <v>0</v>
      </c>
      <c r="W133" s="355"/>
      <c r="X133" s="354">
        <v>0</v>
      </c>
      <c r="Y133" s="354"/>
      <c r="Z133" s="119">
        <f>(T133-(T133*V133))-X133</f>
        <v>0</v>
      </c>
      <c r="AB133" s="27" t="s">
        <v>171</v>
      </c>
      <c r="AC133" s="354">
        <v>0</v>
      </c>
      <c r="AD133" s="354"/>
      <c r="AE133" s="355">
        <v>0</v>
      </c>
      <c r="AF133" s="355"/>
      <c r="AG133" s="354">
        <v>0</v>
      </c>
      <c r="AH133" s="354"/>
      <c r="AI133" s="119">
        <f>(AC133-(AC133*AE133))-AG133</f>
        <v>0</v>
      </c>
    </row>
    <row r="134" spans="1:35">
      <c r="A134" s="27"/>
      <c r="B134" s="28"/>
      <c r="C134" s="28"/>
      <c r="D134" s="28"/>
      <c r="E134" s="28"/>
      <c r="F134" s="28"/>
      <c r="G134" s="115"/>
      <c r="H134" s="116"/>
      <c r="J134" s="27"/>
      <c r="K134" s="28"/>
      <c r="L134" s="28"/>
      <c r="M134" s="28"/>
      <c r="N134" s="28"/>
      <c r="O134" s="28"/>
      <c r="P134" s="115"/>
      <c r="Q134" s="116"/>
      <c r="S134" s="27"/>
      <c r="T134" s="28"/>
      <c r="U134" s="28"/>
      <c r="V134" s="28"/>
      <c r="W134" s="28"/>
      <c r="X134" s="28"/>
      <c r="Y134" s="115"/>
      <c r="Z134" s="116"/>
      <c r="AB134" s="27"/>
      <c r="AC134" s="28"/>
      <c r="AD134" s="28"/>
      <c r="AE134" s="28"/>
      <c r="AF134" s="28"/>
      <c r="AG134" s="28"/>
      <c r="AH134" s="115"/>
      <c r="AI134" s="116"/>
    </row>
    <row r="135" spans="1:35" ht="21">
      <c r="A135" s="356" t="s">
        <v>172</v>
      </c>
      <c r="B135" s="356"/>
      <c r="C135" s="356"/>
      <c r="D135" s="356"/>
      <c r="E135" s="356"/>
      <c r="F135" s="356"/>
      <c r="G135" s="109">
        <f>B121</f>
        <v>13875</v>
      </c>
      <c r="H135" s="120">
        <f>C125+E125+G125+H128</f>
        <v>20416.669999999998</v>
      </c>
      <c r="J135" s="356" t="s">
        <v>172</v>
      </c>
      <c r="K135" s="356"/>
      <c r="L135" s="356"/>
      <c r="M135" s="356"/>
      <c r="N135" s="356"/>
      <c r="O135" s="356"/>
      <c r="P135" s="109">
        <f t="shared" ref="P135:P142" si="7">H9</f>
        <v>0</v>
      </c>
      <c r="Q135" s="120" t="e">
        <f>L125+N125+P125+Q128</f>
        <v>#VALUE!</v>
      </c>
      <c r="S135" s="356" t="s">
        <v>172</v>
      </c>
      <c r="T135" s="356"/>
      <c r="U135" s="356"/>
      <c r="V135" s="356"/>
      <c r="W135" s="356"/>
      <c r="X135" s="356"/>
      <c r="Y135" s="109">
        <f t="shared" ref="Y135:Y142" si="8">H9</f>
        <v>0</v>
      </c>
      <c r="Z135" s="120" t="e">
        <f>U125+W125+Y125+Z128</f>
        <v>#VALUE!</v>
      </c>
      <c r="AB135" s="356" t="s">
        <v>172</v>
      </c>
      <c r="AC135" s="356"/>
      <c r="AD135" s="356"/>
      <c r="AE135" s="356"/>
      <c r="AF135" s="356"/>
      <c r="AG135" s="356"/>
      <c r="AH135" s="109">
        <f t="shared" ref="AH135:AH142" si="9">H9</f>
        <v>0</v>
      </c>
      <c r="AI135" s="120" t="e">
        <f>AD125+AF125+AH125+AI128</f>
        <v>#VALUE!</v>
      </c>
    </row>
    <row r="136" spans="1:35">
      <c r="A136" s="357" t="s">
        <v>173</v>
      </c>
      <c r="B136" s="357"/>
      <c r="C136" s="357"/>
      <c r="D136" s="357"/>
      <c r="E136" s="357"/>
      <c r="F136" s="357"/>
      <c r="G136" s="121">
        <f>H10</f>
        <v>0</v>
      </c>
      <c r="H136" s="29">
        <f>G136</f>
        <v>0</v>
      </c>
      <c r="J136" s="357" t="s">
        <v>173</v>
      </c>
      <c r="K136" s="357"/>
      <c r="L136" s="357"/>
      <c r="M136" s="357"/>
      <c r="N136" s="357"/>
      <c r="O136" s="357"/>
      <c r="P136" s="121">
        <f t="shared" si="7"/>
        <v>0</v>
      </c>
      <c r="Q136" s="29">
        <f>P136</f>
        <v>0</v>
      </c>
      <c r="S136" s="357" t="s">
        <v>173</v>
      </c>
      <c r="T136" s="357"/>
      <c r="U136" s="357"/>
      <c r="V136" s="357"/>
      <c r="W136" s="357"/>
      <c r="X136" s="357"/>
      <c r="Y136" s="121">
        <f t="shared" si="8"/>
        <v>0</v>
      </c>
      <c r="Z136" s="29">
        <f>Y136</f>
        <v>0</v>
      </c>
      <c r="AB136" s="357" t="s">
        <v>173</v>
      </c>
      <c r="AC136" s="357"/>
      <c r="AD136" s="357"/>
      <c r="AE136" s="357"/>
      <c r="AF136" s="357"/>
      <c r="AG136" s="357"/>
      <c r="AH136" s="121">
        <f t="shared" si="9"/>
        <v>0</v>
      </c>
      <c r="AI136" s="29">
        <f>AH136</f>
        <v>0</v>
      </c>
    </row>
    <row r="137" spans="1:35">
      <c r="A137" s="357" t="s">
        <v>174</v>
      </c>
      <c r="B137" s="357"/>
      <c r="C137" s="357"/>
      <c r="D137" s="357"/>
      <c r="E137" s="357"/>
      <c r="F137" s="357"/>
      <c r="G137" s="29">
        <f>(G135+G136)*20%</f>
        <v>2775</v>
      </c>
      <c r="H137" s="29">
        <f>(H135+H136)*20%</f>
        <v>4083.3339999999998</v>
      </c>
      <c r="J137" s="357" t="s">
        <v>174</v>
      </c>
      <c r="K137" s="357"/>
      <c r="L137" s="357"/>
      <c r="M137" s="357"/>
      <c r="N137" s="357"/>
      <c r="O137" s="357"/>
      <c r="P137" s="121">
        <f t="shared" si="7"/>
        <v>0</v>
      </c>
      <c r="Q137" s="29" t="e">
        <f>(Q135+Q136)*20%</f>
        <v>#VALUE!</v>
      </c>
      <c r="S137" s="357" t="s">
        <v>174</v>
      </c>
      <c r="T137" s="357"/>
      <c r="U137" s="357"/>
      <c r="V137" s="357"/>
      <c r="W137" s="357"/>
      <c r="X137" s="357"/>
      <c r="Y137" s="121">
        <f t="shared" si="8"/>
        <v>0</v>
      </c>
      <c r="Z137" s="29" t="e">
        <f>(Z135+Z136)*20%</f>
        <v>#VALUE!</v>
      </c>
      <c r="AB137" s="357" t="s">
        <v>174</v>
      </c>
      <c r="AC137" s="357"/>
      <c r="AD137" s="357"/>
      <c r="AE137" s="357"/>
      <c r="AF137" s="357"/>
      <c r="AG137" s="357"/>
      <c r="AH137" s="121">
        <f t="shared" si="9"/>
        <v>0</v>
      </c>
      <c r="AI137" s="29" t="e">
        <f>(AI135+AI136)*20%</f>
        <v>#VALUE!</v>
      </c>
    </row>
    <row r="138" spans="1:35">
      <c r="A138" s="357" t="s">
        <v>175</v>
      </c>
      <c r="B138" s="357"/>
      <c r="C138" s="357"/>
      <c r="D138" s="357"/>
      <c r="E138" s="357"/>
      <c r="F138" s="357"/>
      <c r="G138" s="121">
        <f>H12</f>
        <v>0</v>
      </c>
      <c r="H138" s="29">
        <v>0</v>
      </c>
      <c r="J138" s="357" t="s">
        <v>175</v>
      </c>
      <c r="K138" s="357"/>
      <c r="L138" s="357"/>
      <c r="M138" s="357"/>
      <c r="N138" s="357"/>
      <c r="O138" s="357"/>
      <c r="P138" s="121">
        <f t="shared" si="7"/>
        <v>0</v>
      </c>
      <c r="Q138" s="29">
        <f>P138</f>
        <v>0</v>
      </c>
      <c r="S138" s="357" t="s">
        <v>175</v>
      </c>
      <c r="T138" s="357"/>
      <c r="U138" s="357"/>
      <c r="V138" s="357"/>
      <c r="W138" s="357"/>
      <c r="X138" s="357"/>
      <c r="Y138" s="121">
        <f t="shared" si="8"/>
        <v>0</v>
      </c>
      <c r="Z138" s="29">
        <f>Y138</f>
        <v>0</v>
      </c>
      <c r="AB138" s="357" t="s">
        <v>175</v>
      </c>
      <c r="AC138" s="357"/>
      <c r="AD138" s="357"/>
      <c r="AE138" s="357"/>
      <c r="AF138" s="357"/>
      <c r="AG138" s="357"/>
      <c r="AH138" s="121">
        <f t="shared" si="9"/>
        <v>0</v>
      </c>
      <c r="AI138" s="29">
        <f>AH138</f>
        <v>0</v>
      </c>
    </row>
    <row r="139" spans="1:35">
      <c r="A139" s="357" t="s">
        <v>176</v>
      </c>
      <c r="B139" s="357"/>
      <c r="C139" s="357"/>
      <c r="D139" s="357"/>
      <c r="E139" s="357"/>
      <c r="F139" s="357"/>
      <c r="G139" s="121">
        <f>H13</f>
        <v>0</v>
      </c>
      <c r="H139" s="29">
        <f>G139</f>
        <v>0</v>
      </c>
      <c r="J139" s="357" t="s">
        <v>176</v>
      </c>
      <c r="K139" s="357"/>
      <c r="L139" s="357"/>
      <c r="M139" s="357"/>
      <c r="N139" s="357"/>
      <c r="O139" s="357"/>
      <c r="P139" s="121">
        <f t="shared" si="7"/>
        <v>0</v>
      </c>
      <c r="Q139" s="29">
        <f>P139</f>
        <v>0</v>
      </c>
      <c r="S139" s="357" t="s">
        <v>176</v>
      </c>
      <c r="T139" s="357"/>
      <c r="U139" s="357"/>
      <c r="V139" s="357"/>
      <c r="W139" s="357"/>
      <c r="X139" s="357"/>
      <c r="Y139" s="121">
        <f t="shared" si="8"/>
        <v>0</v>
      </c>
      <c r="Z139" s="29">
        <f>Y139</f>
        <v>0</v>
      </c>
      <c r="AB139" s="357" t="s">
        <v>176</v>
      </c>
      <c r="AC139" s="357"/>
      <c r="AD139" s="357"/>
      <c r="AE139" s="357"/>
      <c r="AF139" s="357"/>
      <c r="AG139" s="357"/>
      <c r="AH139" s="121">
        <f t="shared" si="9"/>
        <v>0</v>
      </c>
      <c r="AI139" s="29">
        <f>AH139</f>
        <v>0</v>
      </c>
    </row>
    <row r="140" spans="1:35">
      <c r="A140" s="357" t="s">
        <v>177</v>
      </c>
      <c r="B140" s="357"/>
      <c r="C140" s="357"/>
      <c r="D140" s="357"/>
      <c r="E140" s="357"/>
      <c r="F140" s="357"/>
      <c r="G140" s="121">
        <f>H14</f>
        <v>0</v>
      </c>
      <c r="H140" s="29">
        <f>G140</f>
        <v>0</v>
      </c>
      <c r="J140" s="357" t="s">
        <v>177</v>
      </c>
      <c r="K140" s="357"/>
      <c r="L140" s="357"/>
      <c r="M140" s="357"/>
      <c r="N140" s="357"/>
      <c r="O140" s="357"/>
      <c r="P140" s="121">
        <f t="shared" si="7"/>
        <v>0</v>
      </c>
      <c r="Q140" s="29">
        <v>55</v>
      </c>
      <c r="S140" s="357" t="s">
        <v>177</v>
      </c>
      <c r="T140" s="357"/>
      <c r="U140" s="357"/>
      <c r="V140" s="357"/>
      <c r="W140" s="357"/>
      <c r="X140" s="357"/>
      <c r="Y140" s="121">
        <f t="shared" si="8"/>
        <v>0</v>
      </c>
      <c r="Z140" s="29">
        <v>55</v>
      </c>
      <c r="AB140" s="357" t="s">
        <v>177</v>
      </c>
      <c r="AC140" s="357"/>
      <c r="AD140" s="357"/>
      <c r="AE140" s="357"/>
      <c r="AF140" s="357"/>
      <c r="AG140" s="357"/>
      <c r="AH140" s="121">
        <f t="shared" si="9"/>
        <v>0</v>
      </c>
      <c r="AI140" s="29">
        <v>55</v>
      </c>
    </row>
    <row r="141" spans="1:35" ht="21">
      <c r="A141" s="357" t="s">
        <v>178</v>
      </c>
      <c r="B141" s="357"/>
      <c r="C141" s="357"/>
      <c r="D141" s="357"/>
      <c r="E141" s="357"/>
      <c r="F141" s="357"/>
      <c r="G141" s="122">
        <f>(G135+G136+G139+G140+G137)-G138</f>
        <v>16650</v>
      </c>
      <c r="H141" s="122">
        <f>(H135+H136+H139+H140+H137)-H138</f>
        <v>24500.003999999997</v>
      </c>
      <c r="J141" s="357" t="s">
        <v>178</v>
      </c>
      <c r="K141" s="357"/>
      <c r="L141" s="357"/>
      <c r="M141" s="357"/>
      <c r="N141" s="357"/>
      <c r="O141" s="357"/>
      <c r="P141" s="123">
        <f t="shared" si="7"/>
        <v>0</v>
      </c>
      <c r="Q141" s="122" t="e">
        <f>(Q135+Q136+Q139+Q140+Q137)-Q138</f>
        <v>#VALUE!</v>
      </c>
      <c r="S141" s="357" t="s">
        <v>178</v>
      </c>
      <c r="T141" s="357"/>
      <c r="U141" s="357"/>
      <c r="V141" s="357"/>
      <c r="W141" s="357"/>
      <c r="X141" s="357"/>
      <c r="Y141" s="123">
        <f t="shared" si="8"/>
        <v>0</v>
      </c>
      <c r="Z141" s="122" t="e">
        <f>(Z135+Z136+Z139+Z140+Z137)-Z138</f>
        <v>#VALUE!</v>
      </c>
      <c r="AB141" s="357" t="s">
        <v>178</v>
      </c>
      <c r="AC141" s="357"/>
      <c r="AD141" s="357"/>
      <c r="AE141" s="357"/>
      <c r="AF141" s="357"/>
      <c r="AG141" s="357"/>
      <c r="AH141" s="123">
        <f t="shared" si="9"/>
        <v>0</v>
      </c>
      <c r="AI141" s="122" t="e">
        <f>(AI135+AI136+AI139+AI140+AI137)-AI138</f>
        <v>#VALUE!</v>
      </c>
    </row>
    <row r="142" spans="1:35">
      <c r="A142" s="357" t="s">
        <v>179</v>
      </c>
      <c r="B142" s="357"/>
      <c r="C142" s="357"/>
      <c r="D142" s="357"/>
      <c r="E142" s="357"/>
      <c r="F142" s="357"/>
      <c r="G142" s="121">
        <f>H16</f>
        <v>0</v>
      </c>
      <c r="H142" s="36">
        <f>G142</f>
        <v>0</v>
      </c>
      <c r="J142" s="357" t="s">
        <v>179</v>
      </c>
      <c r="K142" s="357"/>
      <c r="L142" s="357"/>
      <c r="M142" s="357"/>
      <c r="N142" s="357"/>
      <c r="O142" s="357"/>
      <c r="P142" s="121">
        <f t="shared" si="7"/>
        <v>0</v>
      </c>
      <c r="Q142" s="36">
        <f>P142</f>
        <v>0</v>
      </c>
      <c r="S142" s="357" t="s">
        <v>179</v>
      </c>
      <c r="T142" s="357"/>
      <c r="U142" s="357"/>
      <c r="V142" s="357"/>
      <c r="W142" s="357"/>
      <c r="X142" s="357"/>
      <c r="Y142" s="121">
        <f t="shared" si="8"/>
        <v>0</v>
      </c>
      <c r="Z142" s="36">
        <f>Y142</f>
        <v>0</v>
      </c>
      <c r="AB142" s="357" t="s">
        <v>179</v>
      </c>
      <c r="AC142" s="357"/>
      <c r="AD142" s="357"/>
      <c r="AE142" s="357"/>
      <c r="AF142" s="357"/>
      <c r="AG142" s="357"/>
      <c r="AH142" s="121">
        <f t="shared" si="9"/>
        <v>0</v>
      </c>
      <c r="AI142" s="36">
        <f>AH142</f>
        <v>0</v>
      </c>
    </row>
    <row r="143" spans="1:35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58" t="s">
        <v>180</v>
      </c>
      <c r="K143" s="358"/>
      <c r="L143" s="358"/>
      <c r="M143" s="358"/>
      <c r="N143" s="358"/>
      <c r="O143" s="358"/>
      <c r="P143" s="34"/>
      <c r="Q143" s="29"/>
      <c r="S143" s="358" t="s">
        <v>180</v>
      </c>
      <c r="T143" s="358"/>
      <c r="U143" s="358"/>
      <c r="V143" s="358"/>
      <c r="W143" s="358"/>
      <c r="X143" s="358"/>
      <c r="Y143" s="34"/>
      <c r="Z143" s="29"/>
      <c r="AB143" s="358" t="s">
        <v>180</v>
      </c>
      <c r="AC143" s="358"/>
      <c r="AD143" s="358"/>
      <c r="AE143" s="358"/>
      <c r="AF143" s="358"/>
      <c r="AG143" s="358"/>
      <c r="AH143" s="34"/>
      <c r="AI143" s="29"/>
    </row>
    <row r="144" spans="1:35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J144" s="124" t="s">
        <v>26</v>
      </c>
      <c r="K144" s="360" t="s">
        <v>181</v>
      </c>
      <c r="L144" s="360"/>
      <c r="M144" s="360"/>
      <c r="N144" s="360"/>
      <c r="O144" s="360"/>
      <c r="P144" s="121">
        <f>H18</f>
        <v>0</v>
      </c>
      <c r="Q144" s="36">
        <f>P144</f>
        <v>0</v>
      </c>
      <c r="S144" s="124" t="s">
        <v>26</v>
      </c>
      <c r="T144" s="360" t="s">
        <v>181</v>
      </c>
      <c r="U144" s="360"/>
      <c r="V144" s="360"/>
      <c r="W144" s="360"/>
      <c r="X144" s="360"/>
      <c r="Y144" s="121">
        <f>H18</f>
        <v>0</v>
      </c>
      <c r="Z144" s="36">
        <f>Y144</f>
        <v>0</v>
      </c>
      <c r="AB144" s="124" t="s">
        <v>26</v>
      </c>
      <c r="AC144" s="360" t="s">
        <v>181</v>
      </c>
      <c r="AD144" s="360"/>
      <c r="AE144" s="360"/>
      <c r="AF144" s="360"/>
      <c r="AG144" s="360"/>
      <c r="AH144" s="121">
        <f>H18</f>
        <v>0</v>
      </c>
      <c r="AI144" s="36">
        <f>AH144</f>
        <v>0</v>
      </c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J145" s="124" t="s">
        <v>28</v>
      </c>
      <c r="K145" s="360" t="s">
        <v>181</v>
      </c>
      <c r="L145" s="360"/>
      <c r="M145" s="360"/>
      <c r="N145" s="360"/>
      <c r="O145" s="360"/>
      <c r="P145" s="121">
        <f>H19</f>
        <v>0</v>
      </c>
      <c r="Q145" s="36">
        <f>P145</f>
        <v>0</v>
      </c>
      <c r="S145" s="124" t="s">
        <v>28</v>
      </c>
      <c r="T145" s="360" t="s">
        <v>181</v>
      </c>
      <c r="U145" s="360"/>
      <c r="V145" s="360"/>
      <c r="W145" s="360"/>
      <c r="X145" s="360"/>
      <c r="Y145" s="121">
        <f>H19</f>
        <v>0</v>
      </c>
      <c r="Z145" s="36">
        <f>Y145</f>
        <v>0</v>
      </c>
      <c r="AB145" s="124" t="s">
        <v>28</v>
      </c>
      <c r="AC145" s="360" t="s">
        <v>181</v>
      </c>
      <c r="AD145" s="360"/>
      <c r="AE145" s="360"/>
      <c r="AF145" s="360"/>
      <c r="AG145" s="360"/>
      <c r="AH145" s="121">
        <f>H19</f>
        <v>0</v>
      </c>
      <c r="AI145" s="36">
        <f>AH145</f>
        <v>0</v>
      </c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J146" s="125" t="s">
        <v>29</v>
      </c>
      <c r="K146" s="361" t="s">
        <v>181</v>
      </c>
      <c r="L146" s="361"/>
      <c r="M146" s="361"/>
      <c r="N146" s="361"/>
      <c r="O146" s="361"/>
      <c r="P146" s="121">
        <f>H20</f>
        <v>0</v>
      </c>
      <c r="Q146" s="36">
        <f>P146</f>
        <v>0</v>
      </c>
      <c r="S146" s="125" t="s">
        <v>29</v>
      </c>
      <c r="T146" s="361" t="s">
        <v>181</v>
      </c>
      <c r="U146" s="361"/>
      <c r="V146" s="361"/>
      <c r="W146" s="361"/>
      <c r="X146" s="361"/>
      <c r="Y146" s="121">
        <f>H20</f>
        <v>0</v>
      </c>
      <c r="Z146" s="36">
        <f>Y146</f>
        <v>0</v>
      </c>
      <c r="AB146" s="125" t="s">
        <v>29</v>
      </c>
      <c r="AC146" s="361" t="s">
        <v>181</v>
      </c>
      <c r="AD146" s="361"/>
      <c r="AE146" s="361"/>
      <c r="AF146" s="361"/>
      <c r="AG146" s="361"/>
      <c r="AH146" s="121">
        <f>H20</f>
        <v>0</v>
      </c>
      <c r="AI146" s="36">
        <f>AH146</f>
        <v>0</v>
      </c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16650</v>
      </c>
      <c r="H147" s="126">
        <f>H141-((H144*1.2)+(H145*1.2)+(H146*1.2)+(H142*1.2))</f>
        <v>24500.003999999997</v>
      </c>
      <c r="J147" s="357" t="s">
        <v>182</v>
      </c>
      <c r="K147" s="357"/>
      <c r="L147" s="357"/>
      <c r="M147" s="357"/>
      <c r="N147" s="357"/>
      <c r="O147" s="357"/>
      <c r="P147" s="123">
        <f>P141-((P144*1.2)+(P145*1.2)+(P146*1.2)+(P142*1.2))</f>
        <v>0</v>
      </c>
      <c r="Q147" s="126" t="e">
        <f>Q141-((Q144*1.2)+(Q145*1.2)+(Q146*1.2)+(Q142*1.2))</f>
        <v>#VALUE!</v>
      </c>
      <c r="S147" s="357" t="s">
        <v>182</v>
      </c>
      <c r="T147" s="357"/>
      <c r="U147" s="357"/>
      <c r="V147" s="357"/>
      <c r="W147" s="357"/>
      <c r="X147" s="357"/>
      <c r="Y147" s="123">
        <f>Y141-((Y144*1.2)+(Y145*1.2)+(Y146*1.2)+(Y142*1.2))</f>
        <v>0</v>
      </c>
      <c r="Z147" s="126" t="e">
        <f>Z141-((Z144*1.2)+(Z145*1.2)+(Z146*1.2)+(Z142*1.2))</f>
        <v>#VALUE!</v>
      </c>
      <c r="AB147" s="357" t="s">
        <v>182</v>
      </c>
      <c r="AC147" s="357"/>
      <c r="AD147" s="357"/>
      <c r="AE147" s="357"/>
      <c r="AF147" s="357"/>
      <c r="AG147" s="357"/>
      <c r="AH147" s="123">
        <f>AH141-((AH144*1.2)+(AH145*1.2)+(AH146*1.2)+(AH142*1.2))</f>
        <v>0</v>
      </c>
      <c r="AI147" s="126" t="e">
        <f>AI141-((AI144*1.2)+(AI145*1.2)+(AI146*1.2)+(AI142*1.2))</f>
        <v>#VALUE!</v>
      </c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6541.6699999999973</v>
      </c>
      <c r="I148" s="4">
        <f>(H148-G81)/1.2</f>
        <v>-14481.945</v>
      </c>
      <c r="J148" s="357" t="s">
        <v>183</v>
      </c>
      <c r="K148" s="357"/>
      <c r="L148" s="357"/>
      <c r="M148" s="357"/>
      <c r="N148" s="357"/>
      <c r="O148" s="357"/>
      <c r="P148" s="121"/>
      <c r="Q148" s="36" t="e">
        <f>Q147-P147</f>
        <v>#VALUE!</v>
      </c>
      <c r="S148" s="357" t="s">
        <v>183</v>
      </c>
      <c r="T148" s="357"/>
      <c r="U148" s="357"/>
      <c r="V148" s="357"/>
      <c r="W148" s="357"/>
      <c r="X148" s="357"/>
      <c r="Y148" s="121"/>
      <c r="Z148" s="36" t="e">
        <f>Z147-Y147</f>
        <v>#VALUE!</v>
      </c>
      <c r="AB148" s="357" t="s">
        <v>183</v>
      </c>
      <c r="AC148" s="357"/>
      <c r="AD148" s="357"/>
      <c r="AE148" s="357"/>
      <c r="AF148" s="357"/>
      <c r="AG148" s="357"/>
      <c r="AH148" s="121"/>
      <c r="AI148" s="36" t="e">
        <f>AI147-AH147</f>
        <v>#VALUE!</v>
      </c>
    </row>
    <row r="149" spans="1:35">
      <c r="A149" s="27"/>
      <c r="B149" s="28"/>
      <c r="C149" s="28"/>
      <c r="D149" s="28"/>
      <c r="E149" s="21"/>
      <c r="F149" s="21"/>
      <c r="G149" s="21"/>
      <c r="H149" s="29"/>
      <c r="J149" s="27"/>
      <c r="K149" s="28"/>
      <c r="L149" s="28"/>
      <c r="M149" s="28"/>
      <c r="N149" s="21"/>
      <c r="O149" s="21"/>
      <c r="P149" s="21"/>
      <c r="Q149" s="29"/>
      <c r="S149" s="27"/>
      <c r="T149" s="28"/>
      <c r="U149" s="28"/>
      <c r="V149" s="28"/>
      <c r="W149" s="21"/>
      <c r="X149" s="21"/>
      <c r="Y149" s="21"/>
      <c r="Z149" s="29"/>
      <c r="AB149" s="27"/>
      <c r="AC149" s="28"/>
      <c r="AD149" s="28"/>
      <c r="AE149" s="28"/>
      <c r="AF149" s="21"/>
      <c r="AG149" s="21"/>
      <c r="AH149" s="21"/>
      <c r="AI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35" t="s">
        <v>184</v>
      </c>
      <c r="K150" s="335"/>
      <c r="L150" s="335"/>
      <c r="M150" s="335"/>
      <c r="N150" s="335"/>
      <c r="O150" s="335"/>
      <c r="P150" s="335"/>
      <c r="Q150" s="335"/>
      <c r="S150" s="335" t="s">
        <v>184</v>
      </c>
      <c r="T150" s="335"/>
      <c r="U150" s="335"/>
      <c r="V150" s="335"/>
      <c r="W150" s="335"/>
      <c r="X150" s="335"/>
      <c r="Y150" s="335"/>
      <c r="Z150" s="335"/>
      <c r="AB150" s="335" t="s">
        <v>184</v>
      </c>
      <c r="AC150" s="335"/>
      <c r="AD150" s="335"/>
      <c r="AE150" s="335"/>
      <c r="AF150" s="335"/>
      <c r="AG150" s="335"/>
      <c r="AH150" s="335"/>
      <c r="AI150" s="335"/>
    </row>
    <row r="151" spans="1:35">
      <c r="A151" s="27"/>
      <c r="B151" s="28"/>
      <c r="C151" s="28"/>
      <c r="D151" s="28"/>
      <c r="E151" s="21"/>
      <c r="F151" s="21"/>
      <c r="G151" s="21"/>
      <c r="H151" s="29"/>
      <c r="J151" s="27"/>
      <c r="K151" s="28"/>
      <c r="L151" s="28"/>
      <c r="M151" s="28"/>
      <c r="N151" s="21"/>
      <c r="O151" s="21"/>
      <c r="P151" s="21"/>
      <c r="Q151" s="29"/>
      <c r="S151" s="27"/>
      <c r="T151" s="28"/>
      <c r="U151" s="28"/>
      <c r="V151" s="28"/>
      <c r="W151" s="21"/>
      <c r="X151" s="21"/>
      <c r="Y151" s="21"/>
      <c r="Z151" s="29"/>
      <c r="AB151" s="27"/>
      <c r="AC151" s="28"/>
      <c r="AD151" s="28"/>
      <c r="AE151" s="28"/>
      <c r="AF151" s="21"/>
      <c r="AG151" s="21"/>
      <c r="AH151" s="21"/>
      <c r="AI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J152" s="27" t="s">
        <v>185</v>
      </c>
      <c r="K152" s="28"/>
      <c r="L152" s="28"/>
      <c r="M152" s="21"/>
      <c r="N152" s="348">
        <v>10000</v>
      </c>
      <c r="O152" s="348"/>
      <c r="P152" s="348">
        <v>5000</v>
      </c>
      <c r="Q152" s="348"/>
      <c r="S152" s="27" t="s">
        <v>185</v>
      </c>
      <c r="T152" s="28"/>
      <c r="U152" s="28"/>
      <c r="V152" s="21"/>
      <c r="W152" s="348">
        <v>10000</v>
      </c>
      <c r="X152" s="348"/>
      <c r="Y152" s="348">
        <v>5000</v>
      </c>
      <c r="Z152" s="348"/>
      <c r="AB152" s="27" t="s">
        <v>185</v>
      </c>
      <c r="AC152" s="28"/>
      <c r="AD152" s="28"/>
      <c r="AE152" s="21"/>
      <c r="AF152" s="348">
        <v>10000</v>
      </c>
      <c r="AG152" s="348"/>
      <c r="AH152" s="348">
        <v>5000</v>
      </c>
      <c r="AI152" s="348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J153" s="27" t="s">
        <v>186</v>
      </c>
      <c r="K153" s="28"/>
      <c r="L153" s="28"/>
      <c r="M153" s="21"/>
      <c r="N153" s="363">
        <f>P153</f>
        <v>7000</v>
      </c>
      <c r="O153" s="363"/>
      <c r="P153" s="348">
        <v>7000</v>
      </c>
      <c r="Q153" s="348"/>
      <c r="S153" s="27" t="s">
        <v>186</v>
      </c>
      <c r="T153" s="28"/>
      <c r="U153" s="28"/>
      <c r="V153" s="21"/>
      <c r="W153" s="363">
        <f>Y153</f>
        <v>7000</v>
      </c>
      <c r="X153" s="363"/>
      <c r="Y153" s="348">
        <v>7000</v>
      </c>
      <c r="Z153" s="348"/>
      <c r="AB153" s="27" t="s">
        <v>186</v>
      </c>
      <c r="AC153" s="28"/>
      <c r="AD153" s="28"/>
      <c r="AE153" s="21"/>
      <c r="AF153" s="363">
        <f>AH153</f>
        <v>7000</v>
      </c>
      <c r="AG153" s="363"/>
      <c r="AH153" s="348">
        <v>7000</v>
      </c>
      <c r="AI153" s="348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J154" s="27" t="s">
        <v>187</v>
      </c>
      <c r="K154" s="28"/>
      <c r="L154" s="28"/>
      <c r="M154" s="21"/>
      <c r="N154" s="363">
        <f>N152-N153</f>
        <v>3000</v>
      </c>
      <c r="O154" s="363"/>
      <c r="P154" s="364">
        <f>P152-P153</f>
        <v>-2000</v>
      </c>
      <c r="Q154" s="364"/>
      <c r="S154" s="27" t="s">
        <v>187</v>
      </c>
      <c r="T154" s="28"/>
      <c r="U154" s="28"/>
      <c r="V154" s="21"/>
      <c r="W154" s="363">
        <f>W152-W153</f>
        <v>3000</v>
      </c>
      <c r="X154" s="363"/>
      <c r="Y154" s="364">
        <f>Y152-Y153</f>
        <v>-2000</v>
      </c>
      <c r="Z154" s="364"/>
      <c r="AB154" s="27" t="s">
        <v>187</v>
      </c>
      <c r="AC154" s="28"/>
      <c r="AD154" s="28"/>
      <c r="AE154" s="21"/>
      <c r="AF154" s="363">
        <f>AF152-AF153</f>
        <v>3000</v>
      </c>
      <c r="AG154" s="363"/>
      <c r="AH154" s="364">
        <f>AH152-AH153</f>
        <v>-2000</v>
      </c>
      <c r="AI154" s="364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J155" s="27" t="s">
        <v>188</v>
      </c>
      <c r="K155" s="28"/>
      <c r="L155" s="28"/>
      <c r="M155" s="21"/>
      <c r="N155" s="363">
        <f>N154-P154</f>
        <v>5000</v>
      </c>
      <c r="O155" s="363"/>
      <c r="P155" s="21"/>
      <c r="Q155" s="29"/>
      <c r="S155" s="27" t="s">
        <v>188</v>
      </c>
      <c r="T155" s="28"/>
      <c r="U155" s="28"/>
      <c r="V155" s="21"/>
      <c r="W155" s="363">
        <f>W154-Y154</f>
        <v>5000</v>
      </c>
      <c r="X155" s="363"/>
      <c r="Y155" s="21"/>
      <c r="Z155" s="29"/>
      <c r="AB155" s="27" t="s">
        <v>188</v>
      </c>
      <c r="AC155" s="28"/>
      <c r="AD155" s="28"/>
      <c r="AE155" s="21"/>
      <c r="AF155" s="363">
        <f>AF154-AH154</f>
        <v>5000</v>
      </c>
      <c r="AG155" s="363"/>
      <c r="AH155" s="21"/>
      <c r="AI155" s="29"/>
    </row>
    <row r="156" spans="1:35">
      <c r="A156" s="27" t="s">
        <v>189</v>
      </c>
      <c r="B156" s="28"/>
      <c r="C156" s="28"/>
      <c r="D156" s="21"/>
      <c r="E156" s="28"/>
      <c r="F156" s="21"/>
      <c r="G156" s="21"/>
      <c r="H156" s="36">
        <v>1420</v>
      </c>
      <c r="J156" s="27"/>
      <c r="K156" s="28"/>
      <c r="L156" s="28"/>
      <c r="M156" s="21"/>
      <c r="N156" s="28"/>
      <c r="O156" s="21"/>
      <c r="P156" s="21"/>
      <c r="Q156" s="29"/>
      <c r="S156" s="27"/>
      <c r="T156" s="28"/>
      <c r="U156" s="28"/>
      <c r="V156" s="21"/>
      <c r="W156" s="28"/>
      <c r="X156" s="21"/>
      <c r="Y156" s="21"/>
      <c r="Z156" s="29"/>
      <c r="AB156" s="27"/>
      <c r="AC156" s="28"/>
      <c r="AD156" s="28"/>
      <c r="AE156" s="21"/>
      <c r="AF156" s="28"/>
      <c r="AG156" s="21"/>
      <c r="AH156" s="21"/>
      <c r="AI156" s="29"/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2000</v>
      </c>
      <c r="H157" s="365"/>
      <c r="J157" s="22" t="s">
        <v>190</v>
      </c>
      <c r="K157" s="23"/>
      <c r="L157" s="23"/>
      <c r="M157" s="63"/>
      <c r="N157" s="23"/>
      <c r="O157" s="63"/>
      <c r="P157" s="365">
        <f>J114</f>
        <v>1000</v>
      </c>
      <c r="Q157" s="365"/>
      <c r="S157" s="22" t="s">
        <v>190</v>
      </c>
      <c r="T157" s="23"/>
      <c r="U157" s="23"/>
      <c r="V157" s="63"/>
      <c r="W157" s="23"/>
      <c r="X157" s="63"/>
      <c r="Y157" s="365">
        <f>S114</f>
        <v>1000</v>
      </c>
      <c r="Z157" s="365"/>
      <c r="AB157" s="22" t="s">
        <v>190</v>
      </c>
      <c r="AC157" s="23"/>
      <c r="AD157" s="23"/>
      <c r="AE157" s="63"/>
      <c r="AF157" s="23"/>
      <c r="AG157" s="63"/>
      <c r="AH157" s="365">
        <f>AB114</f>
        <v>1000</v>
      </c>
      <c r="AI157" s="365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23920.003999999997</v>
      </c>
      <c r="H158" s="366"/>
      <c r="J158" s="129" t="s">
        <v>191</v>
      </c>
      <c r="K158" s="28"/>
      <c r="L158" s="28"/>
      <c r="M158" s="21"/>
      <c r="N158" s="28"/>
      <c r="O158" s="21"/>
      <c r="P158" s="366" t="e">
        <f>Q147-P154-P157</f>
        <v>#VALUE!</v>
      </c>
      <c r="Q158" s="366"/>
      <c r="S158" s="129" t="s">
        <v>191</v>
      </c>
      <c r="T158" s="28"/>
      <c r="U158" s="28"/>
      <c r="V158" s="21"/>
      <c r="W158" s="28"/>
      <c r="X158" s="21"/>
      <c r="Y158" s="366" t="e">
        <f>Z147-Y154-Y157</f>
        <v>#VALUE!</v>
      </c>
      <c r="Z158" s="366"/>
      <c r="AB158" s="129" t="s">
        <v>191</v>
      </c>
      <c r="AC158" s="28"/>
      <c r="AD158" s="28"/>
      <c r="AE158" s="21"/>
      <c r="AF158" s="28"/>
      <c r="AG158" s="21"/>
      <c r="AH158" s="366" t="e">
        <f>AI147-AH154-AH157</f>
        <v>#VALUE!</v>
      </c>
      <c r="AI158" s="366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833.33333333333337</v>
      </c>
      <c r="H159" s="367"/>
      <c r="J159" s="49" t="s">
        <v>66</v>
      </c>
      <c r="K159" s="50"/>
      <c r="L159" s="50"/>
      <c r="M159" s="85"/>
      <c r="N159" s="50"/>
      <c r="O159" s="85"/>
      <c r="P159" s="367">
        <f>K114</f>
        <v>239.99</v>
      </c>
      <c r="Q159" s="367"/>
      <c r="S159" s="49" t="s">
        <v>66</v>
      </c>
      <c r="T159" s="50"/>
      <c r="U159" s="50"/>
      <c r="V159" s="85"/>
      <c r="W159" s="50"/>
      <c r="X159" s="85"/>
      <c r="Y159" s="367">
        <f>T114</f>
        <v>199.99</v>
      </c>
      <c r="Z159" s="367"/>
      <c r="AB159" s="49" t="s">
        <v>66</v>
      </c>
      <c r="AC159" s="50"/>
      <c r="AD159" s="50"/>
      <c r="AE159" s="85"/>
      <c r="AF159" s="50"/>
      <c r="AG159" s="85"/>
      <c r="AH159" s="367">
        <f>AC114</f>
        <v>239.99</v>
      </c>
      <c r="AI159" s="367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/>
      <c r="B161" s="28"/>
      <c r="C161" s="28"/>
      <c r="D161" s="28"/>
      <c r="E161" s="21"/>
      <c r="F161" s="21"/>
      <c r="G161" s="21"/>
      <c r="H161" s="29"/>
      <c r="J161" s="27"/>
      <c r="K161" s="28"/>
      <c r="L161" s="28"/>
      <c r="M161" s="28"/>
      <c r="N161" s="21"/>
      <c r="O161" s="21"/>
      <c r="P161" s="21"/>
      <c r="Q161" s="29"/>
      <c r="S161" s="27"/>
      <c r="T161" s="28"/>
      <c r="U161" s="28"/>
      <c r="V161" s="28"/>
      <c r="W161" s="21"/>
      <c r="X161" s="21"/>
      <c r="Y161" s="21"/>
      <c r="Z161" s="29"/>
      <c r="AB161" s="27"/>
      <c r="AC161" s="28"/>
      <c r="AD161" s="28"/>
      <c r="AE161" s="28"/>
      <c r="AF161" s="21"/>
      <c r="AG161" s="21"/>
      <c r="AH161" s="21"/>
      <c r="AI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35" t="s">
        <v>192</v>
      </c>
      <c r="K162" s="335"/>
      <c r="L162" s="335"/>
      <c r="M162" s="335"/>
      <c r="N162" s="335"/>
      <c r="O162" s="335"/>
      <c r="P162" s="335"/>
      <c r="Q162" s="335"/>
      <c r="S162" s="335" t="s">
        <v>192</v>
      </c>
      <c r="T162" s="335"/>
      <c r="U162" s="335"/>
      <c r="V162" s="335"/>
      <c r="W162" s="335"/>
      <c r="X162" s="335"/>
      <c r="Y162" s="335"/>
      <c r="Z162" s="335"/>
      <c r="AB162" s="335" t="s">
        <v>192</v>
      </c>
      <c r="AC162" s="335"/>
      <c r="AD162" s="335"/>
      <c r="AE162" s="335"/>
      <c r="AF162" s="335"/>
      <c r="AG162" s="335"/>
      <c r="AH162" s="335"/>
      <c r="AI162" s="335"/>
    </row>
    <row r="163" spans="1:35">
      <c r="A163" s="27"/>
      <c r="B163" s="28"/>
      <c r="C163" s="28"/>
      <c r="D163" s="28"/>
      <c r="E163" s="21"/>
      <c r="F163" s="21"/>
      <c r="G163" s="21"/>
      <c r="H163" s="29"/>
      <c r="J163" s="27"/>
      <c r="K163" s="28"/>
      <c r="L163" s="28"/>
      <c r="M163" s="28"/>
      <c r="N163" s="21"/>
      <c r="O163" s="21"/>
      <c r="P163" s="21"/>
      <c r="Q163" s="29"/>
      <c r="S163" s="27"/>
      <c r="T163" s="28"/>
      <c r="U163" s="28"/>
      <c r="V163" s="28"/>
      <c r="W163" s="21"/>
      <c r="X163" s="21"/>
      <c r="Y163" s="21"/>
      <c r="Z163" s="29"/>
      <c r="AB163" s="27"/>
      <c r="AC163" s="28"/>
      <c r="AD163" s="28"/>
      <c r="AE163" s="28"/>
      <c r="AF163" s="21"/>
      <c r="AG163" s="21"/>
      <c r="AH163" s="21"/>
      <c r="AI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J164" s="27" t="s">
        <v>193</v>
      </c>
      <c r="K164" s="368">
        <v>0</v>
      </c>
      <c r="L164" s="368"/>
      <c r="M164" s="28"/>
      <c r="N164" s="21"/>
      <c r="O164" s="21"/>
      <c r="P164" s="21"/>
      <c r="Q164" s="29"/>
      <c r="S164" s="27" t="s">
        <v>193</v>
      </c>
      <c r="T164" s="368">
        <v>0</v>
      </c>
      <c r="U164" s="368"/>
      <c r="V164" s="28"/>
      <c r="W164" s="21"/>
      <c r="X164" s="21"/>
      <c r="Y164" s="21"/>
      <c r="Z164" s="29"/>
      <c r="AB164" s="27" t="s">
        <v>193</v>
      </c>
      <c r="AC164" s="368">
        <v>0</v>
      </c>
      <c r="AD164" s="368"/>
      <c r="AE164" s="28"/>
      <c r="AF164" s="21"/>
      <c r="AG164" s="21"/>
      <c r="AH164" s="21"/>
      <c r="AI164" s="29"/>
    </row>
    <row r="165" spans="1:35">
      <c r="A165" s="27"/>
      <c r="B165" s="28"/>
      <c r="C165" s="28"/>
      <c r="D165" s="28"/>
      <c r="E165" s="21"/>
      <c r="F165" s="21"/>
      <c r="G165" s="21"/>
      <c r="H165" s="29"/>
      <c r="J165" s="27"/>
      <c r="K165" s="28"/>
      <c r="L165" s="28"/>
      <c r="M165" s="28"/>
      <c r="N165" s="21"/>
      <c r="O165" s="21"/>
      <c r="P165" s="21"/>
      <c r="Q165" s="29"/>
      <c r="S165" s="27"/>
      <c r="T165" s="28"/>
      <c r="U165" s="28"/>
      <c r="V165" s="28"/>
      <c r="W165" s="21"/>
      <c r="X165" s="21"/>
      <c r="Y165" s="21"/>
      <c r="Z165" s="29"/>
      <c r="AB165" s="27"/>
      <c r="AC165" s="28"/>
      <c r="AD165" s="28"/>
      <c r="AE165" s="28"/>
      <c r="AF165" s="21"/>
      <c r="AG165" s="21"/>
      <c r="AH165" s="21"/>
      <c r="AI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  <c r="J166" s="130" t="s">
        <v>194</v>
      </c>
      <c r="K166" s="131" t="s">
        <v>195</v>
      </c>
      <c r="L166" s="131"/>
      <c r="M166" s="131"/>
      <c r="N166" s="131" t="s">
        <v>196</v>
      </c>
      <c r="O166" s="21"/>
      <c r="P166" s="21"/>
      <c r="Q166" s="29"/>
      <c r="S166" s="130" t="s">
        <v>194</v>
      </c>
      <c r="T166" s="131" t="s">
        <v>195</v>
      </c>
      <c r="U166" s="131"/>
      <c r="V166" s="131"/>
      <c r="W166" s="131" t="s">
        <v>196</v>
      </c>
      <c r="X166" s="21"/>
      <c r="Y166" s="21"/>
      <c r="Z166" s="29"/>
      <c r="AB166" s="130" t="s">
        <v>194</v>
      </c>
      <c r="AC166" s="131" t="s">
        <v>195</v>
      </c>
      <c r="AD166" s="131"/>
      <c r="AE166" s="131"/>
      <c r="AF166" s="131" t="s">
        <v>196</v>
      </c>
      <c r="AG166" s="21"/>
      <c r="AH166" s="21"/>
      <c r="AI166" s="29"/>
    </row>
    <row r="167" spans="1:35">
      <c r="A167" s="189">
        <f>B95</f>
        <v>794.48642358063898</v>
      </c>
      <c r="B167" s="133" t="str">
        <f>B94</f>
        <v>0</v>
      </c>
      <c r="C167" s="131"/>
      <c r="D167" s="131"/>
      <c r="E167" s="133">
        <f>B96</f>
        <v>794.48642358063898</v>
      </c>
      <c r="F167" s="21"/>
      <c r="G167" s="21">
        <f>ROUND(G95,2)</f>
        <v>738.58</v>
      </c>
      <c r="H167" s="29"/>
      <c r="J167" s="132" t="e">
        <f>K95</f>
        <v>#VALUE!</v>
      </c>
      <c r="K167" s="133">
        <f>K94</f>
        <v>0</v>
      </c>
      <c r="L167" s="131"/>
      <c r="M167" s="131"/>
      <c r="N167" s="133" t="e">
        <f>K96</f>
        <v>#VALUE!</v>
      </c>
      <c r="O167" s="21"/>
      <c r="P167" s="21"/>
      <c r="Q167" s="29"/>
      <c r="S167" s="132" t="e">
        <f>T95</f>
        <v>#VALUE!</v>
      </c>
      <c r="T167" s="133">
        <f>T94</f>
        <v>0</v>
      </c>
      <c r="U167" s="131"/>
      <c r="V167" s="131"/>
      <c r="W167" s="133" t="e">
        <f>T96</f>
        <v>#VALUE!</v>
      </c>
      <c r="X167" s="21"/>
      <c r="Y167" s="21"/>
      <c r="Z167" s="29"/>
      <c r="AB167" s="132" t="e">
        <f>AC95</f>
        <v>#VALUE!</v>
      </c>
      <c r="AC167" s="133">
        <f>AC94</f>
        <v>0</v>
      </c>
      <c r="AD167" s="131"/>
      <c r="AE167" s="131"/>
      <c r="AF167" s="133" t="e">
        <f>AC96</f>
        <v>#VALUE!</v>
      </c>
      <c r="AG167" s="21"/>
      <c r="AH167" s="21"/>
      <c r="AI167" s="29"/>
    </row>
    <row r="168" spans="1:35">
      <c r="A168" s="27"/>
      <c r="B168" s="28"/>
      <c r="C168" s="28"/>
      <c r="D168" s="28"/>
      <c r="E168" s="21"/>
      <c r="F168" s="21"/>
      <c r="G168" s="21"/>
      <c r="H168" s="29"/>
      <c r="J168" s="27"/>
      <c r="K168" s="28"/>
      <c r="L168" s="28"/>
      <c r="M168" s="28"/>
      <c r="N168" s="21"/>
      <c r="O168" s="21"/>
      <c r="P168" s="21"/>
      <c r="Q168" s="29"/>
      <c r="S168" s="27"/>
      <c r="T168" s="28"/>
      <c r="U168" s="28"/>
      <c r="V168" s="28"/>
      <c r="W168" s="21"/>
      <c r="X168" s="21"/>
      <c r="Y168" s="21"/>
      <c r="Z168" s="29"/>
      <c r="AB168" s="27"/>
      <c r="AC168" s="28"/>
      <c r="AD168" s="28"/>
      <c r="AE168" s="28"/>
      <c r="AF168" s="21"/>
      <c r="AG168" s="21"/>
      <c r="AH168" s="21"/>
      <c r="AI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  <c r="J169" s="27" t="s">
        <v>94</v>
      </c>
      <c r="K169" s="28" t="s">
        <v>95</v>
      </c>
      <c r="L169" s="28"/>
      <c r="M169" s="21"/>
      <c r="N169" s="28" t="s">
        <v>198</v>
      </c>
      <c r="O169" s="21"/>
      <c r="P169" s="21"/>
      <c r="Q169" s="29"/>
      <c r="S169" s="27" t="s">
        <v>94</v>
      </c>
      <c r="T169" s="28" t="s">
        <v>95</v>
      </c>
      <c r="U169" s="28"/>
      <c r="V169" s="21"/>
      <c r="W169" s="28" t="s">
        <v>198</v>
      </c>
      <c r="X169" s="21"/>
      <c r="Y169" s="21"/>
      <c r="Z169" s="29"/>
      <c r="AB169" s="27" t="s">
        <v>94</v>
      </c>
      <c r="AC169" s="28" t="s">
        <v>95</v>
      </c>
      <c r="AD169" s="28"/>
      <c r="AE169" s="21"/>
      <c r="AF169" s="28" t="s">
        <v>198</v>
      </c>
      <c r="AG169" s="21"/>
      <c r="AH169" s="21"/>
      <c r="AI169" s="29"/>
    </row>
    <row r="170" spans="1:35">
      <c r="A170" s="134">
        <f>K29</f>
        <v>36</v>
      </c>
      <c r="B170" s="170">
        <f>K30</f>
        <v>10000</v>
      </c>
      <c r="C170" s="136"/>
      <c r="D170" s="21"/>
      <c r="E170" s="137">
        <f>IF(A111="YES",A40,0)</f>
        <v>0</v>
      </c>
      <c r="F170" s="21"/>
      <c r="G170" s="21"/>
      <c r="H170" s="29"/>
      <c r="J170" s="134">
        <f>K29</f>
        <v>36</v>
      </c>
      <c r="K170" s="135">
        <f>K30</f>
        <v>10000</v>
      </c>
      <c r="L170" s="136"/>
      <c r="M170" s="21"/>
      <c r="N170" s="137">
        <f>IF(A111="YES",A40,0)</f>
        <v>0</v>
      </c>
      <c r="O170" s="21"/>
      <c r="P170" s="21"/>
      <c r="Q170" s="29"/>
      <c r="S170" s="134">
        <f>K29</f>
        <v>36</v>
      </c>
      <c r="T170" s="135">
        <f>K30</f>
        <v>10000</v>
      </c>
      <c r="U170" s="136"/>
      <c r="V170" s="21"/>
      <c r="W170" s="137">
        <f>IF(A111="YES",A40,0)</f>
        <v>0</v>
      </c>
      <c r="X170" s="21"/>
      <c r="Y170" s="21"/>
      <c r="Z170" s="29"/>
      <c r="AB170" s="134">
        <f>K29</f>
        <v>36</v>
      </c>
      <c r="AC170" s="135">
        <f>K30</f>
        <v>10000</v>
      </c>
      <c r="AD170" s="136"/>
      <c r="AE170" s="21"/>
      <c r="AF170" s="137">
        <f>IF(A111="YES",A40,0)</f>
        <v>0</v>
      </c>
      <c r="AG170" s="21"/>
      <c r="AH170" s="21"/>
      <c r="AI170" s="29"/>
    </row>
    <row r="171" spans="1:35">
      <c r="A171" s="27"/>
      <c r="B171" s="28"/>
      <c r="C171" s="28"/>
      <c r="D171" s="21"/>
      <c r="E171" s="28"/>
      <c r="F171" s="21"/>
      <c r="G171" s="21"/>
      <c r="H171" s="29"/>
      <c r="J171" s="27"/>
      <c r="K171" s="28"/>
      <c r="L171" s="28"/>
      <c r="M171" s="21"/>
      <c r="N171" s="28"/>
      <c r="O171" s="21"/>
      <c r="P171" s="21"/>
      <c r="Q171" s="29"/>
      <c r="S171" s="27"/>
      <c r="T171" s="28"/>
      <c r="U171" s="28"/>
      <c r="V171" s="21"/>
      <c r="W171" s="28"/>
      <c r="X171" s="21"/>
      <c r="Y171" s="21"/>
      <c r="Z171" s="29"/>
      <c r="AB171" s="27"/>
      <c r="AC171" s="28"/>
      <c r="AD171" s="28"/>
      <c r="AE171" s="21"/>
      <c r="AF171" s="28"/>
      <c r="AG171" s="21"/>
      <c r="AH171" s="21"/>
      <c r="AI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  <c r="J172" s="27" t="s">
        <v>199</v>
      </c>
      <c r="K172" s="28" t="s">
        <v>200</v>
      </c>
      <c r="L172" s="28"/>
      <c r="M172" s="21"/>
      <c r="N172" s="28" t="s">
        <v>201</v>
      </c>
      <c r="O172" s="21"/>
      <c r="P172" s="21"/>
      <c r="Q172" s="29"/>
      <c r="S172" s="27" t="s">
        <v>199</v>
      </c>
      <c r="T172" s="28" t="s">
        <v>200</v>
      </c>
      <c r="U172" s="28"/>
      <c r="V172" s="21"/>
      <c r="W172" s="28" t="s">
        <v>201</v>
      </c>
      <c r="X172" s="21"/>
      <c r="Y172" s="21"/>
      <c r="Z172" s="29"/>
      <c r="AB172" s="27" t="s">
        <v>199</v>
      </c>
      <c r="AC172" s="28" t="s">
        <v>200</v>
      </c>
      <c r="AD172" s="28"/>
      <c r="AE172" s="21"/>
      <c r="AF172" s="28" t="s">
        <v>201</v>
      </c>
      <c r="AG172" s="21"/>
      <c r="AH172" s="21"/>
      <c r="AI172" s="29"/>
    </row>
    <row r="173" spans="1:35">
      <c r="A173" s="138">
        <f>H141-H137-H139-H140</f>
        <v>20416.669999999998</v>
      </c>
      <c r="B173" s="34">
        <f>H137</f>
        <v>4083.3339999999998</v>
      </c>
      <c r="C173" s="38"/>
      <c r="D173" s="21"/>
      <c r="E173" s="137">
        <f>H139+H140</f>
        <v>0</v>
      </c>
      <c r="F173" s="21"/>
      <c r="G173" s="21"/>
      <c r="H173" s="29"/>
      <c r="J173" s="138" t="e">
        <f>Q141-Q137-Q139-Q140</f>
        <v>#VALUE!</v>
      </c>
      <c r="K173" s="34" t="e">
        <f>Q137</f>
        <v>#VALUE!</v>
      </c>
      <c r="L173" s="38"/>
      <c r="M173" s="21"/>
      <c r="N173" s="137">
        <f>Q139+Q140</f>
        <v>55</v>
      </c>
      <c r="O173" s="21"/>
      <c r="P173" s="21"/>
      <c r="Q173" s="29"/>
      <c r="S173" s="138" t="e">
        <f>Z141-Z137-Z139-Z140</f>
        <v>#VALUE!</v>
      </c>
      <c r="T173" s="34" t="e">
        <f>Z137</f>
        <v>#VALUE!</v>
      </c>
      <c r="U173" s="38"/>
      <c r="V173" s="21"/>
      <c r="W173" s="137">
        <f>Z139+Z140</f>
        <v>55</v>
      </c>
      <c r="X173" s="21"/>
      <c r="Y173" s="21"/>
      <c r="Z173" s="29"/>
      <c r="AB173" s="138" t="e">
        <f>AI141-AI137-AI139-AI140</f>
        <v>#VALUE!</v>
      </c>
      <c r="AC173" s="34" t="e">
        <f>AI137</f>
        <v>#VALUE!</v>
      </c>
      <c r="AD173" s="38"/>
      <c r="AE173" s="21"/>
      <c r="AF173" s="137">
        <f>AI139+AI140</f>
        <v>55</v>
      </c>
      <c r="AG173" s="21"/>
      <c r="AH173" s="21"/>
      <c r="AI173" s="29"/>
    </row>
    <row r="174" spans="1:35">
      <c r="A174" s="27"/>
      <c r="B174" s="28"/>
      <c r="C174" s="28"/>
      <c r="D174" s="21"/>
      <c r="E174" s="28"/>
      <c r="F174" s="21"/>
      <c r="G174" s="21"/>
      <c r="H174" s="29"/>
      <c r="J174" s="27"/>
      <c r="K174" s="28"/>
      <c r="L174" s="28"/>
      <c r="M174" s="21"/>
      <c r="N174" s="28"/>
      <c r="O174" s="21"/>
      <c r="P174" s="21"/>
      <c r="Q174" s="29"/>
      <c r="S174" s="27"/>
      <c r="T174" s="28"/>
      <c r="U174" s="28"/>
      <c r="V174" s="21"/>
      <c r="W174" s="28"/>
      <c r="X174" s="21"/>
      <c r="Y174" s="21"/>
      <c r="Z174" s="29"/>
      <c r="AB174" s="27"/>
      <c r="AC174" s="28"/>
      <c r="AD174" s="28"/>
      <c r="AE174" s="21"/>
      <c r="AF174" s="28"/>
      <c r="AG174" s="21"/>
      <c r="AH174" s="21"/>
      <c r="AI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  <c r="J175" s="27" t="s">
        <v>202</v>
      </c>
      <c r="K175" s="28" t="s">
        <v>148</v>
      </c>
      <c r="L175" s="28"/>
      <c r="M175" s="21"/>
      <c r="N175" s="28" t="s">
        <v>149</v>
      </c>
      <c r="O175" s="21"/>
      <c r="P175" s="21"/>
      <c r="Q175" s="29"/>
      <c r="S175" s="27" t="s">
        <v>202</v>
      </c>
      <c r="T175" s="28" t="s">
        <v>148</v>
      </c>
      <c r="U175" s="28"/>
      <c r="V175" s="21"/>
      <c r="W175" s="28" t="s">
        <v>149</v>
      </c>
      <c r="X175" s="21"/>
      <c r="Y175" s="21"/>
      <c r="Z175" s="29"/>
      <c r="AB175" s="27" t="s">
        <v>202</v>
      </c>
      <c r="AC175" s="28" t="s">
        <v>148</v>
      </c>
      <c r="AD175" s="28"/>
      <c r="AE175" s="21"/>
      <c r="AF175" s="28" t="s">
        <v>149</v>
      </c>
      <c r="AG175" s="21"/>
      <c r="AH175" s="21"/>
      <c r="AI175" s="29"/>
    </row>
    <row r="176" spans="1:35">
      <c r="A176" s="138">
        <f>H147</f>
        <v>24500.003999999997</v>
      </c>
      <c r="B176" s="34">
        <f>B111</f>
        <v>1000</v>
      </c>
      <c r="C176" s="34"/>
      <c r="D176" s="21"/>
      <c r="E176" s="34">
        <f>E111</f>
        <v>1000</v>
      </c>
      <c r="F176" s="21"/>
      <c r="G176" s="21"/>
      <c r="H176" s="90"/>
      <c r="J176" s="138" t="e">
        <f>Q141</f>
        <v>#VALUE!</v>
      </c>
      <c r="K176" s="34">
        <f>K111</f>
        <v>1000</v>
      </c>
      <c r="L176" s="34"/>
      <c r="M176" s="21"/>
      <c r="N176" s="34">
        <f>N111</f>
        <v>0</v>
      </c>
      <c r="O176" s="21"/>
      <c r="P176" s="21"/>
      <c r="Q176" s="90"/>
      <c r="S176" s="138" t="e">
        <f>Z141</f>
        <v>#VALUE!</v>
      </c>
      <c r="T176" s="34">
        <f>T111</f>
        <v>1000</v>
      </c>
      <c r="U176" s="34"/>
      <c r="V176" s="21"/>
      <c r="W176" s="34">
        <f>W111</f>
        <v>0</v>
      </c>
      <c r="X176" s="21"/>
      <c r="Y176" s="21"/>
      <c r="Z176" s="90"/>
      <c r="AB176" s="138" t="e">
        <f>AI141</f>
        <v>#VALUE!</v>
      </c>
      <c r="AC176" s="34">
        <f>AC111</f>
        <v>1000</v>
      </c>
      <c r="AD176" s="34"/>
      <c r="AE176" s="21"/>
      <c r="AF176" s="34">
        <f>AF111</f>
        <v>0</v>
      </c>
      <c r="AG176" s="21"/>
      <c r="AH176" s="21"/>
      <c r="AI176" s="90"/>
    </row>
    <row r="177" spans="1:35">
      <c r="A177" s="27"/>
      <c r="B177" s="28"/>
      <c r="C177" s="28"/>
      <c r="D177" s="21"/>
      <c r="E177" s="28"/>
      <c r="F177" s="21"/>
      <c r="G177" s="21"/>
      <c r="H177" s="29"/>
      <c r="J177" s="27"/>
      <c r="K177" s="28"/>
      <c r="L177" s="28"/>
      <c r="M177" s="21"/>
      <c r="N177" s="28"/>
      <c r="O177" s="21"/>
      <c r="P177" s="21"/>
      <c r="Q177" s="29"/>
      <c r="S177" s="27"/>
      <c r="T177" s="28"/>
      <c r="U177" s="28"/>
      <c r="V177" s="21"/>
      <c r="W177" s="28"/>
      <c r="X177" s="21"/>
      <c r="Y177" s="21"/>
      <c r="Z177" s="29"/>
      <c r="AB177" s="27"/>
      <c r="AC177" s="28"/>
      <c r="AD177" s="28"/>
      <c r="AE177" s="21"/>
      <c r="AF177" s="28"/>
      <c r="AG177" s="21"/>
      <c r="AH177" s="21"/>
      <c r="AI177" s="29"/>
    </row>
    <row r="178" spans="1:35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  <c r="J178" s="27" t="s">
        <v>150</v>
      </c>
      <c r="K178" s="28" t="s">
        <v>185</v>
      </c>
      <c r="L178" s="28"/>
      <c r="M178" s="21"/>
      <c r="N178" s="28" t="s">
        <v>191</v>
      </c>
      <c r="O178" s="21"/>
      <c r="P178" s="21"/>
      <c r="Q178" s="29"/>
      <c r="S178" s="27" t="s">
        <v>150</v>
      </c>
      <c r="T178" s="28" t="s">
        <v>185</v>
      </c>
      <c r="U178" s="28"/>
      <c r="V178" s="21"/>
      <c r="W178" s="28" t="s">
        <v>191</v>
      </c>
      <c r="X178" s="21"/>
      <c r="Y178" s="21"/>
      <c r="Z178" s="29"/>
      <c r="AB178" s="27" t="s">
        <v>150</v>
      </c>
      <c r="AC178" s="28" t="s">
        <v>185</v>
      </c>
      <c r="AD178" s="28"/>
      <c r="AE178" s="21"/>
      <c r="AF178" s="28" t="s">
        <v>191</v>
      </c>
      <c r="AG178" s="21"/>
      <c r="AH178" s="21"/>
      <c r="AI178" s="29"/>
    </row>
    <row r="179" spans="1:35">
      <c r="A179" s="94">
        <f>B176+E176</f>
        <v>2000</v>
      </c>
      <c r="B179" s="34">
        <f>G154</f>
        <v>0</v>
      </c>
      <c r="C179" s="34"/>
      <c r="D179" s="21"/>
      <c r="E179" s="34">
        <f>G158</f>
        <v>23920.003999999997</v>
      </c>
      <c r="F179" s="21"/>
      <c r="G179" s="21"/>
      <c r="H179" s="90"/>
      <c r="J179" s="94">
        <f>K176+N176</f>
        <v>1000</v>
      </c>
      <c r="K179" s="34">
        <f>P154</f>
        <v>-2000</v>
      </c>
      <c r="L179" s="34"/>
      <c r="M179" s="21"/>
      <c r="N179" s="34" t="e">
        <f>J176-J179-K179</f>
        <v>#VALUE!</v>
      </c>
      <c r="O179" s="21"/>
      <c r="P179" s="21"/>
      <c r="Q179" s="90"/>
      <c r="S179" s="94">
        <f>T176+W176</f>
        <v>1000</v>
      </c>
      <c r="T179" s="34">
        <f>Y154</f>
        <v>-2000</v>
      </c>
      <c r="U179" s="34"/>
      <c r="V179" s="21"/>
      <c r="W179" s="34" t="e">
        <f>S176-S179-T179</f>
        <v>#VALUE!</v>
      </c>
      <c r="X179" s="21"/>
      <c r="Y179" s="21"/>
      <c r="Z179" s="90"/>
      <c r="AB179" s="94">
        <f>AC176+AF176</f>
        <v>1000</v>
      </c>
      <c r="AC179" s="34">
        <f>AH154</f>
        <v>-2000</v>
      </c>
      <c r="AD179" s="34"/>
      <c r="AE179" s="21"/>
      <c r="AF179" s="34" t="e">
        <f>AB176-AB179-AC179</f>
        <v>#VALUE!</v>
      </c>
      <c r="AG179" s="21"/>
      <c r="AH179" s="21"/>
      <c r="AI179" s="90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  <c r="J181" s="27" t="s">
        <v>203</v>
      </c>
      <c r="K181" s="28" t="s">
        <v>66</v>
      </c>
      <c r="L181" s="28"/>
      <c r="M181" s="21"/>
      <c r="N181" s="28" t="s">
        <v>204</v>
      </c>
      <c r="O181" s="21"/>
      <c r="P181" s="21"/>
      <c r="Q181" s="29"/>
      <c r="S181" s="27" t="s">
        <v>203</v>
      </c>
      <c r="T181" s="28" t="s">
        <v>66</v>
      </c>
      <c r="U181" s="28"/>
      <c r="V181" s="21"/>
      <c r="W181" s="28" t="s">
        <v>204</v>
      </c>
      <c r="X181" s="21"/>
      <c r="Y181" s="21"/>
      <c r="Z181" s="29"/>
      <c r="AB181" s="27" t="s">
        <v>203</v>
      </c>
      <c r="AC181" s="28" t="s">
        <v>66</v>
      </c>
      <c r="AD181" s="28"/>
      <c r="AE181" s="21"/>
      <c r="AF181" s="28" t="s">
        <v>204</v>
      </c>
      <c r="AG181" s="21"/>
      <c r="AH181" s="21"/>
      <c r="AI181" s="29"/>
    </row>
    <row r="182" spans="1:35">
      <c r="A182" s="94">
        <f>(A167*B59)+E185-E179-A185</f>
        <v>4681.5072489030063</v>
      </c>
      <c r="B182" s="34">
        <f>B114</f>
        <v>833.33333333333337</v>
      </c>
      <c r="C182" s="34"/>
      <c r="D182" s="21"/>
      <c r="E182" s="34">
        <f>E179+A182+(B182*1.2)+A185</f>
        <v>29611.511248903003</v>
      </c>
      <c r="F182" s="21"/>
      <c r="G182" s="21"/>
      <c r="H182" s="90"/>
      <c r="J182" s="94" t="e">
        <f>(J167*K59)+N185-N179-J185</f>
        <v>#VALUE!</v>
      </c>
      <c r="K182" s="34">
        <f>K114</f>
        <v>239.99</v>
      </c>
      <c r="L182" s="34"/>
      <c r="M182" s="21"/>
      <c r="N182" s="34" t="e">
        <f>N179+J182+K182+J185</f>
        <v>#VALUE!</v>
      </c>
      <c r="O182" s="21"/>
      <c r="P182" s="21"/>
      <c r="Q182" s="90"/>
      <c r="S182" s="94" t="e">
        <f>(S167*T59)+W185-W179-S185</f>
        <v>#VALUE!</v>
      </c>
      <c r="T182" s="34">
        <f>T114</f>
        <v>199.99</v>
      </c>
      <c r="U182" s="34"/>
      <c r="V182" s="21"/>
      <c r="W182" s="34" t="e">
        <f>W179+S182+T182+S185</f>
        <v>#VALUE!</v>
      </c>
      <c r="X182" s="21"/>
      <c r="Y182" s="21"/>
      <c r="Z182" s="90"/>
      <c r="AB182" s="94" t="e">
        <f>(AB167*AC59)+AF185-AF179-AB185</f>
        <v>#VALUE!</v>
      </c>
      <c r="AC182" s="34">
        <f>AC114</f>
        <v>239.99</v>
      </c>
      <c r="AD182" s="34"/>
      <c r="AE182" s="21"/>
      <c r="AF182" s="34" t="e">
        <f>AF179+AB182+AC182+AB185</f>
        <v>#VALUE!</v>
      </c>
      <c r="AG182" s="21"/>
      <c r="AH182" s="21"/>
      <c r="AI182" s="90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  <c r="J184" s="27" t="s">
        <v>205</v>
      </c>
      <c r="K184" s="28" t="s">
        <v>206</v>
      </c>
      <c r="L184" s="28"/>
      <c r="M184" s="21"/>
      <c r="N184" s="28" t="s">
        <v>207</v>
      </c>
      <c r="O184" s="21"/>
      <c r="P184" s="21"/>
      <c r="Q184" s="29"/>
      <c r="S184" s="27" t="s">
        <v>205</v>
      </c>
      <c r="T184" s="28" t="s">
        <v>206</v>
      </c>
      <c r="U184" s="28"/>
      <c r="V184" s="21"/>
      <c r="W184" s="28" t="s">
        <v>207</v>
      </c>
      <c r="X184" s="21"/>
      <c r="Y184" s="21"/>
      <c r="Z184" s="29"/>
      <c r="AB184" s="27" t="s">
        <v>205</v>
      </c>
      <c r="AC184" s="28" t="s">
        <v>206</v>
      </c>
      <c r="AD184" s="28"/>
      <c r="AE184" s="21"/>
      <c r="AF184" s="28" t="s">
        <v>207</v>
      </c>
      <c r="AG184" s="21"/>
      <c r="AH184" s="21"/>
      <c r="AI184" s="29"/>
    </row>
    <row r="185" spans="1:35">
      <c r="A185" s="94">
        <f>B60</f>
        <v>10</v>
      </c>
      <c r="B185" s="34">
        <f>A179+(B182*1.2)</f>
        <v>3000</v>
      </c>
      <c r="C185" s="34"/>
      <c r="D185" s="21"/>
      <c r="E185" s="34">
        <f>IF(A40=0,(E167+A185),(E170+A185))</f>
        <v>804.48642358063898</v>
      </c>
      <c r="F185" s="21"/>
      <c r="G185" s="21"/>
      <c r="H185" s="90"/>
      <c r="J185" s="94">
        <f>K60</f>
        <v>20</v>
      </c>
      <c r="K185" s="34">
        <f>J179+K182</f>
        <v>1239.99</v>
      </c>
      <c r="L185" s="34"/>
      <c r="M185" s="21"/>
      <c r="N185" s="34">
        <f>N170+J185</f>
        <v>20</v>
      </c>
      <c r="O185" s="21"/>
      <c r="P185" s="21"/>
      <c r="Q185" s="90"/>
      <c r="S185" s="94">
        <f>T60</f>
        <v>10</v>
      </c>
      <c r="T185" s="34">
        <f>S179+T182</f>
        <v>1199.99</v>
      </c>
      <c r="U185" s="34"/>
      <c r="V185" s="21"/>
      <c r="W185" s="34">
        <f>W170+S185</f>
        <v>10</v>
      </c>
      <c r="X185" s="21"/>
      <c r="Y185" s="21"/>
      <c r="Z185" s="90"/>
      <c r="AB185" s="94">
        <f>AC60</f>
        <v>10</v>
      </c>
      <c r="AC185" s="34">
        <f>AB179+AC182</f>
        <v>1239.99</v>
      </c>
      <c r="AD185" s="34"/>
      <c r="AE185" s="21"/>
      <c r="AF185" s="34">
        <f>AF170+AB185</f>
        <v>10</v>
      </c>
      <c r="AG185" s="21"/>
      <c r="AH185" s="21"/>
      <c r="AI185" s="90"/>
    </row>
    <row r="186" spans="1:35">
      <c r="A186" s="27"/>
      <c r="B186" s="28"/>
      <c r="C186" s="28"/>
      <c r="D186" s="28"/>
      <c r="E186" s="21"/>
      <c r="F186" s="21"/>
      <c r="G186" s="21"/>
      <c r="H186" s="29"/>
      <c r="J186" s="27"/>
      <c r="K186" s="28"/>
      <c r="L186" s="28"/>
      <c r="M186" s="28"/>
      <c r="N186" s="21"/>
      <c r="O186" s="21"/>
      <c r="P186" s="21"/>
      <c r="Q186" s="29"/>
      <c r="S186" s="27"/>
      <c r="T186" s="28"/>
      <c r="U186" s="28"/>
      <c r="V186" s="28"/>
      <c r="W186" s="21"/>
      <c r="X186" s="28"/>
      <c r="Y186" s="28"/>
      <c r="Z186" s="29"/>
      <c r="AB186" s="27"/>
      <c r="AC186" s="28"/>
      <c r="AD186" s="28"/>
      <c r="AE186" s="28"/>
      <c r="AF186" s="21"/>
      <c r="AG186" s="21"/>
      <c r="AH186" s="21"/>
      <c r="AI186" s="29"/>
    </row>
    <row r="187" spans="1:35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  <c r="J187" s="27" t="s">
        <v>208</v>
      </c>
      <c r="K187" s="28" t="s">
        <v>209</v>
      </c>
      <c r="L187" s="28"/>
      <c r="M187" s="28"/>
      <c r="N187" s="35" t="s">
        <v>210</v>
      </c>
      <c r="O187" s="21"/>
      <c r="P187" s="21"/>
      <c r="Q187" s="29"/>
      <c r="S187" s="27" t="s">
        <v>208</v>
      </c>
      <c r="T187" s="28" t="s">
        <v>209</v>
      </c>
      <c r="U187" s="28"/>
      <c r="V187" s="28"/>
      <c r="W187" s="35" t="s">
        <v>210</v>
      </c>
      <c r="X187" s="28"/>
      <c r="Y187" s="28"/>
      <c r="Z187" s="29"/>
      <c r="AB187" s="27" t="s">
        <v>208</v>
      </c>
      <c r="AC187" s="28" t="s">
        <v>209</v>
      </c>
      <c r="AD187" s="28"/>
      <c r="AE187" s="28"/>
      <c r="AF187" s="35" t="s">
        <v>210</v>
      </c>
      <c r="AG187" s="28"/>
      <c r="AH187" s="28"/>
      <c r="AI187" s="29"/>
    </row>
    <row r="188" spans="1:35">
      <c r="A188" s="94">
        <f>IF(E105="YES",B61*0.000002,0)*100</f>
        <v>0</v>
      </c>
      <c r="B188" s="34">
        <f>(G158*B67)</f>
        <v>1196.0001999999999</v>
      </c>
      <c r="C188" s="28"/>
      <c r="D188" s="28"/>
      <c r="E188" s="34">
        <f>(E40*A108)*0.1*(C45/100)</f>
        <v>0</v>
      </c>
      <c r="F188" s="21"/>
      <c r="G188" s="21"/>
      <c r="H188" s="29"/>
      <c r="J188" s="94">
        <f>IF(N105="YES",H15*0.000002,0)</f>
        <v>0</v>
      </c>
      <c r="K188" s="34" t="e">
        <f>(P158*K67)/1.2</f>
        <v>#VALUE!</v>
      </c>
      <c r="L188" s="28"/>
      <c r="M188" s="28"/>
      <c r="N188" s="34">
        <f>(E40*J108)*0.1</f>
        <v>0</v>
      </c>
      <c r="O188" s="21"/>
      <c r="P188" s="21"/>
      <c r="Q188" s="29"/>
      <c r="S188" s="94">
        <f>IF(W105="YES",Z15*0.000002,0)</f>
        <v>0</v>
      </c>
      <c r="T188" s="34" t="e">
        <f>(Y158*T67)/1.2</f>
        <v>#VALUE!</v>
      </c>
      <c r="U188" s="28"/>
      <c r="V188" s="28"/>
      <c r="W188" s="34">
        <f>(E40*S108)*0.1</f>
        <v>0</v>
      </c>
      <c r="X188" s="28"/>
      <c r="Y188" s="28"/>
      <c r="Z188" s="29"/>
      <c r="AB188" s="94">
        <f>IF(AF105="YES",AI15*0.000002,0)</f>
        <v>0</v>
      </c>
      <c r="AC188" s="34" t="e">
        <f>(AH158*AC67)/1.2</f>
        <v>#VALUE!</v>
      </c>
      <c r="AD188" s="28"/>
      <c r="AE188" s="28"/>
      <c r="AF188" s="34">
        <f>(E40*AB108)*0.1</f>
        <v>0</v>
      </c>
      <c r="AG188" s="28"/>
      <c r="AH188" s="28"/>
      <c r="AI188" s="29"/>
    </row>
    <row r="189" spans="1:35">
      <c r="A189" s="94"/>
      <c r="B189" s="34"/>
      <c r="C189" s="28"/>
      <c r="D189" s="28"/>
      <c r="E189" s="21"/>
      <c r="F189" s="21"/>
      <c r="G189" s="21"/>
      <c r="H189" s="29"/>
      <c r="J189" s="94"/>
      <c r="K189" s="34"/>
      <c r="L189" s="28"/>
      <c r="M189" s="28"/>
      <c r="N189" s="21"/>
      <c r="O189" s="21"/>
      <c r="P189" s="21"/>
      <c r="Q189" s="29"/>
      <c r="S189" s="94"/>
      <c r="T189" s="34"/>
      <c r="U189" s="28"/>
      <c r="V189" s="28"/>
      <c r="W189" s="21"/>
      <c r="X189" s="28"/>
      <c r="Y189" s="28"/>
      <c r="Z189" s="29"/>
      <c r="AB189" s="94"/>
      <c r="AC189" s="34"/>
      <c r="AD189" s="28"/>
      <c r="AE189" s="28"/>
      <c r="AF189" s="21"/>
      <c r="AG189" s="28"/>
      <c r="AH189" s="28"/>
      <c r="AI189" s="29"/>
    </row>
    <row r="190" spans="1:35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  <c r="J190" s="53" t="s">
        <v>211</v>
      </c>
      <c r="K190" s="35" t="s">
        <v>212</v>
      </c>
      <c r="L190" s="28"/>
      <c r="M190" s="28"/>
      <c r="N190" s="35" t="s">
        <v>213</v>
      </c>
      <c r="O190" s="21"/>
      <c r="P190" s="21"/>
      <c r="Q190" s="29"/>
      <c r="S190" s="53" t="s">
        <v>211</v>
      </c>
      <c r="T190" s="35" t="s">
        <v>212</v>
      </c>
      <c r="U190" s="28"/>
      <c r="V190" s="28"/>
      <c r="W190" s="35" t="s">
        <v>213</v>
      </c>
      <c r="X190" s="28"/>
      <c r="Y190" s="28"/>
      <c r="Z190" s="29"/>
      <c r="AB190" s="53" t="s">
        <v>211</v>
      </c>
      <c r="AC190" s="35" t="s">
        <v>212</v>
      </c>
      <c r="AD190" s="28"/>
      <c r="AE190" s="28"/>
      <c r="AF190" s="35" t="s">
        <v>213</v>
      </c>
      <c r="AG190" s="28"/>
      <c r="AH190" s="28"/>
      <c r="AI190" s="29"/>
    </row>
    <row r="191" spans="1:35">
      <c r="A191" s="94">
        <v>10</v>
      </c>
      <c r="B191" s="34">
        <f>B188+E188+A191</f>
        <v>1206.0001999999999</v>
      </c>
      <c r="C191" s="28"/>
      <c r="D191" s="28"/>
      <c r="E191" s="34">
        <f>H148</f>
        <v>6541.6699999999973</v>
      </c>
      <c r="F191" s="21"/>
      <c r="G191" s="21"/>
      <c r="H191" s="29"/>
      <c r="J191" s="94">
        <f>K185-100</f>
        <v>1139.99</v>
      </c>
      <c r="K191" s="34" t="e">
        <f>K188+N188+J191</f>
        <v>#VALUE!</v>
      </c>
      <c r="L191" s="28"/>
      <c r="M191" s="28"/>
      <c r="N191" s="34" t="e">
        <f>Q148</f>
        <v>#VALUE!</v>
      </c>
      <c r="O191" s="21"/>
      <c r="P191" s="21"/>
      <c r="Q191" s="29"/>
      <c r="S191" s="94">
        <f>T185-100</f>
        <v>1099.99</v>
      </c>
      <c r="T191" s="34" t="e">
        <f>T188+W188+S191</f>
        <v>#VALUE!</v>
      </c>
      <c r="U191" s="28"/>
      <c r="V191" s="28"/>
      <c r="W191" s="34" t="e">
        <f>Z148</f>
        <v>#VALUE!</v>
      </c>
      <c r="X191" s="28"/>
      <c r="Y191" s="28"/>
      <c r="Z191" s="29"/>
      <c r="AB191" s="94">
        <f>AC185-100</f>
        <v>1139.99</v>
      </c>
      <c r="AC191" s="34" t="e">
        <f>AC188+AF188+AB191</f>
        <v>#VALUE!</v>
      </c>
      <c r="AD191" s="28"/>
      <c r="AE191" s="28"/>
      <c r="AF191" s="34" t="e">
        <f>AI148</f>
        <v>#VALUE!</v>
      </c>
      <c r="AG191" s="28"/>
      <c r="AH191" s="28"/>
      <c r="AI191" s="29"/>
    </row>
    <row r="192" spans="1:35">
      <c r="A192" s="27"/>
      <c r="B192" s="28"/>
      <c r="C192" s="28"/>
      <c r="D192" s="28"/>
      <c r="E192" s="21"/>
      <c r="F192" s="21"/>
      <c r="G192" s="21"/>
      <c r="H192" s="29"/>
      <c r="J192" s="27"/>
      <c r="K192" s="28"/>
      <c r="L192" s="28"/>
      <c r="M192" s="28"/>
      <c r="N192" s="21"/>
      <c r="O192" s="21"/>
      <c r="P192" s="21"/>
      <c r="Q192" s="29"/>
      <c r="S192" s="27"/>
      <c r="T192" s="28"/>
      <c r="U192" s="28"/>
      <c r="V192" s="28"/>
      <c r="W192" s="21"/>
      <c r="X192" s="21"/>
      <c r="Y192" s="21"/>
      <c r="Z192" s="29"/>
      <c r="AB192" s="27"/>
      <c r="AC192" s="28"/>
      <c r="AD192" s="28"/>
      <c r="AE192" s="28"/>
      <c r="AF192" s="21"/>
      <c r="AG192" s="21"/>
      <c r="AH192" s="21"/>
      <c r="AI192" s="29"/>
    </row>
    <row r="193" spans="1:35">
      <c r="A193" s="58" t="s">
        <v>214</v>
      </c>
      <c r="B193" s="28"/>
      <c r="C193" s="28"/>
      <c r="D193" s="59"/>
      <c r="E193" s="59"/>
      <c r="F193" s="59"/>
      <c r="G193" s="59"/>
      <c r="H193" s="60"/>
      <c r="J193" s="58" t="s">
        <v>214</v>
      </c>
      <c r="K193" s="28"/>
      <c r="L193" s="28"/>
      <c r="M193" s="59"/>
      <c r="N193" s="59"/>
      <c r="O193" s="59"/>
      <c r="P193" s="59"/>
      <c r="Q193" s="60"/>
      <c r="S193" s="58" t="s">
        <v>214</v>
      </c>
      <c r="T193" s="28"/>
      <c r="U193" s="28"/>
      <c r="V193" s="59"/>
      <c r="W193" s="59"/>
      <c r="X193" s="59"/>
      <c r="Y193" s="59"/>
      <c r="Z193" s="60"/>
      <c r="AB193" s="58" t="s">
        <v>214</v>
      </c>
      <c r="AC193" s="28"/>
      <c r="AD193" s="28"/>
      <c r="AE193" s="59"/>
      <c r="AF193" s="59"/>
      <c r="AG193" s="59"/>
      <c r="AH193" s="59"/>
      <c r="AI193" s="60"/>
    </row>
    <row r="194" spans="1:35">
      <c r="A194" s="27"/>
      <c r="B194" s="61"/>
      <c r="C194" s="61"/>
      <c r="D194" s="28"/>
      <c r="E194" s="21"/>
      <c r="F194" s="21"/>
      <c r="G194" s="21"/>
      <c r="H194" s="29"/>
      <c r="J194" s="27"/>
      <c r="K194" s="61"/>
      <c r="L194" s="61"/>
      <c r="M194" s="28"/>
      <c r="N194" s="21"/>
      <c r="O194" s="21"/>
      <c r="P194" s="21"/>
      <c r="Q194" s="29"/>
      <c r="S194" s="27"/>
      <c r="T194" s="61"/>
      <c r="U194" s="61"/>
      <c r="V194" s="28"/>
      <c r="W194" s="21"/>
      <c r="X194" s="21"/>
      <c r="Y194" s="21"/>
      <c r="Z194" s="29"/>
      <c r="AB194" s="27"/>
      <c r="AC194" s="61"/>
      <c r="AD194" s="61"/>
      <c r="AE194" s="28"/>
      <c r="AF194" s="21"/>
      <c r="AG194" s="21"/>
      <c r="AH194" s="21"/>
      <c r="AI194" s="29"/>
    </row>
    <row r="195" spans="1:35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69" t="s">
        <v>94</v>
      </c>
      <c r="K195" s="341" t="s">
        <v>95</v>
      </c>
      <c r="L195" s="341"/>
      <c r="M195" s="341"/>
      <c r="N195" s="21"/>
      <c r="O195" s="21"/>
      <c r="P195" s="21"/>
      <c r="Q195" s="29"/>
      <c r="S195" s="369" t="s">
        <v>94</v>
      </c>
      <c r="T195" s="341" t="s">
        <v>95</v>
      </c>
      <c r="U195" s="341"/>
      <c r="V195" s="341"/>
      <c r="W195" s="21"/>
      <c r="X195" s="21"/>
      <c r="Y195" s="21"/>
      <c r="Z195" s="29"/>
      <c r="AB195" s="369" t="s">
        <v>94</v>
      </c>
      <c r="AC195" s="341" t="s">
        <v>95</v>
      </c>
      <c r="AD195" s="341"/>
      <c r="AE195" s="341"/>
      <c r="AF195" s="21"/>
      <c r="AG195" s="21"/>
      <c r="AH195" s="21"/>
      <c r="AI195" s="29"/>
    </row>
    <row r="196" spans="1:35" ht="19.5" customHeight="1">
      <c r="A196" s="369"/>
      <c r="B196" s="342">
        <f>K30</f>
        <v>10000</v>
      </c>
      <c r="C196" s="342"/>
      <c r="D196" s="342"/>
      <c r="E196" s="21"/>
      <c r="F196" s="21"/>
      <c r="G196" s="21"/>
      <c r="H196" s="29"/>
      <c r="J196" s="369"/>
      <c r="K196" s="342">
        <f>K30</f>
        <v>10000</v>
      </c>
      <c r="L196" s="342"/>
      <c r="M196" s="342"/>
      <c r="N196" s="21"/>
      <c r="O196" s="21"/>
      <c r="P196" s="21"/>
      <c r="Q196" s="29"/>
      <c r="S196" s="369"/>
      <c r="T196" s="342">
        <f>K30</f>
        <v>10000</v>
      </c>
      <c r="U196" s="342"/>
      <c r="V196" s="342"/>
      <c r="W196" s="21"/>
      <c r="X196" s="21"/>
      <c r="Y196" s="21"/>
      <c r="Z196" s="29"/>
      <c r="AB196" s="369"/>
      <c r="AC196" s="342">
        <f>K30</f>
        <v>10000</v>
      </c>
      <c r="AD196" s="342"/>
      <c r="AE196" s="342"/>
      <c r="AF196" s="21"/>
      <c r="AG196" s="21"/>
      <c r="AH196" s="21"/>
      <c r="AI196" s="29"/>
    </row>
    <row r="197" spans="1:35">
      <c r="A197" s="62">
        <f>K29</f>
        <v>36</v>
      </c>
      <c r="B197" s="343">
        <f>B96</f>
        <v>794.48642358063898</v>
      </c>
      <c r="C197" s="343"/>
      <c r="D197" s="343"/>
      <c r="E197" s="21"/>
      <c r="F197" s="21"/>
      <c r="G197" s="21"/>
      <c r="H197" s="29"/>
      <c r="J197" s="62">
        <f>K29</f>
        <v>36</v>
      </c>
      <c r="K197" s="343" t="e">
        <f>K96</f>
        <v>#VALUE!</v>
      </c>
      <c r="L197" s="343"/>
      <c r="M197" s="343"/>
      <c r="N197" s="21"/>
      <c r="O197" s="21"/>
      <c r="P197" s="21"/>
      <c r="Q197" s="29"/>
      <c r="S197" s="62">
        <f>K29</f>
        <v>36</v>
      </c>
      <c r="T197" s="343" t="e">
        <f>T96</f>
        <v>#VALUE!</v>
      </c>
      <c r="U197" s="343"/>
      <c r="V197" s="343"/>
      <c r="W197" s="21"/>
      <c r="X197" s="21"/>
      <c r="Y197" s="21"/>
      <c r="Z197" s="29"/>
      <c r="AB197" s="62">
        <f>K29</f>
        <v>36</v>
      </c>
      <c r="AC197" s="343" t="e">
        <f>AC96</f>
        <v>#VALUE!</v>
      </c>
      <c r="AD197" s="343"/>
      <c r="AE197" s="343"/>
      <c r="AF197" s="21"/>
      <c r="AG197" s="21"/>
      <c r="AH197" s="21"/>
      <c r="AI197" s="29"/>
    </row>
    <row r="198" spans="1:35">
      <c r="A198" s="27"/>
      <c r="B198" s="28"/>
      <c r="C198" s="28"/>
      <c r="D198" s="28"/>
      <c r="E198" s="21"/>
      <c r="F198" s="21"/>
      <c r="G198" s="21"/>
      <c r="H198" s="29"/>
      <c r="J198" s="27"/>
      <c r="K198" s="28"/>
      <c r="L198" s="28"/>
      <c r="M198" s="28"/>
      <c r="N198" s="21"/>
      <c r="O198" s="21"/>
      <c r="P198" s="21"/>
      <c r="Q198" s="29"/>
      <c r="S198" s="27"/>
      <c r="T198" s="28"/>
      <c r="U198" s="28"/>
      <c r="V198" s="28"/>
      <c r="W198" s="21"/>
      <c r="X198" s="21"/>
      <c r="Y198" s="21"/>
      <c r="Z198" s="29"/>
      <c r="AB198" s="27"/>
      <c r="AC198" s="28"/>
      <c r="AD198" s="28"/>
      <c r="AE198" s="28"/>
      <c r="AF198" s="21"/>
      <c r="AG198" s="21"/>
      <c r="AH198" s="21"/>
      <c r="AI198" s="29"/>
    </row>
    <row r="199" spans="1:35">
      <c r="A199" s="27"/>
      <c r="B199" s="28"/>
      <c r="C199" s="28"/>
      <c r="D199" s="28"/>
      <c r="E199" s="21"/>
      <c r="F199" s="21"/>
      <c r="G199" s="21"/>
      <c r="H199" s="29"/>
      <c r="J199" s="27"/>
      <c r="K199" s="28"/>
      <c r="L199" s="28"/>
      <c r="M199" s="28"/>
      <c r="N199" s="21"/>
      <c r="O199" s="21"/>
      <c r="P199" s="21"/>
      <c r="Q199" s="29"/>
      <c r="S199" s="27"/>
      <c r="T199" s="28"/>
      <c r="U199" s="28"/>
      <c r="V199" s="28"/>
      <c r="W199" s="21"/>
      <c r="X199" s="21"/>
      <c r="Y199" s="21"/>
      <c r="Z199" s="29"/>
      <c r="AB199" s="27"/>
      <c r="AC199" s="28"/>
      <c r="AD199" s="28"/>
      <c r="AE199" s="28"/>
      <c r="AF199" s="21"/>
      <c r="AG199" s="21"/>
      <c r="AH199" s="21"/>
      <c r="AI199" s="29"/>
    </row>
    <row r="200" spans="1:35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  <c r="J200" s="27"/>
      <c r="K200" s="28"/>
      <c r="L200" s="28"/>
      <c r="M200" s="28"/>
      <c r="N200" s="21"/>
      <c r="O200" s="21"/>
      <c r="P200" s="21"/>
      <c r="Q200" s="29"/>
      <c r="S200" s="27"/>
      <c r="T200" s="28"/>
      <c r="U200" s="28"/>
      <c r="V200" s="28"/>
      <c r="W200" s="21"/>
      <c r="X200" s="21"/>
      <c r="Y200" s="21"/>
      <c r="Z200" s="29"/>
      <c r="AB200" s="27"/>
      <c r="AC200" s="28"/>
      <c r="AD200" s="28"/>
      <c r="AE200" s="28"/>
      <c r="AF200" s="21"/>
      <c r="AG200" s="21"/>
      <c r="AH200" s="21"/>
      <c r="AI200" s="29"/>
    </row>
    <row r="201" spans="1:35">
      <c r="A201" s="32">
        <f>IF(A40=0,((G167*(B59+1))-E179),((G167*B59)+E185-E179-A185))</f>
        <v>2668.8760000000038</v>
      </c>
      <c r="B201" s="38">
        <f>E179+A201+(B182*1.2)+A185</f>
        <v>27598.880000000001</v>
      </c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49"/>
      <c r="B202" s="50"/>
      <c r="C202" s="50"/>
      <c r="D202" s="50"/>
      <c r="E202" s="50"/>
      <c r="F202" s="50"/>
      <c r="G202" s="50"/>
      <c r="H202" s="57"/>
      <c r="J202" s="49"/>
      <c r="K202" s="50"/>
      <c r="L202" s="50"/>
      <c r="M202" s="50"/>
      <c r="N202" s="50"/>
      <c r="O202" s="50"/>
      <c r="P202" s="50"/>
      <c r="Q202" s="57"/>
      <c r="S202" s="49"/>
      <c r="T202" s="50"/>
      <c r="U202" s="50"/>
      <c r="V202" s="50"/>
      <c r="W202" s="50"/>
      <c r="X202" s="50"/>
      <c r="Y202" s="50"/>
      <c r="Z202" s="57"/>
      <c r="AB202" s="49"/>
      <c r="AC202" s="50"/>
      <c r="AD202" s="50"/>
      <c r="AE202" s="50"/>
      <c r="AF202" s="50"/>
      <c r="AG202" s="50"/>
      <c r="AH202" s="50"/>
      <c r="AI202" s="57"/>
    </row>
    <row r="206" spans="1:35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5">
      <c r="A207" s="27"/>
      <c r="B207" s="28"/>
      <c r="C207" s="28"/>
      <c r="D207" s="28"/>
      <c r="E207" s="21"/>
      <c r="F207" s="21"/>
      <c r="G207" s="21"/>
      <c r="H207" s="29"/>
    </row>
    <row r="208" spans="1:35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30" t="s">
        <v>279</v>
      </c>
      <c r="B209" s="131">
        <f>A197</f>
        <v>36</v>
      </c>
      <c r="C209" s="131"/>
      <c r="D209" s="131"/>
      <c r="E209" s="131">
        <f>B196</f>
        <v>10000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794.48642358063898</v>
      </c>
      <c r="B212" s="133" t="str">
        <f>B167</f>
        <v>0</v>
      </c>
      <c r="C212" s="131"/>
      <c r="D212" s="131"/>
      <c r="E212" s="133">
        <f>E167</f>
        <v>794.48642358063898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20416.669999999998</v>
      </c>
      <c r="B215" s="34">
        <f>B173</f>
        <v>4083.3339999999998</v>
      </c>
      <c r="C215" s="38"/>
      <c r="D215" s="21"/>
      <c r="E215" s="137">
        <f>E173</f>
        <v>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24500.003999999997</v>
      </c>
      <c r="B218" s="34">
        <f>B176</f>
        <v>1000</v>
      </c>
      <c r="C218" s="34"/>
      <c r="D218" s="21"/>
      <c r="E218" s="34">
        <f>E176</f>
        <v>1000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2000</v>
      </c>
      <c r="B221" s="34">
        <f>B179</f>
        <v>0</v>
      </c>
      <c r="C221" s="34"/>
      <c r="D221" s="21"/>
      <c r="E221" s="34">
        <f>E179</f>
        <v>23920.003999999997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4681.5072489030063</v>
      </c>
      <c r="B224" s="34">
        <f>B182</f>
        <v>833.33333333333337</v>
      </c>
      <c r="C224" s="34"/>
      <c r="D224" s="21"/>
      <c r="E224" s="34">
        <f>E182</f>
        <v>29611.511248903003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3000</v>
      </c>
      <c r="C227" s="34"/>
      <c r="D227" s="21"/>
      <c r="E227" s="34">
        <f>B59</f>
        <v>35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794.48642358063898</v>
      </c>
      <c r="B230" s="34" t="str">
        <f>B167</f>
        <v>0</v>
      </c>
      <c r="C230" s="38"/>
      <c r="D230" s="38"/>
      <c r="E230" s="34">
        <f>E167</f>
        <v>794.48642358063898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198</v>
      </c>
      <c r="B232" s="28" t="s">
        <v>220</v>
      </c>
      <c r="C232" s="28"/>
      <c r="D232" s="28"/>
      <c r="E232" s="28" t="s">
        <v>221</v>
      </c>
      <c r="F232" s="21"/>
      <c r="G232" s="21"/>
      <c r="H232" s="29"/>
    </row>
    <row r="233" spans="1:8">
      <c r="A233" s="94">
        <f>E170</f>
        <v>0</v>
      </c>
      <c r="B233" s="34">
        <f>E185</f>
        <v>804.48642358063898</v>
      </c>
      <c r="C233" s="28"/>
      <c r="D233" s="28"/>
      <c r="E233" s="34">
        <f>A188</f>
        <v>0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142</v>
      </c>
      <c r="B235" s="34"/>
      <c r="C235" s="28"/>
      <c r="D235" s="28"/>
      <c r="E235" s="34"/>
      <c r="F235" s="21"/>
      <c r="G235" s="21"/>
      <c r="H235" s="29"/>
    </row>
    <row r="236" spans="1:8">
      <c r="A236" s="94"/>
      <c r="B236" s="34"/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6541.6699999999973</v>
      </c>
      <c r="B240" s="34">
        <f>B68</f>
        <v>1196.0001999999999</v>
      </c>
      <c r="C240" s="28"/>
      <c r="D240" s="28"/>
      <c r="E240" s="34">
        <f>E188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6327.6701999999968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K35</f>
        <v>7.0000000000000007E-2</v>
      </c>
      <c r="C253" s="144"/>
      <c r="D253" s="374" t="s">
        <v>226</v>
      </c>
      <c r="E253" s="374"/>
      <c r="F253" s="143">
        <f>B83</f>
        <v>0.12000000000000001</v>
      </c>
      <c r="G253" s="21"/>
      <c r="H253" s="29"/>
    </row>
    <row r="254" spans="1:8">
      <c r="A254" s="139" t="s">
        <v>227</v>
      </c>
      <c r="B254" s="145">
        <f>(E182-B182)-(B201-B182-A185)</f>
        <v>2022.6312489030024</v>
      </c>
      <c r="C254" s="144"/>
      <c r="D254" s="374" t="s">
        <v>228</v>
      </c>
      <c r="E254" s="374"/>
      <c r="F254" s="146">
        <f>F261+F267+F269+B270+B271</f>
        <v>1196.0001999999999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836.63104890300247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10">
      <c r="A257" s="27" t="s">
        <v>225</v>
      </c>
      <c r="B257" s="151">
        <f>B253</f>
        <v>7.0000000000000007E-2</v>
      </c>
      <c r="C257" s="144"/>
      <c r="D257" s="144"/>
      <c r="E257" s="144"/>
      <c r="F257" s="144"/>
      <c r="G257" s="21"/>
      <c r="H257" s="29"/>
    </row>
    <row r="258" spans="1:10">
      <c r="A258" s="152"/>
      <c r="B258" s="153"/>
      <c r="C258" s="154"/>
      <c r="D258" s="154"/>
      <c r="E258" s="149"/>
      <c r="F258" s="149"/>
      <c r="G258" s="149"/>
      <c r="H258" s="150"/>
    </row>
    <row r="259" spans="1:10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10">
      <c r="A260" s="93" t="s">
        <v>226</v>
      </c>
      <c r="B260" s="155">
        <f>B83</f>
        <v>0.12000000000000001</v>
      </c>
      <c r="C260" s="38"/>
      <c r="D260" s="363" t="s">
        <v>227</v>
      </c>
      <c r="E260" s="363"/>
      <c r="F260" s="115">
        <f>B254</f>
        <v>2022.6312489030024</v>
      </c>
      <c r="G260" s="21"/>
      <c r="H260" s="29"/>
    </row>
    <row r="261" spans="1:10">
      <c r="A261" s="27" t="s">
        <v>233</v>
      </c>
      <c r="B261" s="155">
        <f>B67</f>
        <v>0.05</v>
      </c>
      <c r="C261" s="28"/>
      <c r="D261" s="363" t="s">
        <v>233</v>
      </c>
      <c r="E261" s="363"/>
      <c r="F261" s="119">
        <f>B68</f>
        <v>1196.0001999999999</v>
      </c>
      <c r="G261" s="21"/>
      <c r="H261" s="29"/>
    </row>
    <row r="262" spans="1:10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10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836.63104890300247</v>
      </c>
      <c r="G263" s="21"/>
      <c r="H263" s="29"/>
    </row>
    <row r="264" spans="1:10">
      <c r="A264" s="94"/>
      <c r="B264" s="34"/>
      <c r="C264" s="28"/>
      <c r="D264" s="28"/>
      <c r="E264" s="34"/>
      <c r="F264" s="21"/>
      <c r="G264" s="21"/>
      <c r="H264" s="29"/>
    </row>
    <row r="265" spans="1:10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10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10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10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10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10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10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  <c r="J271" s="4">
        <v>4</v>
      </c>
    </row>
    <row r="272" spans="1:10">
      <c r="A272" s="49"/>
      <c r="B272" s="50"/>
      <c r="C272" s="50"/>
      <c r="D272" s="50"/>
      <c r="E272" s="50"/>
      <c r="F272" s="50"/>
      <c r="G272" s="50"/>
      <c r="H272" s="57"/>
    </row>
  </sheetData>
  <mergeCells count="260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E36:G36"/>
    <mergeCell ref="J38:K38"/>
    <mergeCell ref="B40:D40"/>
    <mergeCell ref="C45:E45"/>
    <mergeCell ref="A50:A51"/>
    <mergeCell ref="B50:D50"/>
    <mergeCell ref="B51:D51"/>
    <mergeCell ref="B52:D52"/>
    <mergeCell ref="A100:H100"/>
    <mergeCell ref="J100:Q100"/>
    <mergeCell ref="A1:F1"/>
    <mergeCell ref="D7:E18"/>
    <mergeCell ref="A16:C18"/>
    <mergeCell ref="A19:D19"/>
    <mergeCell ref="A21:D21"/>
    <mergeCell ref="A24:H24"/>
    <mergeCell ref="A28:H28"/>
    <mergeCell ref="B30:D30"/>
    <mergeCell ref="E33:G33"/>
  </mergeCells>
  <dataValidations count="1">
    <dataValidation type="list" allowBlank="1" showInputMessage="1" showErrorMessage="1" sqref="B105 K105 N105 T105 W105 AC105 AF105 B108:D108 K108:M108 T108:V108 AC108:AE108 J111 S111 AB111 A144:A146 J144:J146 S144:S146 AB144:AB146" xr:uid="{00000000-0002-0000-2A00-000002000000}">
      <formula1>#REF!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2A00-000000000000}">
          <x14:formula1>
            <xm:f>HirePurchaseNonRegulated!$K$9:$K$10</xm:f>
          </x14:formula1>
          <x14:formula2>
            <xm:f>0</xm:f>
          </x14:formula2>
          <xm:sqref>B26 E105 A111</xm:sqref>
        </x14:dataValidation>
        <x14:dataValidation type="list" allowBlank="1" showErrorMessage="1" xr:uid="{00000000-0002-0000-2A00-000001000000}">
          <x14:formula1>
            <xm:f>HirePurchaseNonRegulated!$K$9:$K$10</xm:f>
          </x14:formula1>
          <x14:formula2>
            <xm:f>0</xm:f>
          </x14:formula2>
          <xm:sqref>B70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AA1000"/>
  <sheetViews>
    <sheetView topLeftCell="A169" zoomScale="110" zoomScaleNormal="110" workbookViewId="0">
      <selection activeCell="D195" sqref="D195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18500</v>
      </c>
      <c r="C9" s="11">
        <f>B9*0.2</f>
        <v>3700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190">
        <v>37405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IF(A32=Z101,1,IF(A32=Z102,1,IF(A32=Z103,3,IF(A32=Z104,6,IF(A32=Z105,9,IF(A32=Z106,12,IF(A32=Z107,3,IF(A32=Z108,6,IF(A32=Z109,9,0)))))))))</f>
        <v>1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IF(A32=Z101,H29-H27,IF(A32=Z102,H29-H27,IF(A32=Z103,H29-1,IF(A32=Z104,H29-1,IF(A32=Z105,H29-1,IF(A32=Z106,H29-1,IF(A32=Z107,H29-H27,IF(A32=Z108,H29-H27,IF(A32=Z109,H29-H27,0)))))))))</f>
        <v>11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>
        <f>IF(A32=Z101,D38,IF(A32=Z102,D38,IF(A32=Z103,(D38*3),IF(A32=Z104,(D38*6),IF(A32=Z105,(D38*9),IF(A32=Z106,(D38*12),IF(A32=Z107,D38,IF(A32=Z108,D38,IF(A32=Z109,D38,0)))))))))</f>
        <v>500</v>
      </c>
      <c r="C32" s="381"/>
      <c r="D32" s="381">
        <f>IF(A32=Z101,A41,IF(A32=Z102,A41,IF(A32=Z103,(A41*3),IF(A32=Z104,(A41*6),IF(A32=Z105,(A41*9),IF(A32=Z106,(A41*12),IF(A32=Z107,A41,IF(A32=Z108,A41,IF(A32=Z109,A41,0)))))))))</f>
        <v>0</v>
      </c>
      <c r="E32" s="381"/>
      <c r="F32" s="55"/>
      <c r="G32" s="168" t="s">
        <v>253</v>
      </c>
      <c r="H32" s="166">
        <f>A41</f>
        <v>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/>
      <c r="H33" s="160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>
        <f>D41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386</v>
      </c>
      <c r="C38" s="378"/>
      <c r="D38" s="346">
        <v>500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151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>
        <v>0</v>
      </c>
      <c r="B41" s="383">
        <f>IF(B38="YES",D38+A41,D38)</f>
        <v>500</v>
      </c>
      <c r="C41" s="383"/>
      <c r="D41" s="346">
        <v>12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261</v>
      </c>
      <c r="B43" s="178" t="s">
        <v>262</v>
      </c>
      <c r="C43" s="171"/>
      <c r="D43" s="178" t="s">
        <v>266</v>
      </c>
      <c r="E43" s="181"/>
      <c r="F43" s="55"/>
      <c r="G43" s="55" t="s">
        <v>263</v>
      </c>
      <c r="H43" s="5">
        <f>(((D38*(B35-1))+B32)/B35)+(D41/B35)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>
        <v>1</v>
      </c>
      <c r="B44" s="346">
        <v>0</v>
      </c>
      <c r="C44" s="346"/>
      <c r="D44" s="394">
        <f>A44+B44</f>
        <v>1</v>
      </c>
      <c r="E44" s="394"/>
      <c r="F44" s="55"/>
      <c r="G44" s="55" t="s">
        <v>264</v>
      </c>
      <c r="H44" s="5">
        <f>((A41*(B35-1))+D32)/B35</f>
        <v>0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1" t="s">
        <v>280</v>
      </c>
      <c r="B46" s="171"/>
      <c r="C46" s="171"/>
      <c r="D46" s="171"/>
      <c r="E46" s="181"/>
      <c r="F46" s="55"/>
      <c r="G46" s="55" t="s">
        <v>269</v>
      </c>
      <c r="H46" s="5">
        <f>H43</f>
        <v>501</v>
      </c>
      <c r="I46" s="5" t="s">
        <v>10</v>
      </c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6"/>
      <c r="B47" s="171"/>
      <c r="C47" s="171"/>
      <c r="D47" s="171"/>
      <c r="E47" s="181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/>
      <c r="H49" s="20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5000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12</v>
      </c>
      <c r="B52" s="343">
        <f>H45</f>
        <v>501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IF(B99=Z101,1,IF(B99=Z102,1,IF(B99=Z103,3,IF(B99=Z104,6,IF(B99=Z105,9,IF(B99=Z106,12,IF(B99=Z107,3,IF(B99=Z108,6,IF(B99=Z109,9,0)))))))))</f>
        <v>1</v>
      </c>
      <c r="C57" s="158"/>
      <c r="D57" s="158"/>
      <c r="E57" s="159"/>
      <c r="F57" s="55"/>
      <c r="G57" s="157" t="s">
        <v>96</v>
      </c>
      <c r="H57" s="158">
        <f>IF(H99=Z101,1,IF(H99=Z102,1,IF(H99=Z103,3,IF(H99=Z104,6,IF(H99=Z105,9,IF(H99=Z106,12,IF(H99=Z107,3,IF(H99=Z108,6,IF(H99=Z109,9,0)))))))))</f>
        <v>1</v>
      </c>
      <c r="I57" s="158"/>
      <c r="J57" s="158"/>
      <c r="K57" s="159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IF(B99=Z101,H29-B57,IF(B99=Z102,H29-B57,IF(B99=Z103,H29-1,IF(B99=Z104,H29-1,IF(B99=Z105,H29-1,IF(B99=Z106,H29-1,IF(B99=Z107,H29-B57,IF(B99=Z108,H29-B57,IF(B99=Z109,H29-B57,0)))))))))</f>
        <v>11</v>
      </c>
      <c r="C58" s="158" t="s">
        <v>281</v>
      </c>
      <c r="D58" s="158"/>
      <c r="E58" s="159"/>
      <c r="F58" s="55"/>
      <c r="G58" s="157" t="s">
        <v>97</v>
      </c>
      <c r="H58" s="158">
        <f>IF(H99=Z101,H29-H57,IF(H99=Z102,H29-H57,IF(H99=Z103,H29-1,IF(H99=Z104,H29-1,IF(H99=Z105,H29-1,IF(H99=Z106,H29-1,IF(H99=Z107,H29-H57,IF(H99=Z108,H29-H57,IF(H99=Z109,H29-H57,0)))))))))</f>
        <v>11</v>
      </c>
      <c r="I58" s="158"/>
      <c r="J58" s="158"/>
      <c r="K58" s="159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 t="s">
        <v>282</v>
      </c>
      <c r="B60" s="158">
        <f>E19</f>
        <v>22200</v>
      </c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f>G18</f>
        <v>37405</v>
      </c>
      <c r="C61" s="158"/>
      <c r="D61" s="158"/>
      <c r="E61" s="159"/>
      <c r="F61" s="55"/>
      <c r="G61" s="157" t="s">
        <v>27</v>
      </c>
      <c r="H61" s="28">
        <f>G18</f>
        <v>37405</v>
      </c>
      <c r="I61" s="158"/>
      <c r="J61" s="158"/>
      <c r="K61" s="159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7.0000000000000007E-2</v>
      </c>
      <c r="C63" s="158"/>
      <c r="D63" s="158"/>
      <c r="E63" s="159"/>
      <c r="F63" s="55"/>
      <c r="G63" s="157" t="s">
        <v>284</v>
      </c>
      <c r="H63" s="214">
        <f>H62+(H62*0.25*(H29/12-1))</f>
        <v>7.0000000000000007E-2</v>
      </c>
      <c r="I63" s="158"/>
      <c r="J63" s="158"/>
      <c r="K63" s="159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B60*B63</f>
        <v>1554.0000000000002</v>
      </c>
      <c r="C64" s="158">
        <v>10000</v>
      </c>
      <c r="D64" s="28">
        <f>B64</f>
        <v>1554.0000000000002</v>
      </c>
      <c r="E64" s="159"/>
      <c r="F64" s="55"/>
      <c r="G64" s="206" t="s">
        <v>102</v>
      </c>
      <c r="H64" s="57">
        <f>H61*H63</f>
        <v>2618.3500000000004</v>
      </c>
      <c r="I64" s="158"/>
      <c r="J64" s="28">
        <f>H64</f>
        <v>2618.3500000000004</v>
      </c>
      <c r="K64" s="159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>
        <v>100</v>
      </c>
      <c r="C65" s="158"/>
      <c r="D65" s="158"/>
      <c r="E65" s="159"/>
      <c r="F65" s="55"/>
      <c r="G65" s="212" t="s">
        <v>103</v>
      </c>
      <c r="H65" s="213">
        <v>5.0000000000000001E-3</v>
      </c>
      <c r="I65" s="158"/>
      <c r="J65" s="158"/>
      <c r="K65" s="159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158"/>
      <c r="D66" s="158"/>
      <c r="E66" s="159"/>
      <c r="F66" s="55"/>
      <c r="G66" s="157" t="s">
        <v>104</v>
      </c>
      <c r="H66" s="214">
        <f>H65+(H65*0.5*(H29/12-1))</f>
        <v>5.0000000000000001E-3</v>
      </c>
      <c r="I66" s="158"/>
      <c r="J66" s="158"/>
      <c r="K66" s="159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100</v>
      </c>
      <c r="C67" s="158"/>
      <c r="D67" s="28"/>
      <c r="E67" s="159"/>
      <c r="F67" s="55"/>
      <c r="G67" s="206" t="s">
        <v>105</v>
      </c>
      <c r="H67" s="57">
        <f>H61*H66</f>
        <v>187.02500000000001</v>
      </c>
      <c r="I67" s="158"/>
      <c r="J67" s="28"/>
      <c r="K67" s="159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158"/>
      <c r="D68" s="15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200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60</v>
      </c>
      <c r="C73" s="158"/>
      <c r="D73" s="28">
        <f>B73+B71</f>
        <v>260</v>
      </c>
      <c r="E73" s="159"/>
      <c r="F73" s="55"/>
      <c r="G73" s="206" t="s">
        <v>111</v>
      </c>
      <c r="H73" s="57">
        <f>H72*H29</f>
        <v>54</v>
      </c>
      <c r="I73" s="158"/>
      <c r="J73" s="28">
        <f>H73+H71</f>
        <v>214</v>
      </c>
      <c r="K73" s="159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0</v>
      </c>
      <c r="C74" s="158"/>
      <c r="D74" s="158"/>
      <c r="E74" s="159"/>
      <c r="F74" s="55"/>
      <c r="G74" s="212" t="s">
        <v>285</v>
      </c>
      <c r="H74" s="74">
        <v>150</v>
      </c>
      <c r="I74" s="158"/>
      <c r="J74" s="158"/>
      <c r="K74" s="159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0</v>
      </c>
      <c r="C75" s="158">
        <f>IF(G18&gt;40000,325,0)</f>
        <v>0</v>
      </c>
      <c r="D75" s="158"/>
      <c r="E75" s="159"/>
      <c r="F75" s="55"/>
      <c r="G75" s="216" t="s">
        <v>286</v>
      </c>
      <c r="H75" s="65">
        <f>IF(G18&gt;40000,325,0)</f>
        <v>0</v>
      </c>
      <c r="I75" s="158"/>
      <c r="J75" s="158"/>
      <c r="K75" s="159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((B74+B75)/12)*(H29-11)</f>
        <v>0</v>
      </c>
      <c r="C76" s="158"/>
      <c r="D76" s="28">
        <f>B76</f>
        <v>0</v>
      </c>
      <c r="E76" s="159"/>
      <c r="F76" s="55"/>
      <c r="G76" s="206" t="s">
        <v>287</v>
      </c>
      <c r="H76" s="57">
        <f>((H74+H75)/12)*(H29-11)</f>
        <v>12.5</v>
      </c>
      <c r="I76" s="158"/>
      <c r="J76" s="28">
        <f>H76</f>
        <v>12.5</v>
      </c>
      <c r="K76" s="159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288</v>
      </c>
      <c r="B77" s="74">
        <f>B102/(1-0.1)</f>
        <v>444.44444444444446</v>
      </c>
      <c r="C77" s="158"/>
      <c r="D77" s="28">
        <f>B77</f>
        <v>444.44444444444446</v>
      </c>
      <c r="E77" s="159"/>
      <c r="F77" s="55"/>
      <c r="G77" s="212" t="s">
        <v>288</v>
      </c>
      <c r="H77" s="74">
        <f>H102</f>
        <v>1200</v>
      </c>
      <c r="I77" s="158"/>
      <c r="J77" s="28">
        <f>H77</f>
        <v>1200</v>
      </c>
      <c r="K77" s="159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158"/>
      <c r="D78" s="28">
        <f>B78</f>
        <v>222.22222222222223</v>
      </c>
      <c r="E78" s="159"/>
      <c r="F78" s="55"/>
      <c r="G78" s="157" t="s">
        <v>289</v>
      </c>
      <c r="H78" s="29">
        <f>J102</f>
        <v>0</v>
      </c>
      <c r="I78" s="158"/>
      <c r="J78" s="28">
        <f>H78</f>
        <v>0</v>
      </c>
      <c r="K78" s="159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200</v>
      </c>
      <c r="C79" s="158"/>
      <c r="D79" s="28">
        <f>B79</f>
        <v>200</v>
      </c>
      <c r="E79" s="159"/>
      <c r="F79" s="55"/>
      <c r="G79" s="216" t="s">
        <v>112</v>
      </c>
      <c r="H79" s="65">
        <v>100</v>
      </c>
      <c r="I79" s="158"/>
      <c r="J79" s="28">
        <f>H79</f>
        <v>100</v>
      </c>
      <c r="K79" s="159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200</v>
      </c>
      <c r="C80" s="158"/>
      <c r="D80" s="28">
        <f>B80</f>
        <v>200</v>
      </c>
      <c r="E80" s="159"/>
      <c r="F80" s="55"/>
      <c r="G80" s="219" t="s">
        <v>113</v>
      </c>
      <c r="H80" s="75">
        <v>100</v>
      </c>
      <c r="I80" s="158"/>
      <c r="J80" s="28">
        <f>H80</f>
        <v>100</v>
      </c>
      <c r="K80" s="159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2880.666666666667</v>
      </c>
      <c r="C81" s="158"/>
      <c r="D81" s="158"/>
      <c r="E81" s="159"/>
      <c r="F81" s="55"/>
      <c r="G81" s="220" t="s">
        <v>114</v>
      </c>
      <c r="H81" s="221">
        <f>SUM(J64:J80)</f>
        <v>4244.8500000000004</v>
      </c>
      <c r="I81" s="158"/>
      <c r="J81" s="158"/>
      <c r="K81" s="159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240.05555555555557</v>
      </c>
      <c r="C82" s="158"/>
      <c r="D82" s="158"/>
      <c r="E82" s="159"/>
      <c r="F82" s="55"/>
      <c r="G82" s="157" t="s">
        <v>115</v>
      </c>
      <c r="H82" s="29">
        <f>H81/H29</f>
        <v>353.73750000000001</v>
      </c>
      <c r="I82" s="158"/>
      <c r="J82" s="158"/>
      <c r="K82" s="159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H46</f>
        <v>501</v>
      </c>
      <c r="C83" s="158"/>
      <c r="D83" s="158"/>
      <c r="E83" s="159"/>
      <c r="F83" s="55"/>
      <c r="G83" s="222" t="s">
        <v>116</v>
      </c>
      <c r="H83" s="52">
        <f>H46</f>
        <v>501</v>
      </c>
      <c r="I83" s="158"/>
      <c r="J83" s="158"/>
      <c r="K83" s="159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158"/>
      <c r="D84" s="158"/>
      <c r="E84" s="159"/>
      <c r="F84" s="55"/>
      <c r="G84" s="157"/>
      <c r="H84" s="28"/>
      <c r="I84" s="158"/>
      <c r="J84" s="158"/>
      <c r="K84" s="159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((B83*(H29)+B81))*1.2</f>
        <v>10671.2</v>
      </c>
      <c r="C85" s="158"/>
      <c r="D85" s="158"/>
      <c r="E85" s="159"/>
      <c r="F85" s="55"/>
      <c r="G85" s="209" t="s">
        <v>126</v>
      </c>
      <c r="H85" s="24">
        <f>((H83*(H27+H28))+H81)*1.2</f>
        <v>12308.22</v>
      </c>
      <c r="I85" s="158"/>
      <c r="J85" s="158"/>
      <c r="K85" s="159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(((B83*(H29))+B81)/(1-B70))*B70</f>
        <v>75.331181928196884</v>
      </c>
      <c r="C86" s="158"/>
      <c r="D86" s="158"/>
      <c r="E86" s="159"/>
      <c r="F86" s="55"/>
      <c r="G86" s="157" t="s">
        <v>127</v>
      </c>
      <c r="H86" s="29">
        <f>(((H83*(H27+H28))+H81)/(1-H70))*H70</f>
        <v>86.887394110528462</v>
      </c>
      <c r="I86" s="158"/>
      <c r="J86" s="158"/>
      <c r="K86" s="159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10746.531181928198</v>
      </c>
      <c r="C87" s="158"/>
      <c r="D87" s="158"/>
      <c r="E87" s="159"/>
      <c r="F87" s="55"/>
      <c r="G87" s="206" t="s">
        <v>128</v>
      </c>
      <c r="H87" s="57">
        <f>IF(H110="YES",((H85+H86)-A151-K114),((H85+H86)-A151))</f>
        <v>12170.107394110528</v>
      </c>
      <c r="I87" s="158"/>
      <c r="J87" s="158"/>
      <c r="K87" s="159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158"/>
      <c r="D88" s="158"/>
      <c r="E88" s="159"/>
      <c r="F88" s="55"/>
      <c r="G88" s="157"/>
      <c r="H88" s="28"/>
      <c r="I88" s="158"/>
      <c r="J88" s="158"/>
      <c r="K88" s="159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3">
        <f>IF(B99=Z102,(((H44*B35)+(H44*B35)*(B105/100))/(B58))*1.2,(((H44*B35)+(H44*B35)*(B105/100))/(B57+B58))*1.2)</f>
        <v>0</v>
      </c>
      <c r="C89" s="158"/>
      <c r="D89" s="158"/>
      <c r="E89" s="159"/>
      <c r="F89" s="55"/>
      <c r="G89" s="220" t="s">
        <v>129</v>
      </c>
      <c r="H89" s="221">
        <f>(A41+(A41*H105))*1.2</f>
        <v>0</v>
      </c>
      <c r="I89" s="158"/>
      <c r="J89" s="158"/>
      <c r="K89" s="159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IF(B99=Z102,(B87-D105)/(B58),B87/(B57+B58))</f>
        <v>895.54426516068315</v>
      </c>
      <c r="C90" s="158"/>
      <c r="D90" s="158"/>
      <c r="E90" s="159"/>
      <c r="F90" s="55"/>
      <c r="G90" s="224" t="s">
        <v>130</v>
      </c>
      <c r="H90" s="225">
        <f>IF(H99=AE98,(H87-J105)/(H58),H87/(H57+H58))</f>
        <v>1014.1756161758773</v>
      </c>
      <c r="I90" s="158"/>
      <c r="J90" s="158"/>
      <c r="K90" s="159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895.54426516068315</v>
      </c>
      <c r="C91" s="158"/>
      <c r="D91" s="158"/>
      <c r="E91" s="159"/>
      <c r="F91" s="55"/>
      <c r="G91" s="226" t="s">
        <v>131</v>
      </c>
      <c r="H91" s="227">
        <f>IF(G105="YES",H90+H89,H90)</f>
        <v>1014.1756161758773</v>
      </c>
      <c r="I91" s="158"/>
      <c r="J91" s="158"/>
      <c r="K91" s="159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207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46.5" customHeight="1">
      <c r="A94" s="376" t="s">
        <v>290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/>
      <c r="F95" s="55"/>
      <c r="G95" s="157"/>
      <c r="H95" s="158"/>
      <c r="I95" s="158"/>
      <c r="J95" s="158"/>
      <c r="K95" s="159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7" ht="18.75" customHeight="1">
      <c r="A97" s="157"/>
      <c r="B97" s="158"/>
      <c r="C97" s="158"/>
      <c r="D97" s="158"/>
      <c r="E97" s="159"/>
      <c r="F97" s="55"/>
      <c r="G97" s="157"/>
      <c r="H97" s="158"/>
      <c r="I97" s="158"/>
      <c r="J97" s="158"/>
      <c r="K97" s="159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7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7" ht="18.75" customHeight="1">
      <c r="A99" s="162" t="s">
        <v>292</v>
      </c>
      <c r="B99" s="395" t="s">
        <v>140</v>
      </c>
      <c r="C99" s="395"/>
      <c r="D99" s="348">
        <v>1000</v>
      </c>
      <c r="E99" s="348"/>
      <c r="F99" s="55"/>
      <c r="G99" s="162" t="s">
        <v>292</v>
      </c>
      <c r="H99" s="395" t="s">
        <v>140</v>
      </c>
      <c r="I99" s="395"/>
      <c r="J99" s="348">
        <v>0</v>
      </c>
      <c r="K99" s="348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7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spans="1:27" ht="18.75" customHeight="1">
      <c r="A101" s="157" t="s">
        <v>293</v>
      </c>
      <c r="B101" s="158" t="s">
        <v>294</v>
      </c>
      <c r="C101" s="158"/>
      <c r="D101" s="158" t="s">
        <v>295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 t="s">
        <v>140</v>
      </c>
      <c r="AA101" s="55"/>
    </row>
    <row r="102" spans="1:27" ht="18.75" customHeight="1">
      <c r="A102" s="228">
        <f>199.99*1.2</f>
        <v>239.988</v>
      </c>
      <c r="B102" s="348">
        <v>400</v>
      </c>
      <c r="C102" s="348"/>
      <c r="D102" s="348">
        <v>200</v>
      </c>
      <c r="E102" s="348"/>
      <c r="F102" s="55"/>
      <c r="G102" s="228">
        <f>199.99*1.2</f>
        <v>239.988</v>
      </c>
      <c r="H102" s="348">
        <v>1200</v>
      </c>
      <c r="I102" s="348"/>
      <c r="J102" s="348">
        <v>0</v>
      </c>
      <c r="K102" s="348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 t="s">
        <v>270</v>
      </c>
      <c r="AA102" s="55"/>
    </row>
    <row r="103" spans="1:27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Z103" s="55" t="s">
        <v>271</v>
      </c>
      <c r="AA103" s="55"/>
    </row>
    <row r="104" spans="1:27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Z104" s="55" t="s">
        <v>272</v>
      </c>
      <c r="AA104" s="55"/>
    </row>
    <row r="105" spans="1:27" ht="18.75" customHeight="1">
      <c r="A105" s="164" t="s">
        <v>386</v>
      </c>
      <c r="B105" s="395">
        <v>0</v>
      </c>
      <c r="C105" s="395"/>
      <c r="D105" s="348">
        <v>200</v>
      </c>
      <c r="E105" s="348"/>
      <c r="F105" s="55"/>
      <c r="G105" s="164" t="s">
        <v>31</v>
      </c>
      <c r="H105" s="396">
        <v>0.2</v>
      </c>
      <c r="I105" s="396"/>
      <c r="J105" s="348">
        <v>0</v>
      </c>
      <c r="K105" s="348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Z105" s="55" t="s">
        <v>273</v>
      </c>
      <c r="AA105" s="55"/>
    </row>
    <row r="106" spans="1:27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Z106" s="55" t="s">
        <v>274</v>
      </c>
      <c r="AA106" s="55"/>
    </row>
    <row r="107" spans="1:27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Z107" s="55" t="s">
        <v>275</v>
      </c>
      <c r="AA107" s="55"/>
    </row>
    <row r="108" spans="1:27" ht="18.75" customHeight="1">
      <c r="A108" s="377" t="s">
        <v>296</v>
      </c>
      <c r="B108" s="377">
        <v>0</v>
      </c>
      <c r="C108" s="377"/>
      <c r="D108" s="377">
        <v>0</v>
      </c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Z108" s="55" t="s">
        <v>276</v>
      </c>
      <c r="AA108" s="55"/>
    </row>
    <row r="109" spans="1:27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Z109" s="55" t="s">
        <v>277</v>
      </c>
    </row>
    <row r="110" spans="1:27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Z110" s="55"/>
    </row>
    <row r="111" spans="1:27" ht="18.75" customHeight="1">
      <c r="A111" s="157"/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Z111" s="55"/>
    </row>
    <row r="112" spans="1:27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10000</v>
      </c>
      <c r="K112" s="92">
        <v>5000</v>
      </c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7000</v>
      </c>
      <c r="K113" s="92">
        <v>7000</v>
      </c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3000</v>
      </c>
      <c r="K114" s="127">
        <f>K112-K113</f>
        <v>-2000</v>
      </c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5000</v>
      </c>
      <c r="K115" s="159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f>D99</f>
        <v>1000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f>A102</f>
        <v>239.988</v>
      </c>
      <c r="F118" s="55"/>
      <c r="G118" s="157" t="s">
        <v>66</v>
      </c>
      <c r="H118" s="158"/>
      <c r="I118" s="158"/>
      <c r="J118" s="158"/>
      <c r="K118" s="29">
        <f>G102</f>
        <v>239.988</v>
      </c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(E118+E117)-D115</f>
        <v>1239.9880000000001</v>
      </c>
      <c r="F119" s="55"/>
      <c r="G119" s="229" t="s">
        <v>298</v>
      </c>
      <c r="H119" s="207"/>
      <c r="I119" s="207"/>
      <c r="J119" s="207"/>
      <c r="K119" s="57">
        <f>(K118+K117)-J115</f>
        <v>-4760.0119999999997</v>
      </c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12</v>
      </c>
      <c r="C125" s="236"/>
      <c r="D125" s="235">
        <f>B160</f>
        <v>5000</v>
      </c>
      <c r="E125" s="233"/>
      <c r="F125" s="55"/>
      <c r="G125" s="157"/>
      <c r="H125" s="158"/>
      <c r="I125" s="158"/>
      <c r="J125" s="158"/>
      <c r="K125" s="159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157" t="s">
        <v>94</v>
      </c>
      <c r="H126" s="158" t="s">
        <v>95</v>
      </c>
      <c r="I126" s="158"/>
      <c r="J126" s="158" t="s">
        <v>97</v>
      </c>
      <c r="K126" s="159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169">
        <f>G152</f>
        <v>12</v>
      </c>
      <c r="H127" s="170">
        <f>A152</f>
        <v>0</v>
      </c>
      <c r="I127" s="171"/>
      <c r="J127" s="170">
        <f>B151</f>
        <v>0</v>
      </c>
      <c r="K127" s="159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895.54426516068315</v>
      </c>
      <c r="B128" s="232">
        <f>IF(A105="YES",B89,0)</f>
        <v>0</v>
      </c>
      <c r="C128" s="237"/>
      <c r="D128" s="232">
        <f>B91</f>
        <v>895.54426516068315</v>
      </c>
      <c r="E128" s="233"/>
      <c r="F128" s="55"/>
      <c r="G128" s="157"/>
      <c r="H128" s="158"/>
      <c r="I128" s="158"/>
      <c r="J128" s="158"/>
      <c r="K128" s="159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7" ht="18.75" customHeight="1">
      <c r="A129" s="157"/>
      <c r="B129" s="158"/>
      <c r="C129" s="158"/>
      <c r="D129" s="158"/>
      <c r="E129" s="159"/>
      <c r="F129" s="55"/>
      <c r="G129" s="238" t="s">
        <v>302</v>
      </c>
      <c r="H129" s="239" t="s">
        <v>303</v>
      </c>
      <c r="I129" s="239"/>
      <c r="J129" s="239" t="s">
        <v>304</v>
      </c>
      <c r="K129" s="159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7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242">
        <f>H90</f>
        <v>1014.1756161758773</v>
      </c>
      <c r="H130" s="133">
        <f>IF(G105="YES",H89*H57,0)</f>
        <v>0</v>
      </c>
      <c r="I130" s="133"/>
      <c r="J130" s="243">
        <f>H91</f>
        <v>1014.1756161758773</v>
      </c>
      <c r="K130" s="90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7" ht="18.75" customHeight="1">
      <c r="A131" s="244" t="str">
        <f>B99</f>
        <v xml:space="preserve"> Monthly in advance </v>
      </c>
      <c r="B131" s="34">
        <f>B90*B57</f>
        <v>895.54426516068315</v>
      </c>
      <c r="C131" s="158"/>
      <c r="D131" s="34">
        <f>IF(A105="YES",B89*B57,0)</f>
        <v>0</v>
      </c>
      <c r="E131" s="159"/>
      <c r="F131" s="55"/>
      <c r="G131" s="157"/>
      <c r="H131" s="158"/>
      <c r="I131" s="158"/>
      <c r="J131" s="158"/>
      <c r="K131" s="159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7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7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1014.1756161758773</v>
      </c>
      <c r="H133" s="34">
        <f>IF(G105="YES",H89*H57,0)</f>
        <v>0</v>
      </c>
      <c r="I133" s="163"/>
      <c r="J133" s="137">
        <f>H91*H57</f>
        <v>1014.1756161758773</v>
      </c>
      <c r="K133" s="159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7" ht="18.75" customHeight="1">
      <c r="A134" s="94">
        <f>B91*B57</f>
        <v>895.54426516068315</v>
      </c>
      <c r="B134" s="34">
        <f>E114</f>
        <v>0</v>
      </c>
      <c r="C134" s="158"/>
      <c r="D134" s="245">
        <f>B58</f>
        <v>11</v>
      </c>
      <c r="E134" s="159"/>
      <c r="F134" s="55"/>
      <c r="G134" s="157"/>
      <c r="H134" s="158"/>
      <c r="I134" s="158"/>
      <c r="J134" s="158"/>
      <c r="K134" s="159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7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7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</v>
      </c>
      <c r="H136" s="34">
        <f>IF(G105="YES",E15*0.000002,0)</f>
        <v>0</v>
      </c>
      <c r="I136" s="34"/>
      <c r="J136" s="34">
        <f>G136+H136</f>
        <v>0</v>
      </c>
      <c r="K136" s="90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7" ht="18.75" customHeight="1">
      <c r="A137" s="94">
        <f>B90</f>
        <v>895.54426516068315</v>
      </c>
      <c r="B137" s="34">
        <f>IF(A105="YES",B89,0)</f>
        <v>0</v>
      </c>
      <c r="C137" s="158"/>
      <c r="D137" s="34">
        <f>B91</f>
        <v>895.54426516068315</v>
      </c>
      <c r="E137" s="159"/>
      <c r="F137" s="55"/>
      <c r="G137" s="157"/>
      <c r="H137" s="158"/>
      <c r="I137" s="158"/>
      <c r="J137" s="158"/>
      <c r="K137" s="159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7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7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239.988</v>
      </c>
      <c r="H139" s="34">
        <f>H67</f>
        <v>187.02500000000001</v>
      </c>
      <c r="I139" s="34"/>
      <c r="J139" s="34">
        <f>H102*0.9</f>
        <v>1080</v>
      </c>
      <c r="K139" s="90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7" ht="18.75" customHeight="1">
      <c r="A140" s="250">
        <f>(G18*0.000006)*1.2*100</f>
        <v>26.9316</v>
      </c>
      <c r="B140" s="251">
        <f>G18*0.000002*1.2*100</f>
        <v>8.9771999999999998</v>
      </c>
      <c r="C140" s="252"/>
      <c r="D140" s="251">
        <f>A140+B140</f>
        <v>35.908799999999999</v>
      </c>
      <c r="E140" s="159"/>
      <c r="F140" s="55"/>
      <c r="G140" s="157"/>
      <c r="H140" s="158"/>
      <c r="I140" s="158"/>
      <c r="J140" s="158"/>
      <c r="K140" s="159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7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7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IF(G105="YES",H89*0.1,0)</f>
        <v>0</v>
      </c>
      <c r="H142" s="34">
        <f>G102-100</f>
        <v>139.988</v>
      </c>
      <c r="I142" s="34"/>
      <c r="J142" s="34">
        <f>(H139+J139+G142+H142)-H145</f>
        <v>1407.0130000000001</v>
      </c>
      <c r="K142" s="90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7" ht="18.75" customHeight="1">
      <c r="A143" s="94">
        <v>0</v>
      </c>
      <c r="B143" s="34">
        <f>E118</f>
        <v>239.988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7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f>IF((1200-H102)&lt;=0,0,(1200-H102))</f>
        <v>0</v>
      </c>
      <c r="H145" s="34">
        <f>(H139+J139+G142+H142)*(G145/H64)</f>
        <v>0</v>
      </c>
      <c r="I145" s="158"/>
      <c r="J145" s="158"/>
      <c r="K145" s="159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100</v>
      </c>
      <c r="B148" s="34">
        <f>B102</f>
        <v>400</v>
      </c>
      <c r="C148" s="34"/>
      <c r="D148" s="34">
        <f>IF(A105="YES",(A41*B105)*B125,0)*0.001</f>
        <v>0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225</v>
      </c>
      <c r="B151" s="34">
        <f>(A148+B148+D148+A151)*(A143/B64)</f>
        <v>0</v>
      </c>
      <c r="C151" s="34"/>
      <c r="D151" s="34">
        <f>(A148+B148+D148+A151)-B151-A154</f>
        <v>525</v>
      </c>
      <c r="E151" s="90"/>
      <c r="F151" s="55"/>
      <c r="G151" s="387"/>
      <c r="H151" s="389">
        <f>B51</f>
        <v>5000</v>
      </c>
      <c r="I151" s="389"/>
      <c r="J151" s="158"/>
      <c r="K151" s="159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12</v>
      </c>
      <c r="H152" s="343">
        <f>H91</f>
        <v>1014.1756161758773</v>
      </c>
      <c r="I152" s="343"/>
      <c r="J152" s="158"/>
      <c r="K152" s="159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9.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5000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12</v>
      </c>
      <c r="B161" s="343">
        <f>B91</f>
        <v>895.54426516068315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97" t="s">
        <v>299</v>
      </c>
      <c r="B165" s="397"/>
      <c r="C165" s="397"/>
      <c r="D165" s="397"/>
      <c r="E165" s="397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157"/>
      <c r="B166" s="158"/>
      <c r="C166" s="158"/>
      <c r="D166" s="158"/>
      <c r="E166" s="159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230" t="s">
        <v>137</v>
      </c>
      <c r="B167" s="231" t="s">
        <v>52</v>
      </c>
      <c r="C167" s="232"/>
      <c r="D167" s="231" t="s">
        <v>95</v>
      </c>
      <c r="E167" s="233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234" t="s">
        <v>292</v>
      </c>
      <c r="B168" s="259">
        <f>A161</f>
        <v>12</v>
      </c>
      <c r="C168" s="236"/>
      <c r="D168" s="232">
        <f>B160</f>
        <v>5000</v>
      </c>
      <c r="E168" s="233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230"/>
      <c r="B169" s="231"/>
      <c r="C169" s="231"/>
      <c r="D169" s="231"/>
      <c r="E169" s="233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230" t="s">
        <v>130</v>
      </c>
      <c r="B170" s="231" t="s">
        <v>300</v>
      </c>
      <c r="C170" s="232"/>
      <c r="D170" s="231" t="s">
        <v>301</v>
      </c>
      <c r="E170" s="233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234">
        <f>B90</f>
        <v>895.54426516068315</v>
      </c>
      <c r="B171" s="232">
        <f>IF(A105="YES",B89,0)</f>
        <v>0</v>
      </c>
      <c r="C171" s="237"/>
      <c r="D171" s="232">
        <f>B91</f>
        <v>895.54426516068315</v>
      </c>
      <c r="E171" s="233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40" t="s">
        <v>36</v>
      </c>
      <c r="B173" s="241" t="s">
        <v>305</v>
      </c>
      <c r="C173" s="171"/>
      <c r="D173" s="241" t="s">
        <v>306</v>
      </c>
      <c r="E173" s="159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44" t="str">
        <f>B99</f>
        <v xml:space="preserve"> Monthly in advance </v>
      </c>
      <c r="B174" s="34">
        <f>B90*B57</f>
        <v>895.54426516068315</v>
      </c>
      <c r="C174" s="158"/>
      <c r="D174" s="34">
        <f>IF(A105="YES",B89*B57,0)</f>
        <v>0</v>
      </c>
      <c r="E174" s="159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157"/>
      <c r="B175" s="158"/>
      <c r="C175" s="158"/>
      <c r="D175" s="158"/>
      <c r="E175" s="159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93" t="s">
        <v>310</v>
      </c>
      <c r="B176" s="35" t="s">
        <v>311</v>
      </c>
      <c r="C176" s="163"/>
      <c r="D176" s="179" t="s">
        <v>218</v>
      </c>
      <c r="E176" s="159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94">
        <f>B91*B57</f>
        <v>895.54426516068315</v>
      </c>
      <c r="B177" s="34">
        <f>E114</f>
        <v>0</v>
      </c>
      <c r="C177" s="158"/>
      <c r="D177" s="245">
        <f>B58</f>
        <v>11</v>
      </c>
      <c r="E177" s="159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94"/>
      <c r="B178" s="246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53" t="s">
        <v>130</v>
      </c>
      <c r="B179" s="247" t="s">
        <v>300</v>
      </c>
      <c r="C179" s="158"/>
      <c r="D179" s="158" t="s">
        <v>301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94">
        <f>B90</f>
        <v>895.54426516068315</v>
      </c>
      <c r="B180" s="34">
        <f>IF(A105="YES",B89,0)</f>
        <v>0</v>
      </c>
      <c r="C180" s="158"/>
      <c r="D180" s="34">
        <f>B91</f>
        <v>895.54426516068315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248" t="s">
        <v>80</v>
      </c>
      <c r="B182" s="249" t="s">
        <v>318</v>
      </c>
      <c r="C182" s="34"/>
      <c r="D182" s="249" t="s">
        <v>85</v>
      </c>
      <c r="E182" s="90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250">
        <f>(G18*0.000006)*1.2*100</f>
        <v>26.9316</v>
      </c>
      <c r="B183" s="251">
        <f>G18*0.000002*1.2*100</f>
        <v>8.9771999999999998</v>
      </c>
      <c r="C183" s="252"/>
      <c r="D183" s="251">
        <f>A183+B183</f>
        <v>35.908799999999999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253"/>
      <c r="B184" s="254"/>
      <c r="C184" s="158"/>
      <c r="D184" s="254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248" t="s">
        <v>322</v>
      </c>
      <c r="B185" s="249" t="s">
        <v>66</v>
      </c>
      <c r="C185" s="34"/>
      <c r="D185" s="249" t="s">
        <v>288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v>0</v>
      </c>
      <c r="B186" s="34">
        <f>E118</f>
        <v>239.988</v>
      </c>
      <c r="C186" s="158"/>
      <c r="D186" s="119">
        <f>B102</f>
        <v>400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94"/>
      <c r="B187" s="34"/>
      <c r="C187" s="158"/>
      <c r="D187" s="34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55" t="s">
        <v>325</v>
      </c>
      <c r="B188" s="256"/>
      <c r="C188" s="257"/>
      <c r="D188" s="256"/>
      <c r="E188" s="258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3"/>
      <c r="B189" s="254"/>
      <c r="C189" s="158"/>
      <c r="D189" s="254"/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157" t="s">
        <v>326</v>
      </c>
      <c r="B190" s="158" t="s">
        <v>327</v>
      </c>
      <c r="C190" s="158"/>
      <c r="D190" s="158" t="s">
        <v>328</v>
      </c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94">
        <f>B67</f>
        <v>100</v>
      </c>
      <c r="B191" s="34">
        <f>B102</f>
        <v>400</v>
      </c>
      <c r="C191" s="34"/>
      <c r="D191" s="34">
        <f>IF(A105="YES",(A38/100*B105)*B125,0)*0.001</f>
        <v>0</v>
      </c>
      <c r="E191" s="90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157"/>
      <c r="B192" s="158"/>
      <c r="C192" s="158"/>
      <c r="D192" s="158"/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157" t="s">
        <v>330</v>
      </c>
      <c r="B193" s="158" t="s">
        <v>324</v>
      </c>
      <c r="C193" s="158"/>
      <c r="D193" s="158" t="s">
        <v>321</v>
      </c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94">
        <f>A151</f>
        <v>225</v>
      </c>
      <c r="B194" s="34">
        <f>(A148+B148+D148+A151)*(A143/B64)</f>
        <v>0</v>
      </c>
      <c r="C194" s="34"/>
      <c r="D194" s="34">
        <f>D151</f>
        <v>525</v>
      </c>
      <c r="E194" s="90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157"/>
      <c r="B195" s="158"/>
      <c r="C195" s="158"/>
      <c r="D195" s="158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331</v>
      </c>
      <c r="B196" s="158"/>
      <c r="C196" s="158"/>
      <c r="D196" s="158"/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D102</f>
        <v>200</v>
      </c>
      <c r="B197" s="34"/>
      <c r="C197" s="158"/>
      <c r="D197" s="158"/>
      <c r="E197" s="159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206"/>
      <c r="B198" s="207"/>
      <c r="C198" s="207"/>
      <c r="D198" s="207"/>
      <c r="E198" s="208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397" t="s">
        <v>224</v>
      </c>
      <c r="B201" s="397"/>
      <c r="C201" s="397"/>
      <c r="D201" s="397"/>
      <c r="E201" s="397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/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230" t="s">
        <v>225</v>
      </c>
      <c r="B203" s="260">
        <f>B209</f>
        <v>6.5000000000000002E-2</v>
      </c>
      <c r="C203" s="232" t="s">
        <v>227</v>
      </c>
      <c r="D203" s="261">
        <f>D64</f>
        <v>1554.0000000000002</v>
      </c>
      <c r="E203" s="233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34"/>
      <c r="B204" s="235"/>
      <c r="C204" s="236"/>
      <c r="D204" s="235"/>
      <c r="E204" s="233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230" t="s">
        <v>228</v>
      </c>
      <c r="B205" s="232">
        <f>B213</f>
        <v>100</v>
      </c>
      <c r="C205" s="231" t="s">
        <v>229</v>
      </c>
      <c r="D205" s="261">
        <f>B219+E215+B215+B217</f>
        <v>465</v>
      </c>
      <c r="E205" s="233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230"/>
      <c r="B206" s="262"/>
      <c r="C206" s="232"/>
      <c r="D206" s="231"/>
      <c r="E206" s="233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234" t="s">
        <v>230</v>
      </c>
      <c r="B207" s="232">
        <f>E217</f>
        <v>1919.0000000000002</v>
      </c>
      <c r="C207" s="236"/>
      <c r="D207" s="232"/>
      <c r="E207" s="233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247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169" t="s">
        <v>225</v>
      </c>
      <c r="B209" s="263">
        <v>6.5000000000000002E-2</v>
      </c>
      <c r="C209" s="171"/>
      <c r="D209" s="241"/>
      <c r="E209" s="159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44"/>
      <c r="B210" s="35"/>
      <c r="C210" s="158"/>
      <c r="D210" s="34"/>
      <c r="E210" s="159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162" t="s">
        <v>227</v>
      </c>
      <c r="B211" s="89">
        <f>D64</f>
        <v>1554.0000000000002</v>
      </c>
      <c r="C211" s="178" t="s">
        <v>233</v>
      </c>
      <c r="D211" s="158"/>
      <c r="E211" s="214">
        <f>B66</f>
        <v>0</v>
      </c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138"/>
      <c r="B212" s="35"/>
      <c r="C212" s="163"/>
      <c r="D212" s="179"/>
      <c r="E212" s="159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94" t="s">
        <v>233</v>
      </c>
      <c r="B213" s="89">
        <f>B67</f>
        <v>100</v>
      </c>
      <c r="C213" s="163" t="s">
        <v>332</v>
      </c>
      <c r="D213" s="245"/>
      <c r="E213" s="72">
        <v>1E-3</v>
      </c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94"/>
      <c r="B214" s="247"/>
      <c r="C214" s="163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94" t="s">
        <v>332</v>
      </c>
      <c r="B215" s="179">
        <f>B191*E213*100</f>
        <v>40</v>
      </c>
      <c r="C215" s="163" t="s">
        <v>235</v>
      </c>
      <c r="D215" s="158"/>
      <c r="E215" s="29">
        <f>A194</f>
        <v>225</v>
      </c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94"/>
      <c r="B216" s="35"/>
      <c r="C216" s="163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333</v>
      </c>
      <c r="B217" s="179">
        <f>B78-(B78*(E213*100))</f>
        <v>200</v>
      </c>
      <c r="C217" s="163" t="s">
        <v>230</v>
      </c>
      <c r="D217" s="158"/>
      <c r="E217" s="29">
        <f>(B211-B205+D205)</f>
        <v>1919.0000000000002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264"/>
      <c r="B218" s="249"/>
      <c r="C218" s="34"/>
      <c r="D218" s="249"/>
      <c r="E218" s="127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264" t="s">
        <v>334</v>
      </c>
      <c r="B219" s="249">
        <f>D191/0.1</f>
        <v>0</v>
      </c>
      <c r="C219" s="34"/>
      <c r="D219" s="249"/>
      <c r="E219" s="127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264"/>
      <c r="B220" s="249"/>
      <c r="C220" s="34"/>
      <c r="D220" s="249"/>
      <c r="E220" s="127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255" t="s">
        <v>335</v>
      </c>
      <c r="B221" s="265"/>
      <c r="C221" s="257"/>
      <c r="D221" s="256"/>
      <c r="E221" s="258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253"/>
      <c r="B222" s="266"/>
      <c r="C222" s="158"/>
      <c r="D222" s="25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253" t="s">
        <v>237</v>
      </c>
      <c r="B223" s="89">
        <f>B71</f>
        <v>200</v>
      </c>
      <c r="C223" s="163" t="s">
        <v>238</v>
      </c>
      <c r="D223" s="254"/>
      <c r="E223" s="118">
        <f>B72</f>
        <v>5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53"/>
      <c r="B224" s="266"/>
      <c r="C224" s="163" t="s">
        <v>239</v>
      </c>
      <c r="D224" s="254"/>
      <c r="E224" s="29">
        <f>D73</f>
        <v>260</v>
      </c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53" t="s">
        <v>240</v>
      </c>
      <c r="B225" s="267">
        <f>B68</f>
        <v>7.4999999999999997E-3</v>
      </c>
      <c r="C225" s="163" t="s">
        <v>241</v>
      </c>
      <c r="D225" s="254"/>
      <c r="E225" s="214">
        <f>B69</f>
        <v>0.12</v>
      </c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53"/>
      <c r="B226" s="266"/>
      <c r="C226" s="163" t="s">
        <v>242</v>
      </c>
      <c r="D226" s="254"/>
      <c r="E226" s="29">
        <f>B86</f>
        <v>75.331181928196884</v>
      </c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3" t="s">
        <v>243</v>
      </c>
      <c r="B227" s="89">
        <f>B79</f>
        <v>200</v>
      </c>
      <c r="C227" s="268" t="s">
        <v>336</v>
      </c>
      <c r="D227" s="269"/>
      <c r="E227" s="118">
        <f>B74</f>
        <v>0</v>
      </c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162"/>
      <c r="B228" s="247"/>
      <c r="C228" s="268"/>
      <c r="D228" s="270"/>
      <c r="E228" s="271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94" t="s">
        <v>244</v>
      </c>
      <c r="B229" s="89">
        <f>B80</f>
        <v>200</v>
      </c>
      <c r="C229" s="272" t="s">
        <v>337</v>
      </c>
      <c r="D229" s="272"/>
      <c r="E229" s="118">
        <f>B75</f>
        <v>0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157"/>
      <c r="B230" s="158"/>
      <c r="C230" s="158"/>
      <c r="D230" s="158"/>
      <c r="E230" s="159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157"/>
      <c r="B231" s="158"/>
      <c r="C231" s="158"/>
      <c r="D231" s="158"/>
      <c r="E231" s="159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94"/>
      <c r="B232" s="34"/>
      <c r="C232" s="34"/>
      <c r="D232" s="34"/>
      <c r="E232" s="90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157"/>
      <c r="B233" s="158"/>
      <c r="C233" s="158"/>
      <c r="D233" s="158"/>
      <c r="E233" s="159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57"/>
      <c r="B234" s="158"/>
      <c r="C234" s="158"/>
      <c r="D234" s="158"/>
      <c r="E234" s="159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/>
      <c r="B235" s="34"/>
      <c r="C235" s="158"/>
      <c r="D235" s="158"/>
      <c r="E235" s="159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206"/>
      <c r="B236" s="207"/>
      <c r="C236" s="207"/>
      <c r="D236" s="207"/>
      <c r="E236" s="208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6">
    <mergeCell ref="B161:C161"/>
    <mergeCell ref="A165:E165"/>
    <mergeCell ref="A201:E201"/>
    <mergeCell ref="G150:G151"/>
    <mergeCell ref="H150:I150"/>
    <mergeCell ref="H151:I151"/>
    <mergeCell ref="H152:I152"/>
    <mergeCell ref="A159:A160"/>
    <mergeCell ref="B159:C159"/>
    <mergeCell ref="B160:C160"/>
    <mergeCell ref="A108:E108"/>
    <mergeCell ref="G108:K108"/>
    <mergeCell ref="A122:E122"/>
    <mergeCell ref="G122:K122"/>
    <mergeCell ref="H124:I124"/>
    <mergeCell ref="B102:C102"/>
    <mergeCell ref="D102:E102"/>
    <mergeCell ref="H102:I102"/>
    <mergeCell ref="J102:K102"/>
    <mergeCell ref="B105:C105"/>
    <mergeCell ref="D105:E105"/>
    <mergeCell ref="H105:I105"/>
    <mergeCell ref="J105:K105"/>
    <mergeCell ref="G94:K94"/>
    <mergeCell ref="A96:E96"/>
    <mergeCell ref="G96:K96"/>
    <mergeCell ref="B99:C99"/>
    <mergeCell ref="D99:E99"/>
    <mergeCell ref="H99:I99"/>
    <mergeCell ref="J99:K99"/>
    <mergeCell ref="A50:A51"/>
    <mergeCell ref="B50:C50"/>
    <mergeCell ref="B51:C51"/>
    <mergeCell ref="B52:C52"/>
    <mergeCell ref="A94:E94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3">
    <dataValidation type="list" allowBlank="1" showErrorMessage="1" sqref="A32" xr:uid="{00000000-0002-0000-2B00-000000000000}">
      <formula1>"Monthly in advance ,Spread rentals initial payment ,Spread rentals with 3 down ,Spread rentals with 6 down ,Spread rentals with 9 down ,Spread rentals with 12 down ,Terminal pause with 3 down ,Terminal Pause with 6 down ,Terminal Pause with 9 dow"</formula1>
      <formula2>0</formula2>
    </dataValidation>
    <dataValidation type="list" allowBlank="1" showErrorMessage="1" sqref="B38 A105 B110" xr:uid="{00000000-0002-0000-2B00-000001000000}">
      <formula1>"NO,YES"</formula1>
      <formula2>0</formula2>
    </dataValidation>
    <dataValidation type="list" allowBlank="1" showErrorMessage="1" sqref="H99 N99:O99 G105 M105 O107 H110 N110" xr:uid="{00000000-0002-0000-2B00-000003000000}">
      <formula1>#REF!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2B00-000002000000}">
          <x14:formula1>
            <xm:f>'BCH (Formula 3) - PCH'!$Z$101:$Z$109</xm:f>
          </x14:formula1>
          <x14:formula2>
            <xm:f>0</xm:f>
          </x14:formula2>
          <xm:sqref>B99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AA1000"/>
  <sheetViews>
    <sheetView topLeftCell="A199" zoomScale="110" zoomScaleNormal="110" workbookViewId="0">
      <selection activeCell="D195" sqref="D195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37.9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96"/>
      <c r="B8" s="55"/>
      <c r="C8" s="55"/>
      <c r="D8" s="392"/>
      <c r="E8" s="392"/>
      <c r="F8" s="55"/>
      <c r="G8" s="55"/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18500</v>
      </c>
      <c r="C9" s="11">
        <f>B9*0.2</f>
        <v>3700</v>
      </c>
      <c r="D9" s="392"/>
      <c r="E9" s="392"/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55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7">
        <f>E15</f>
        <v>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190">
        <v>37405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IF(A32=Z101,1,IF(A32=Z102,1,IF(A32=Z103,3,IF(A32=Z104,6,IF(A32=Z105,9,IF(A32=Z106,12,IF(A32=Z107,3,IF(A32=Z108,6,IF(A32=Z109,9,0)))))))))</f>
        <v>1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IF(A32=Z101,H29-H27,IF(A32=Z102,H29-H27,IF(A32=Z103,H29-1,IF(A32=Z104,H29-1,IF(A32=Z105,H29-1,IF(A32=Z106,H29-1,IF(A32=Z107,H29-H27,IF(A32=Z108,H29-H27,IF(A32=Z109,H29-H27,0)))))))))</f>
        <v>11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>
        <f>IF(A32=Z101,D38,IF(A32=Z102,D38,IF(A32=Z103,(D38*3),IF(A32=Z104,(D38*6),IF(A32=Z105,(D38*9),IF(A32=Z106,(D38*12),IF(A32=Z107,D38,IF(A32=Z108,D38,IF(A32=Z109,D38,0)))))))))</f>
        <v>500</v>
      </c>
      <c r="C32" s="381"/>
      <c r="D32" s="381">
        <f>IF(A32=Z101,A41,IF(A32=Z102,A41,IF(A32=Z103,(A41*3),IF(A32=Z104,(A41*6),IF(A32=Z105,(A41*9),IF(A32=Z106,(A41*12),IF(A32=Z107,A41,IF(A32=Z108,A41,IF(A32=Z109,A41,0)))))))))</f>
        <v>50</v>
      </c>
      <c r="E32" s="381"/>
      <c r="F32" s="55"/>
      <c r="G32" s="168" t="s">
        <v>253</v>
      </c>
      <c r="H32" s="166">
        <f>A41</f>
        <v>50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/>
      <c r="H33" s="160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>
        <f>D41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550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>
        <v>500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151</v>
      </c>
      <c r="E40" s="159"/>
      <c r="F40" s="55"/>
      <c r="G40" s="273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>
        <v>50</v>
      </c>
      <c r="B41" s="383">
        <f>IF(B38="YES",D38+A41,D38)</f>
        <v>550</v>
      </c>
      <c r="C41" s="383"/>
      <c r="D41" s="346">
        <v>12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261</v>
      </c>
      <c r="B43" s="178" t="s">
        <v>262</v>
      </c>
      <c r="C43" s="171"/>
      <c r="D43" s="178" t="s">
        <v>266</v>
      </c>
      <c r="E43" s="181"/>
      <c r="F43" s="55"/>
      <c r="G43" s="55" t="s">
        <v>263</v>
      </c>
      <c r="H43" s="5">
        <f>(((D38*(B35-1))+B32)/B35)+(D41/B35)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>
        <v>1</v>
      </c>
      <c r="B44" s="346">
        <v>1</v>
      </c>
      <c r="C44" s="346"/>
      <c r="D44" s="394">
        <f>A44+B44</f>
        <v>2</v>
      </c>
      <c r="E44" s="394"/>
      <c r="F44" s="55"/>
      <c r="G44" s="55" t="s">
        <v>264</v>
      </c>
      <c r="H44" s="5">
        <f>((A41*(B35-1))+D32)/B35</f>
        <v>50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551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1" t="s">
        <v>280</v>
      </c>
      <c r="B46" s="171"/>
      <c r="C46" s="171"/>
      <c r="D46" s="171"/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6"/>
      <c r="B47" s="171"/>
      <c r="C47" s="171"/>
      <c r="D47" s="171"/>
      <c r="E47" s="181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55"/>
      <c r="H48" s="5">
        <f>(A41*(B58+B57))</f>
        <v>600</v>
      </c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/>
      <c r="H49" s="20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5000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12</v>
      </c>
      <c r="B52" s="343">
        <f>H45</f>
        <v>551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IF(B99=Z101,1,IF(B99=Z102,1,IF(B99=Z103,3,IF(B99=Z104,6,IF(B99=Z105,9,IF(B99=Z106,12,IF(B99=Z107,3,IF(B99=Z108,6,IF(B99=Z109,9,0)))))))))</f>
        <v>9</v>
      </c>
      <c r="C57" s="158"/>
      <c r="D57" s="158"/>
      <c r="E57" s="159"/>
      <c r="F57" s="55"/>
      <c r="G57" s="157" t="s">
        <v>96</v>
      </c>
      <c r="H57" s="158">
        <f>IF(H99=Z101,1,IF(H99=Z102,1,IF(H99=Z103,3,IF(H99=Z104,6,IF(H99=Z105,9,IF(H99=Z106,12,IF(H99=Z107,3,IF(H99=Z108,6,IF(H99=Z109,9,0)))))))))</f>
        <v>1</v>
      </c>
      <c r="I57" s="158"/>
      <c r="J57" s="158"/>
      <c r="K57" s="159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IF(B99=Z101,H29-B57,IF(B99=Z102,H29-B57,IF(B99=Z103,H29-1,IF(B99=Z104,H29-1,IF(B99=Z105,H29-1,IF(B99=Z106,H29-1,IF(B99=Z107,H29-B57,IF(B99=Z108,H29-B57,IF(B99=Z109,H29-B57,0)))))))))</f>
        <v>3</v>
      </c>
      <c r="C58" s="158" t="s">
        <v>281</v>
      </c>
      <c r="D58" s="158"/>
      <c r="E58" s="159"/>
      <c r="F58" s="55"/>
      <c r="G58" s="157" t="s">
        <v>97</v>
      </c>
      <c r="H58" s="158">
        <f>IF(H99=Z101,H29-H57,IF(H99=Z102,H29-H57,IF(H99=Z103,H29-1,IF(H99=Z104,H29-1,IF(H99=Z105,H29-1,IF(H99=Z106,H29-1,IF(H99=Z107,H29-H57,IF(H99=Z108,H29-H57,IF(H99=Z109,H29-H57,0)))))))))</f>
        <v>11</v>
      </c>
      <c r="I58" s="158"/>
      <c r="J58" s="158"/>
      <c r="K58" s="159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 t="s">
        <v>282</v>
      </c>
      <c r="B60" s="158">
        <f>E19</f>
        <v>22200</v>
      </c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f>G18</f>
        <v>37405</v>
      </c>
      <c r="C61" s="158"/>
      <c r="D61" s="158"/>
      <c r="E61" s="159"/>
      <c r="F61" s="55"/>
      <c r="G61" s="157" t="s">
        <v>27</v>
      </c>
      <c r="H61" s="28">
        <f>G18</f>
        <v>37405</v>
      </c>
      <c r="I61" s="158"/>
      <c r="J61" s="158"/>
      <c r="K61" s="159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7.0000000000000007E-2</v>
      </c>
      <c r="C63" s="158"/>
      <c r="D63" s="158"/>
      <c r="E63" s="159"/>
      <c r="F63" s="55"/>
      <c r="G63" s="157" t="s">
        <v>284</v>
      </c>
      <c r="H63" s="214">
        <f>H62+(H62*0.25*(H29/12-1))</f>
        <v>7.0000000000000007E-2</v>
      </c>
      <c r="I63" s="158"/>
      <c r="J63" s="158"/>
      <c r="K63" s="159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B60*B63</f>
        <v>1554.0000000000002</v>
      </c>
      <c r="C64" s="158">
        <v>10000</v>
      </c>
      <c r="D64" s="28">
        <f>B64</f>
        <v>1554.0000000000002</v>
      </c>
      <c r="E64" s="159"/>
      <c r="F64" s="55"/>
      <c r="G64" s="206" t="s">
        <v>102</v>
      </c>
      <c r="H64" s="57">
        <f>H61*H63</f>
        <v>2618.3500000000004</v>
      </c>
      <c r="I64" s="158"/>
      <c r="J64" s="28">
        <f>H64</f>
        <v>2618.3500000000004</v>
      </c>
      <c r="K64" s="159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>
        <v>100</v>
      </c>
      <c r="C65" s="158"/>
      <c r="D65" s="158"/>
      <c r="E65" s="159"/>
      <c r="F65" s="55"/>
      <c r="G65" s="212" t="s">
        <v>103</v>
      </c>
      <c r="H65" s="213">
        <v>5.0000000000000001E-3</v>
      </c>
      <c r="I65" s="158"/>
      <c r="J65" s="158"/>
      <c r="K65" s="159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158"/>
      <c r="D66" s="158"/>
      <c r="E66" s="159"/>
      <c r="F66" s="55"/>
      <c r="G66" s="157" t="s">
        <v>104</v>
      </c>
      <c r="H66" s="214">
        <f>H65+(H65*0.5*(H29/12-1))</f>
        <v>5.0000000000000001E-3</v>
      </c>
      <c r="I66" s="158"/>
      <c r="J66" s="158"/>
      <c r="K66" s="159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100</v>
      </c>
      <c r="C67" s="158"/>
      <c r="D67" s="28"/>
      <c r="E67" s="159"/>
      <c r="F67" s="55"/>
      <c r="G67" s="206" t="s">
        <v>105</v>
      </c>
      <c r="H67" s="57">
        <f>H61*H66</f>
        <v>187.02500000000001</v>
      </c>
      <c r="I67" s="158"/>
      <c r="J67" s="28"/>
      <c r="K67" s="159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158"/>
      <c r="D68" s="15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200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60</v>
      </c>
      <c r="C73" s="158"/>
      <c r="D73" s="28">
        <f>B73+B71</f>
        <v>260</v>
      </c>
      <c r="E73" s="159"/>
      <c r="F73" s="55"/>
      <c r="G73" s="206" t="s">
        <v>111</v>
      </c>
      <c r="H73" s="57">
        <f>H72*H29</f>
        <v>54</v>
      </c>
      <c r="I73" s="158"/>
      <c r="J73" s="28">
        <f>H73+H71</f>
        <v>214</v>
      </c>
      <c r="K73" s="159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0</v>
      </c>
      <c r="C74" s="158"/>
      <c r="D74" s="158"/>
      <c r="E74" s="159"/>
      <c r="F74" s="55"/>
      <c r="G74" s="212" t="s">
        <v>285</v>
      </c>
      <c r="H74" s="74">
        <v>150</v>
      </c>
      <c r="I74" s="158"/>
      <c r="J74" s="158"/>
      <c r="K74" s="159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0</v>
      </c>
      <c r="C75" s="158"/>
      <c r="D75" s="158"/>
      <c r="E75" s="159"/>
      <c r="F75" s="55"/>
      <c r="G75" s="216" t="s">
        <v>286</v>
      </c>
      <c r="H75" s="65">
        <f>IF(G18&gt;40000,325,0)</f>
        <v>0</v>
      </c>
      <c r="I75" s="158"/>
      <c r="J75" s="158"/>
      <c r="K75" s="159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((B74+B75)/12)*(H29+1)</f>
        <v>0</v>
      </c>
      <c r="C76" s="158"/>
      <c r="D76" s="28">
        <f>B76</f>
        <v>0</v>
      </c>
      <c r="E76" s="159"/>
      <c r="F76" s="55"/>
      <c r="G76" s="206" t="s">
        <v>287</v>
      </c>
      <c r="H76" s="57">
        <f>((H74+H75)/12)*(H29-11)</f>
        <v>12.5</v>
      </c>
      <c r="I76" s="158"/>
      <c r="J76" s="28">
        <f>H76</f>
        <v>12.5</v>
      </c>
      <c r="K76" s="159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288</v>
      </c>
      <c r="B77" s="74">
        <f>B102/(1-0.1)</f>
        <v>444.44444444444446</v>
      </c>
      <c r="C77" s="158"/>
      <c r="D77" s="28">
        <f>B77</f>
        <v>444.44444444444446</v>
      </c>
      <c r="E77" s="159"/>
      <c r="F77" s="55"/>
      <c r="G77" s="212" t="s">
        <v>288</v>
      </c>
      <c r="H77" s="74">
        <f>H102</f>
        <v>1200</v>
      </c>
      <c r="I77" s="158"/>
      <c r="J77" s="28">
        <f>H77</f>
        <v>1200</v>
      </c>
      <c r="K77" s="159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158"/>
      <c r="D78" s="28">
        <f>B78</f>
        <v>222.22222222222223</v>
      </c>
      <c r="E78" s="159"/>
      <c r="F78" s="55"/>
      <c r="G78" s="157" t="s">
        <v>289</v>
      </c>
      <c r="H78" s="29">
        <f>J102</f>
        <v>0</v>
      </c>
      <c r="I78" s="158"/>
      <c r="J78" s="28">
        <f>H78</f>
        <v>0</v>
      </c>
      <c r="K78" s="159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200</v>
      </c>
      <c r="C79" s="158"/>
      <c r="D79" s="28">
        <f>B79</f>
        <v>200</v>
      </c>
      <c r="E79" s="159"/>
      <c r="F79" s="55"/>
      <c r="G79" s="216" t="s">
        <v>112</v>
      </c>
      <c r="H79" s="65">
        <v>100</v>
      </c>
      <c r="I79" s="158"/>
      <c r="J79" s="28">
        <f>H79</f>
        <v>100</v>
      </c>
      <c r="K79" s="159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200</v>
      </c>
      <c r="C80" s="158"/>
      <c r="D80" s="28">
        <f>B80</f>
        <v>200</v>
      </c>
      <c r="E80" s="159"/>
      <c r="F80" s="55"/>
      <c r="G80" s="219" t="s">
        <v>113</v>
      </c>
      <c r="H80" s="75">
        <v>100</v>
      </c>
      <c r="I80" s="158"/>
      <c r="J80" s="28">
        <f>H80</f>
        <v>100</v>
      </c>
      <c r="K80" s="159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2880.666666666667</v>
      </c>
      <c r="C81" s="158"/>
      <c r="D81" s="158"/>
      <c r="E81" s="159"/>
      <c r="F81" s="55"/>
      <c r="G81" s="220" t="s">
        <v>114</v>
      </c>
      <c r="H81" s="221">
        <f>SUM(J64:J80)</f>
        <v>4244.8500000000004</v>
      </c>
      <c r="I81" s="158"/>
      <c r="J81" s="158"/>
      <c r="K81" s="159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240.05555555555557</v>
      </c>
      <c r="C82" s="158"/>
      <c r="D82" s="158"/>
      <c r="E82" s="159"/>
      <c r="F82" s="55"/>
      <c r="G82" s="157" t="s">
        <v>115</v>
      </c>
      <c r="H82" s="29">
        <f>H81/H29</f>
        <v>353.73750000000001</v>
      </c>
      <c r="I82" s="158"/>
      <c r="J82" s="158"/>
      <c r="K82" s="159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H46</f>
        <v>501</v>
      </c>
      <c r="C83" s="158"/>
      <c r="D83" s="158"/>
      <c r="E83" s="159"/>
      <c r="F83" s="55"/>
      <c r="G83" s="222" t="s">
        <v>116</v>
      </c>
      <c r="H83" s="52">
        <f>H46</f>
        <v>501</v>
      </c>
      <c r="I83" s="158"/>
      <c r="J83" s="158"/>
      <c r="K83" s="159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158"/>
      <c r="D84" s="158"/>
      <c r="E84" s="159"/>
      <c r="F84" s="55"/>
      <c r="G84" s="157"/>
      <c r="H84" s="28"/>
      <c r="I84" s="158"/>
      <c r="J84" s="158"/>
      <c r="K84" s="159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((B83*(H29)+B81))</f>
        <v>8892.6666666666679</v>
      </c>
      <c r="C85" s="158"/>
      <c r="D85" s="158"/>
      <c r="E85" s="159"/>
      <c r="F85" s="55"/>
      <c r="G85" s="209" t="s">
        <v>126</v>
      </c>
      <c r="H85" s="24">
        <f>((H83*(H27+H28))+H81)*1.2</f>
        <v>12308.22</v>
      </c>
      <c r="I85" s="158"/>
      <c r="J85" s="158"/>
      <c r="K85" s="159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(B85/(1-B70))*B70</f>
        <v>75.331181928196884</v>
      </c>
      <c r="C86" s="158"/>
      <c r="D86" s="158"/>
      <c r="E86" s="159"/>
      <c r="F86" s="55"/>
      <c r="G86" s="157" t="s">
        <v>127</v>
      </c>
      <c r="H86" s="29">
        <f>(((H83*(H27+H28))+H81)/(1-H70))*H70</f>
        <v>86.887394110528462</v>
      </c>
      <c r="I86" s="158"/>
      <c r="J86" s="158"/>
      <c r="K86" s="159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8967.997848594865</v>
      </c>
      <c r="C87" s="158"/>
      <c r="D87" s="158"/>
      <c r="E87" s="159"/>
      <c r="F87" s="55"/>
      <c r="G87" s="206" t="s">
        <v>128</v>
      </c>
      <c r="H87" s="57">
        <f>IF(H110="YES",((H85+H86)-A151-K114),((H85+H86)-A151))</f>
        <v>12170.107394110528</v>
      </c>
      <c r="I87" s="158"/>
      <c r="J87" s="158"/>
      <c r="K87" s="159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158"/>
      <c r="D88" s="158"/>
      <c r="E88" s="159"/>
      <c r="F88" s="55"/>
      <c r="G88" s="157"/>
      <c r="H88" s="28"/>
      <c r="I88" s="158"/>
      <c r="J88" s="158"/>
      <c r="K88" s="159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3">
        <f>IF(B99=Z102,(((H44*B35)+(H44*B35)*(B105/100))/(B58)),(((H44*B35)+(H44*B35)*(B105/100))/(B57+B58)))</f>
        <v>65</v>
      </c>
      <c r="C89" s="158" t="s">
        <v>10</v>
      </c>
      <c r="D89" s="158"/>
      <c r="E89" s="159"/>
      <c r="F89" s="55"/>
      <c r="G89" s="220" t="s">
        <v>129</v>
      </c>
      <c r="H89" s="221">
        <f>(A41+(A41*H105))*1.2</f>
        <v>72</v>
      </c>
      <c r="I89" s="158"/>
      <c r="J89" s="158"/>
      <c r="K89" s="159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IF(B99=Z102,(B87-D105)/(B58),B87/(B57+B58))</f>
        <v>747.33315404957204</v>
      </c>
      <c r="C90" s="158"/>
      <c r="D90" s="158"/>
      <c r="E90" s="159"/>
      <c r="F90" s="55"/>
      <c r="G90" s="224" t="s">
        <v>130</v>
      </c>
      <c r="H90" s="225">
        <f>IF(H99=AE98,(H87-J105)/(H58),H87/(H57+H58))</f>
        <v>1014.1756161758773</v>
      </c>
      <c r="I90" s="158"/>
      <c r="K90" s="159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812.33315404957204</v>
      </c>
      <c r="C91" s="158"/>
      <c r="D91" s="158"/>
      <c r="E91" s="159"/>
      <c r="F91" s="55"/>
      <c r="G91" s="226" t="s">
        <v>131</v>
      </c>
      <c r="H91" s="227">
        <f>IF(G105="YES",H90+H89,H90)</f>
        <v>1086.1756161758772</v>
      </c>
      <c r="I91" s="158"/>
      <c r="J91" s="158"/>
      <c r="K91" s="159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207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46.5" customHeight="1">
      <c r="A94" s="376" t="s">
        <v>338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/>
      <c r="F95" s="55"/>
      <c r="G95" s="157"/>
      <c r="H95" s="158"/>
      <c r="I95" s="158"/>
      <c r="J95" s="158"/>
      <c r="K95" s="159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7" ht="18.75" customHeight="1">
      <c r="A97" s="157"/>
      <c r="B97" s="158"/>
      <c r="C97" s="158"/>
      <c r="D97" s="158"/>
      <c r="E97" s="159"/>
      <c r="F97" s="55"/>
      <c r="G97" s="157"/>
      <c r="H97" s="158"/>
      <c r="I97" s="158"/>
      <c r="J97" s="158"/>
      <c r="K97" s="159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7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7" ht="18.75" customHeight="1">
      <c r="A99" s="162" t="s">
        <v>292</v>
      </c>
      <c r="B99" s="395" t="s">
        <v>353</v>
      </c>
      <c r="C99" s="395"/>
      <c r="D99" s="348">
        <v>0</v>
      </c>
      <c r="E99" s="348"/>
      <c r="F99" s="55"/>
      <c r="G99" s="162" t="s">
        <v>292</v>
      </c>
      <c r="H99" s="395" t="s">
        <v>140</v>
      </c>
      <c r="I99" s="395"/>
      <c r="J99" s="348">
        <v>0</v>
      </c>
      <c r="K99" s="348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7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spans="1:27" ht="18.75" customHeight="1">
      <c r="A101" s="157" t="s">
        <v>293</v>
      </c>
      <c r="B101" s="158" t="s">
        <v>294</v>
      </c>
      <c r="C101" s="158"/>
      <c r="D101" s="158" t="s">
        <v>295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 t="s">
        <v>140</v>
      </c>
      <c r="AA101" s="55"/>
    </row>
    <row r="102" spans="1:27" ht="18.75" customHeight="1">
      <c r="A102" s="228">
        <v>750</v>
      </c>
      <c r="B102" s="348">
        <v>400</v>
      </c>
      <c r="C102" s="348"/>
      <c r="D102" s="348">
        <v>200</v>
      </c>
      <c r="E102" s="348"/>
      <c r="F102" s="55"/>
      <c r="G102" s="228">
        <f>199.99*1.2</f>
        <v>239.988</v>
      </c>
      <c r="H102" s="348">
        <v>1200</v>
      </c>
      <c r="I102" s="348"/>
      <c r="J102" s="348">
        <v>0</v>
      </c>
      <c r="K102" s="348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 t="s">
        <v>270</v>
      </c>
      <c r="AA102" s="55"/>
    </row>
    <row r="103" spans="1:27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Z103" s="55" t="s">
        <v>271</v>
      </c>
      <c r="AA103" s="55"/>
    </row>
    <row r="104" spans="1:27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Z104" s="55" t="s">
        <v>272</v>
      </c>
      <c r="AA104" s="55"/>
    </row>
    <row r="105" spans="1:27" ht="18.75" customHeight="1">
      <c r="A105" s="164" t="s">
        <v>385</v>
      </c>
      <c r="B105" s="395">
        <v>30</v>
      </c>
      <c r="C105" s="395"/>
      <c r="D105" s="348" t="s">
        <v>404</v>
      </c>
      <c r="E105" s="348"/>
      <c r="F105" s="55"/>
      <c r="G105" s="164" t="s">
        <v>31</v>
      </c>
      <c r="H105" s="396">
        <v>0.2</v>
      </c>
      <c r="I105" s="396"/>
      <c r="J105" s="348">
        <v>0</v>
      </c>
      <c r="K105" s="348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Z105" s="55" t="s">
        <v>273</v>
      </c>
      <c r="AA105" s="55"/>
    </row>
    <row r="106" spans="1:27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Z106" s="55" t="s">
        <v>274</v>
      </c>
      <c r="AA106" s="55"/>
    </row>
    <row r="107" spans="1:27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Z107" s="55" t="s">
        <v>275</v>
      </c>
      <c r="AA107" s="55"/>
    </row>
    <row r="108" spans="1:27" ht="18.75" customHeight="1">
      <c r="A108" s="377" t="s">
        <v>296</v>
      </c>
      <c r="B108" s="377">
        <v>0</v>
      </c>
      <c r="C108" s="377"/>
      <c r="D108" s="377">
        <v>0</v>
      </c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Z108" s="55" t="s">
        <v>276</v>
      </c>
      <c r="AA108" s="55"/>
    </row>
    <row r="109" spans="1:27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Z109" s="55" t="s">
        <v>277</v>
      </c>
    </row>
    <row r="110" spans="1:27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Z110" s="55"/>
    </row>
    <row r="111" spans="1:27" ht="18.75" customHeight="1">
      <c r="A111" s="157"/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Z111" s="55"/>
    </row>
    <row r="112" spans="1:27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10000</v>
      </c>
      <c r="K112" s="92">
        <v>5000</v>
      </c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7000</v>
      </c>
      <c r="K113" s="92">
        <v>7000</v>
      </c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3000</v>
      </c>
      <c r="K114" s="127">
        <f>K112-K113</f>
        <v>-2000</v>
      </c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5000</v>
      </c>
      <c r="K115" s="159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f>D99</f>
        <v>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f>A102</f>
        <v>750</v>
      </c>
      <c r="F118" s="55"/>
      <c r="G118" s="157" t="s">
        <v>66</v>
      </c>
      <c r="H118" s="158"/>
      <c r="I118" s="158"/>
      <c r="J118" s="158"/>
      <c r="K118" s="29">
        <f>G102</f>
        <v>239.988</v>
      </c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((E118*1.2)+E117)-E114</f>
        <v>900</v>
      </c>
      <c r="F119" s="55"/>
      <c r="G119" s="229" t="s">
        <v>298</v>
      </c>
      <c r="H119" s="207"/>
      <c r="I119" s="207"/>
      <c r="J119" s="207"/>
      <c r="K119" s="57">
        <f>(K118+K117)-J115</f>
        <v>-4760.0119999999997</v>
      </c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12</v>
      </c>
      <c r="C125" s="236"/>
      <c r="D125" s="235">
        <f>B160</f>
        <v>5000</v>
      </c>
      <c r="E125" s="233"/>
      <c r="F125" s="55"/>
      <c r="G125" s="157"/>
      <c r="H125" s="158"/>
      <c r="I125" s="158"/>
      <c r="J125" s="158"/>
      <c r="K125" s="159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157" t="s">
        <v>94</v>
      </c>
      <c r="H126" s="158" t="s">
        <v>95</v>
      </c>
      <c r="I126" s="158"/>
      <c r="J126" s="158" t="s">
        <v>97</v>
      </c>
      <c r="K126" s="159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169">
        <f>G152</f>
        <v>12</v>
      </c>
      <c r="H127" s="170">
        <f>A152</f>
        <v>0</v>
      </c>
      <c r="I127" s="171"/>
      <c r="J127" s="170">
        <f>B151</f>
        <v>0</v>
      </c>
      <c r="K127" s="159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747.33315404957204</v>
      </c>
      <c r="B128" s="232">
        <f>IF(A105="YES",B89,0)</f>
        <v>65</v>
      </c>
      <c r="C128" s="237"/>
      <c r="D128" s="232">
        <f>B91</f>
        <v>812.33315404957204</v>
      </c>
      <c r="E128" s="233"/>
      <c r="F128" s="55"/>
      <c r="G128" s="157"/>
      <c r="H128" s="158"/>
      <c r="I128" s="158"/>
      <c r="J128" s="158"/>
      <c r="K128" s="159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7" ht="18.75" customHeight="1">
      <c r="A129" s="157"/>
      <c r="B129" s="158"/>
      <c r="C129" s="158"/>
      <c r="D129" s="158"/>
      <c r="E129" s="159"/>
      <c r="F129" s="55"/>
      <c r="G129" s="238" t="s">
        <v>302</v>
      </c>
      <c r="H129" s="239" t="s">
        <v>303</v>
      </c>
      <c r="I129" s="239"/>
      <c r="J129" s="239" t="s">
        <v>304</v>
      </c>
      <c r="K129" s="159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7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242">
        <f>H90</f>
        <v>1014.1756161758773</v>
      </c>
      <c r="H130" s="133">
        <f>IF(G105="YES",H89*H57,0)</f>
        <v>72</v>
      </c>
      <c r="I130" s="133"/>
      <c r="J130" s="243">
        <f>H91</f>
        <v>1086.1756161758772</v>
      </c>
      <c r="K130" s="90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7" ht="18.75" customHeight="1">
      <c r="A131" s="244" t="str">
        <f>B99</f>
        <v xml:space="preserve"> Terminal pause with 9 down </v>
      </c>
      <c r="B131" s="34">
        <f>B90*B57</f>
        <v>6725.9983864461483</v>
      </c>
      <c r="C131" s="158"/>
      <c r="D131" s="34">
        <f>IF(A105="YES",B89*B57,0)</f>
        <v>585</v>
      </c>
      <c r="E131" s="159"/>
      <c r="F131" s="55"/>
      <c r="G131" s="157"/>
      <c r="H131" s="158"/>
      <c r="I131" s="158"/>
      <c r="J131" s="158"/>
      <c r="K131" s="159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7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7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1014.1756161758773</v>
      </c>
      <c r="H133" s="34">
        <f>IF(G105="YES",H89*H57,0)</f>
        <v>72</v>
      </c>
      <c r="I133" s="163"/>
      <c r="J133" s="137">
        <f>H91*H57</f>
        <v>1086.1756161758772</v>
      </c>
      <c r="K133" s="159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7" ht="18.75" customHeight="1">
      <c r="A134" s="94">
        <f>B91*B57</f>
        <v>7310.9983864461483</v>
      </c>
      <c r="B134" s="34">
        <f>E114</f>
        <v>0</v>
      </c>
      <c r="C134" s="158"/>
      <c r="D134" s="245">
        <f>B58</f>
        <v>3</v>
      </c>
      <c r="E134" s="159"/>
      <c r="F134" s="55"/>
      <c r="G134" s="157"/>
      <c r="H134" s="158"/>
      <c r="I134" s="158"/>
      <c r="J134" s="158"/>
      <c r="K134" s="159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7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7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</v>
      </c>
      <c r="H136" s="34">
        <f>IF(G105="YES",E15*0.000002,0)</f>
        <v>0</v>
      </c>
      <c r="I136" s="34"/>
      <c r="J136" s="34">
        <f>G136+H136</f>
        <v>0</v>
      </c>
      <c r="K136" s="90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7" ht="18.75" customHeight="1">
      <c r="A137" s="94">
        <f>B90</f>
        <v>747.33315404957204</v>
      </c>
      <c r="B137" s="34">
        <f>IF(A105="YES",B89,0)</f>
        <v>65</v>
      </c>
      <c r="C137" s="158"/>
      <c r="D137" s="34">
        <f>B91</f>
        <v>812.33315404957204</v>
      </c>
      <c r="E137" s="159"/>
      <c r="F137" s="55"/>
      <c r="G137" s="157"/>
      <c r="H137" s="158"/>
      <c r="I137" s="158"/>
      <c r="J137" s="158"/>
      <c r="K137" s="159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7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7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239.988</v>
      </c>
      <c r="H139" s="34">
        <f>H67</f>
        <v>187.02500000000001</v>
      </c>
      <c r="I139" s="34"/>
      <c r="J139" s="34">
        <f>H102*0.9</f>
        <v>1080</v>
      </c>
      <c r="K139" s="90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7" ht="18.75" customHeight="1">
      <c r="A140" s="250">
        <f>(G18*0.000006)*100</f>
        <v>22.443000000000001</v>
      </c>
      <c r="B140" s="251">
        <f>G18*0.000002*100</f>
        <v>7.4809999999999999</v>
      </c>
      <c r="C140" s="252"/>
      <c r="D140" s="251">
        <f>A140+B140</f>
        <v>29.923999999999999</v>
      </c>
      <c r="E140" s="159"/>
      <c r="F140" s="55"/>
      <c r="G140" s="157"/>
      <c r="H140" s="158"/>
      <c r="I140" s="158"/>
      <c r="J140" s="158"/>
      <c r="K140" s="159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7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7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IF(G105="YES",H89*0.1,0)</f>
        <v>7.2</v>
      </c>
      <c r="H142" s="34">
        <f>G102-100</f>
        <v>139.988</v>
      </c>
      <c r="I142" s="34"/>
      <c r="J142" s="34">
        <f>(H139+J139+G142+H142)-H145</f>
        <v>1414.2130000000002</v>
      </c>
      <c r="K142" s="90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7" ht="18.75" customHeight="1">
      <c r="A143" s="94">
        <v>0</v>
      </c>
      <c r="B143" s="34">
        <f>E118</f>
        <v>750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7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f>IF((1200-H102)&lt;=0,0,(1200-H102))</f>
        <v>0</v>
      </c>
      <c r="H145" s="34">
        <f>(H139+J139+G142+H142)*(G145/H64)</f>
        <v>0</v>
      </c>
      <c r="I145" s="158"/>
      <c r="J145" s="158"/>
      <c r="K145" s="159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100</v>
      </c>
      <c r="B148" s="34">
        <f>B102</f>
        <v>400</v>
      </c>
      <c r="C148" s="34"/>
      <c r="D148" s="34">
        <f>IF(A105="YES",(A41*B105)*B125,0)*0.001</f>
        <v>18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225</v>
      </c>
      <c r="B151" s="34">
        <f>(A148+B148+D148+A151)*(A143/B64)</f>
        <v>0</v>
      </c>
      <c r="C151" s="34"/>
      <c r="D151" s="34">
        <f>(A148+B148+D148+A151)-B151-A154</f>
        <v>543</v>
      </c>
      <c r="E151" s="90"/>
      <c r="F151" s="55"/>
      <c r="G151" s="387"/>
      <c r="H151" s="389">
        <f>B51</f>
        <v>5000</v>
      </c>
      <c r="I151" s="389"/>
      <c r="J151" s="158"/>
      <c r="K151" s="159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12</v>
      </c>
      <c r="H152" s="343">
        <f>H91</f>
        <v>1086.1756161758772</v>
      </c>
      <c r="I152" s="343"/>
      <c r="J152" s="158"/>
      <c r="K152" s="159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9.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5000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12</v>
      </c>
      <c r="B161" s="343">
        <f>B91</f>
        <v>812.33315404957204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97" t="s">
        <v>299</v>
      </c>
      <c r="B165" s="397"/>
      <c r="C165" s="397"/>
      <c r="D165" s="397"/>
      <c r="E165" s="397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157"/>
      <c r="B166" s="158"/>
      <c r="C166" s="158"/>
      <c r="D166" s="158"/>
      <c r="E166" s="159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230" t="s">
        <v>137</v>
      </c>
      <c r="B167" s="231" t="s">
        <v>52</v>
      </c>
      <c r="C167" s="232"/>
      <c r="D167" s="231" t="s">
        <v>95</v>
      </c>
      <c r="E167" s="233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234" t="s">
        <v>292</v>
      </c>
      <c r="B168" s="259">
        <f>A161</f>
        <v>12</v>
      </c>
      <c r="C168" s="236"/>
      <c r="D168" s="232">
        <f>B160</f>
        <v>5000</v>
      </c>
      <c r="E168" s="233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230"/>
      <c r="B169" s="231"/>
      <c r="C169" s="231"/>
      <c r="D169" s="231"/>
      <c r="E169" s="233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230" t="s">
        <v>130</v>
      </c>
      <c r="B170" s="231" t="s">
        <v>300</v>
      </c>
      <c r="C170" s="232"/>
      <c r="D170" s="231" t="s">
        <v>301</v>
      </c>
      <c r="E170" s="233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234">
        <f>B90</f>
        <v>747.33315404957204</v>
      </c>
      <c r="B171" s="232">
        <f>IF(A105="YES",B89,0)</f>
        <v>65</v>
      </c>
      <c r="C171" s="237"/>
      <c r="D171" s="232">
        <f>B91</f>
        <v>812.33315404957204</v>
      </c>
      <c r="E171" s="233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40" t="s">
        <v>36</v>
      </c>
      <c r="B173" s="241" t="s">
        <v>305</v>
      </c>
      <c r="C173" s="171"/>
      <c r="D173" s="241" t="s">
        <v>306</v>
      </c>
      <c r="E173" s="159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44" t="str">
        <f>B99</f>
        <v xml:space="preserve"> Terminal pause with 9 down </v>
      </c>
      <c r="B174" s="34">
        <f>B90*B57</f>
        <v>6725.9983864461483</v>
      </c>
      <c r="C174" s="158"/>
      <c r="D174" s="34">
        <f>IF(A105="YES",B89*B57,0)</f>
        <v>585</v>
      </c>
      <c r="E174" s="159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157"/>
      <c r="B175" s="158"/>
      <c r="C175" s="158"/>
      <c r="D175" s="158"/>
      <c r="E175" s="159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93" t="s">
        <v>310</v>
      </c>
      <c r="B176" s="35" t="s">
        <v>311</v>
      </c>
      <c r="C176" s="163"/>
      <c r="D176" s="179" t="s">
        <v>218</v>
      </c>
      <c r="E176" s="159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94">
        <f>B91*B57</f>
        <v>7310.9983864461483</v>
      </c>
      <c r="B177" s="34">
        <f>E114</f>
        <v>0</v>
      </c>
      <c r="C177" s="158"/>
      <c r="D177" s="245">
        <f>B58</f>
        <v>3</v>
      </c>
      <c r="E177" s="159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94"/>
      <c r="B178" s="246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53" t="s">
        <v>130</v>
      </c>
      <c r="B179" s="247" t="s">
        <v>300</v>
      </c>
      <c r="C179" s="158"/>
      <c r="D179" s="158" t="s">
        <v>301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94">
        <f>B90</f>
        <v>747.33315404957204</v>
      </c>
      <c r="B180" s="34">
        <f>IF(A105="YES",B89,0)</f>
        <v>65</v>
      </c>
      <c r="C180" s="158"/>
      <c r="D180" s="34">
        <f>B91</f>
        <v>812.33315404957204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248" t="s">
        <v>80</v>
      </c>
      <c r="B182" s="249" t="s">
        <v>318</v>
      </c>
      <c r="C182" s="34"/>
      <c r="D182" s="249" t="s">
        <v>85</v>
      </c>
      <c r="E182" s="90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250">
        <f>(G18*0.000006)*100</f>
        <v>22.443000000000001</v>
      </c>
      <c r="B183" s="251">
        <f>G18*0.000002*100</f>
        <v>7.4809999999999999</v>
      </c>
      <c r="C183" s="252"/>
      <c r="D183" s="251">
        <f>A183+B183</f>
        <v>29.923999999999999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253"/>
      <c r="B184" s="254"/>
      <c r="C184" s="158"/>
      <c r="D184" s="254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248" t="s">
        <v>322</v>
      </c>
      <c r="B185" s="249" t="s">
        <v>66</v>
      </c>
      <c r="C185" s="34"/>
      <c r="D185" s="249" t="s">
        <v>288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v>0</v>
      </c>
      <c r="B186" s="34">
        <f>E118</f>
        <v>750</v>
      </c>
      <c r="C186" s="158"/>
      <c r="D186" s="119">
        <f>B102</f>
        <v>400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94"/>
      <c r="B187" s="34"/>
      <c r="C187" s="158"/>
      <c r="D187" s="34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55" t="s">
        <v>325</v>
      </c>
      <c r="B188" s="256"/>
      <c r="C188" s="257"/>
      <c r="D188" s="256"/>
      <c r="E188" s="258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3"/>
      <c r="B189" s="254"/>
      <c r="C189" s="158"/>
      <c r="D189" s="254"/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157" t="s">
        <v>326</v>
      </c>
      <c r="B190" s="158" t="s">
        <v>327</v>
      </c>
      <c r="C190" s="158"/>
      <c r="D190" s="158" t="s">
        <v>328</v>
      </c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94">
        <f>B67</f>
        <v>100</v>
      </c>
      <c r="B191" s="34">
        <f>B102</f>
        <v>400</v>
      </c>
      <c r="C191" s="34"/>
      <c r="D191" s="34">
        <f>IF(A105="YES",(A38/100*B105)*B125,0)*0.001</f>
        <v>18</v>
      </c>
      <c r="E191" s="90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157"/>
      <c r="B192" s="158"/>
      <c r="C192" s="158"/>
      <c r="D192" s="158"/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157" t="s">
        <v>330</v>
      </c>
      <c r="B193" s="158" t="s">
        <v>324</v>
      </c>
      <c r="C193" s="158"/>
      <c r="D193" s="158" t="s">
        <v>321</v>
      </c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94">
        <f>A151</f>
        <v>225</v>
      </c>
      <c r="B194" s="34">
        <f>(A148+B148+D148+A151)*(A143/B64)</f>
        <v>0</v>
      </c>
      <c r="C194" s="34"/>
      <c r="D194" s="34">
        <f>D151</f>
        <v>543</v>
      </c>
      <c r="E194" s="90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157"/>
      <c r="B195" s="158"/>
      <c r="C195" s="158"/>
      <c r="D195" s="158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331</v>
      </c>
      <c r="B196" s="158"/>
      <c r="C196" s="158"/>
      <c r="D196" s="158"/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D102</f>
        <v>200</v>
      </c>
      <c r="B197" s="34"/>
      <c r="C197" s="158"/>
      <c r="D197" s="158"/>
      <c r="E197" s="159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206"/>
      <c r="B198" s="207"/>
      <c r="C198" s="207"/>
      <c r="D198" s="207"/>
      <c r="E198" s="208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397" t="s">
        <v>224</v>
      </c>
      <c r="B201" s="397"/>
      <c r="C201" s="397"/>
      <c r="D201" s="397"/>
      <c r="E201" s="397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/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230" t="s">
        <v>225</v>
      </c>
      <c r="B203" s="260">
        <f>H29</f>
        <v>12</v>
      </c>
      <c r="C203" s="232" t="s">
        <v>227</v>
      </c>
      <c r="D203" s="261">
        <f>D64</f>
        <v>1554.0000000000002</v>
      </c>
      <c r="E203" s="233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34"/>
      <c r="B204" s="235"/>
      <c r="C204" s="236"/>
      <c r="D204" s="235"/>
      <c r="E204" s="233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230" t="s">
        <v>228</v>
      </c>
      <c r="B205" s="232">
        <f>B213</f>
        <v>100</v>
      </c>
      <c r="C205" s="231" t="s">
        <v>229</v>
      </c>
      <c r="D205" s="261">
        <f>B219+E215+B215+B217</f>
        <v>645</v>
      </c>
      <c r="E205" s="233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230"/>
      <c r="B206" s="262"/>
      <c r="C206" s="232"/>
      <c r="D206" s="231"/>
      <c r="E206" s="233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234" t="s">
        <v>230</v>
      </c>
      <c r="B207" s="232">
        <f>E217</f>
        <v>2099</v>
      </c>
      <c r="C207" s="236"/>
      <c r="D207" s="232"/>
      <c r="E207" s="233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247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169" t="s">
        <v>225</v>
      </c>
      <c r="B209" s="263">
        <v>6.5000000000000002E-2</v>
      </c>
      <c r="C209" s="171"/>
      <c r="D209" s="241"/>
      <c r="E209" s="159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44"/>
      <c r="B210" s="35"/>
      <c r="C210" s="158"/>
      <c r="D210" s="34"/>
      <c r="E210" s="159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162" t="s">
        <v>227</v>
      </c>
      <c r="B211" s="89">
        <f>D64</f>
        <v>1554.0000000000002</v>
      </c>
      <c r="C211" s="178" t="s">
        <v>233</v>
      </c>
      <c r="D211" s="158"/>
      <c r="E211" s="214">
        <f>B66</f>
        <v>0</v>
      </c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138"/>
      <c r="B212" s="35"/>
      <c r="C212" s="163"/>
      <c r="D212" s="179"/>
      <c r="E212" s="159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94" t="s">
        <v>233</v>
      </c>
      <c r="B213" s="89">
        <f>B67</f>
        <v>100</v>
      </c>
      <c r="C213" s="163" t="s">
        <v>332</v>
      </c>
      <c r="D213" s="245"/>
      <c r="E213" s="72">
        <v>1E-3</v>
      </c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94"/>
      <c r="B214" s="247"/>
      <c r="C214" s="163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94" t="s">
        <v>332</v>
      </c>
      <c r="B215" s="179">
        <f>B191*E213*100</f>
        <v>40</v>
      </c>
      <c r="C215" s="163" t="s">
        <v>235</v>
      </c>
      <c r="D215" s="158"/>
      <c r="E215" s="29">
        <f>A194</f>
        <v>225</v>
      </c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94"/>
      <c r="B216" s="35"/>
      <c r="C216" s="163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333</v>
      </c>
      <c r="B217" s="179">
        <f>B78-(B78*(E213*100))</f>
        <v>200</v>
      </c>
      <c r="C217" s="163" t="s">
        <v>230</v>
      </c>
      <c r="D217" s="158"/>
      <c r="E217" s="29">
        <f>(B211-B205+D205)</f>
        <v>2099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264"/>
      <c r="B218" s="249"/>
      <c r="C218" s="34"/>
      <c r="D218" s="249"/>
      <c r="E218" s="127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264" t="s">
        <v>334</v>
      </c>
      <c r="B219" s="249">
        <f>D191/0.1</f>
        <v>180</v>
      </c>
      <c r="C219" s="34"/>
      <c r="D219" s="249"/>
      <c r="E219" s="127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264"/>
      <c r="B220" s="249"/>
      <c r="C220" s="34"/>
      <c r="D220" s="249"/>
      <c r="E220" s="127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255" t="s">
        <v>335</v>
      </c>
      <c r="B221" s="265"/>
      <c r="C221" s="257"/>
      <c r="D221" s="256"/>
      <c r="E221" s="258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253"/>
      <c r="B222" s="266"/>
      <c r="C222" s="158"/>
      <c r="D222" s="25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253" t="s">
        <v>237</v>
      </c>
      <c r="B223" s="89">
        <f>B71</f>
        <v>200</v>
      </c>
      <c r="C223" s="163" t="s">
        <v>238</v>
      </c>
      <c r="D223" s="254"/>
      <c r="E223" s="118">
        <f>B72</f>
        <v>5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53"/>
      <c r="B224" s="266"/>
      <c r="C224" s="163" t="s">
        <v>239</v>
      </c>
      <c r="D224" s="254"/>
      <c r="E224" s="29">
        <f>D73</f>
        <v>260</v>
      </c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53" t="s">
        <v>240</v>
      </c>
      <c r="B225" s="267">
        <f>B68</f>
        <v>7.4999999999999997E-3</v>
      </c>
      <c r="C225" s="163" t="s">
        <v>241</v>
      </c>
      <c r="D225" s="254"/>
      <c r="E225" s="214">
        <f>B69</f>
        <v>0.12</v>
      </c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53"/>
      <c r="B226" s="266"/>
      <c r="C226" s="163" t="s">
        <v>242</v>
      </c>
      <c r="D226" s="254"/>
      <c r="E226" s="29">
        <f>B86</f>
        <v>75.331181928196884</v>
      </c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3" t="s">
        <v>243</v>
      </c>
      <c r="B227" s="89">
        <f>B79</f>
        <v>200</v>
      </c>
      <c r="C227" s="268" t="s">
        <v>336</v>
      </c>
      <c r="D227" s="269"/>
      <c r="E227" s="118">
        <f>B74</f>
        <v>0</v>
      </c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162"/>
      <c r="B228" s="247"/>
      <c r="C228" s="268"/>
      <c r="D228" s="270"/>
      <c r="E228" s="271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94" t="s">
        <v>244</v>
      </c>
      <c r="B229" s="89">
        <f>B80</f>
        <v>200</v>
      </c>
      <c r="C229" s="272" t="s">
        <v>337</v>
      </c>
      <c r="D229" s="272"/>
      <c r="E229" s="118">
        <f>B75</f>
        <v>0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157"/>
      <c r="B230" s="158"/>
      <c r="C230" s="158"/>
      <c r="D230" s="158"/>
      <c r="E230" s="159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157"/>
      <c r="B231" s="158"/>
      <c r="C231" s="158"/>
      <c r="D231" s="158"/>
      <c r="E231" s="159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94"/>
      <c r="B232" s="34"/>
      <c r="C232" s="34"/>
      <c r="D232" s="34"/>
      <c r="E232" s="90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157"/>
      <c r="B233" s="158"/>
      <c r="C233" s="158"/>
      <c r="D233" s="158"/>
      <c r="E233" s="159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57"/>
      <c r="B234" s="158"/>
      <c r="C234" s="158"/>
      <c r="D234" s="158"/>
      <c r="E234" s="159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/>
      <c r="B235" s="34"/>
      <c r="C235" s="158"/>
      <c r="D235" s="158"/>
      <c r="E235" s="159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206"/>
      <c r="B236" s="207"/>
      <c r="C236" s="207"/>
      <c r="D236" s="207"/>
      <c r="E236" s="208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6">
    <mergeCell ref="B161:C161"/>
    <mergeCell ref="A165:E165"/>
    <mergeCell ref="A201:E201"/>
    <mergeCell ref="G150:G151"/>
    <mergeCell ref="H150:I150"/>
    <mergeCell ref="H151:I151"/>
    <mergeCell ref="H152:I152"/>
    <mergeCell ref="A159:A160"/>
    <mergeCell ref="B159:C159"/>
    <mergeCell ref="B160:C160"/>
    <mergeCell ref="A108:E108"/>
    <mergeCell ref="G108:K108"/>
    <mergeCell ref="A122:E122"/>
    <mergeCell ref="G122:K122"/>
    <mergeCell ref="H124:I124"/>
    <mergeCell ref="B102:C102"/>
    <mergeCell ref="D102:E102"/>
    <mergeCell ref="H102:I102"/>
    <mergeCell ref="J102:K102"/>
    <mergeCell ref="B105:C105"/>
    <mergeCell ref="D105:E105"/>
    <mergeCell ref="H105:I105"/>
    <mergeCell ref="J105:K105"/>
    <mergeCell ref="G94:K94"/>
    <mergeCell ref="A96:E96"/>
    <mergeCell ref="G96:K96"/>
    <mergeCell ref="B99:C99"/>
    <mergeCell ref="D99:E99"/>
    <mergeCell ref="H99:I99"/>
    <mergeCell ref="J99:K99"/>
    <mergeCell ref="A50:A51"/>
    <mergeCell ref="B50:C50"/>
    <mergeCell ref="B51:C51"/>
    <mergeCell ref="B52:C52"/>
    <mergeCell ref="A94:E94"/>
    <mergeCell ref="B41:C41"/>
    <mergeCell ref="D41:E41"/>
    <mergeCell ref="G42:H42"/>
    <mergeCell ref="B44:C44"/>
    <mergeCell ref="D44:E44"/>
    <mergeCell ref="B32:C32"/>
    <mergeCell ref="D32:E32"/>
    <mergeCell ref="B35:C35"/>
    <mergeCell ref="D35:E35"/>
    <mergeCell ref="B38:C38"/>
    <mergeCell ref="D38:E38"/>
    <mergeCell ref="A24:E24"/>
    <mergeCell ref="A26:E26"/>
    <mergeCell ref="B29:C29"/>
    <mergeCell ref="D29:E29"/>
    <mergeCell ref="B30:C30"/>
    <mergeCell ref="A1:F1"/>
    <mergeCell ref="D7:E18"/>
    <mergeCell ref="A16:C18"/>
    <mergeCell ref="A19:D19"/>
    <mergeCell ref="A21:D21"/>
  </mergeCells>
  <dataValidations count="2">
    <dataValidation type="list" allowBlank="1" showErrorMessage="1" sqref="B38 A105 B110" xr:uid="{00000000-0002-0000-2C00-000001000000}">
      <formula1>"NO,YES"</formula1>
      <formula2>0</formula2>
    </dataValidation>
    <dataValidation type="list" allowBlank="1" showErrorMessage="1" sqref="H99 N99:O99 G105 M105 O107 H110 N110" xr:uid="{00000000-0002-0000-2C00-000002000000}">
      <formula1>#REF!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2C00-000000000000}">
          <x14:formula1>
            <xm:f>'BCH (Formula 3) - BCH'!$Z$101:$Z$109</xm:f>
          </x14:formula1>
          <x14:formula2>
            <xm:f>0</xm:f>
          </x14:formula2>
          <xm:sqref>A32 B99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AC1002"/>
  <sheetViews>
    <sheetView topLeftCell="A175" zoomScale="110" zoomScaleNormal="110" workbookViewId="0">
      <selection activeCell="D201" sqref="D201"/>
    </sheetView>
  </sheetViews>
  <sheetFormatPr defaultColWidth="10.875" defaultRowHeight="14.25"/>
  <cols>
    <col min="1" max="1" customWidth="true" width="56.0"/>
    <col min="2" max="2" customWidth="true" width="18.125"/>
    <col min="3" max="3" customWidth="true" width="25.125"/>
    <col min="4" max="4" customWidth="true" width="18.125"/>
    <col min="5" max="5" customWidth="true" width="24.0"/>
    <col min="7" max="7" customWidth="true" width="53.5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38.2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>
        <v>25000</v>
      </c>
      <c r="H3" s="55"/>
      <c r="I3" s="55" t="s">
        <v>31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55"/>
      <c r="H4" s="55"/>
      <c r="I4" s="55" t="s">
        <v>32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297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>
      <c r="A8" s="196"/>
      <c r="B8" s="55"/>
      <c r="C8" s="55"/>
      <c r="D8" s="392"/>
      <c r="E8" s="392"/>
      <c r="F8" s="55"/>
      <c r="G8" s="298" t="e">
        <f>G9*100/B3</f>
        <v>#DIV/0!</v>
      </c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 t="n">
        <v>17875.0</v>
      </c>
      <c r="C9" s="11">
        <f>B9*0.2</f>
        <v>3700</v>
      </c>
      <c r="D9" s="392"/>
      <c r="E9" s="392"/>
      <c r="F9" s="55"/>
      <c r="G9" s="297">
        <f>E9-G11</f>
        <v>-152558.33333333334</v>
      </c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297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 t="n">
        <v>0.0</v>
      </c>
      <c r="C11" s="15">
        <f>B11*0.2</f>
        <v>0</v>
      </c>
      <c r="D11" s="392"/>
      <c r="E11" s="392"/>
      <c r="F11" s="55"/>
      <c r="G11" s="297">
        <f>G13/1.2</f>
        <v>152558.33333333334</v>
      </c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 t="n">
        <v>0.0</v>
      </c>
      <c r="C13" s="11"/>
      <c r="D13" s="392"/>
      <c r="E13" s="392"/>
      <c r="F13" s="55"/>
      <c r="G13" s="297">
        <f>G15-E14-E13-E12</f>
        <v>183070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7">
        <v>183070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299">
        <f>(B3+C3+E10)*1.2</f>
        <v>0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17">
        <f>(B3+C3+D3+E3+E10)*1.2</f>
        <v>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354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162" t="s">
        <v>138</v>
      </c>
      <c r="B26" s="164" t="s">
        <v>385</v>
      </c>
      <c r="C26" s="158"/>
      <c r="D26" s="158"/>
      <c r="E26" s="159"/>
      <c r="F26" s="55"/>
      <c r="G26" s="160" t="s">
        <v>36</v>
      </c>
      <c r="H26" s="160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38</v>
      </c>
      <c r="H27" s="161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377" t="s">
        <v>192</v>
      </c>
      <c r="B28" s="377"/>
      <c r="C28" s="377"/>
      <c r="D28" s="377"/>
      <c r="E28" s="377"/>
      <c r="F28" s="55"/>
      <c r="G28" s="161" t="s">
        <v>40</v>
      </c>
      <c r="H28" s="16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57"/>
      <c r="B29" s="158"/>
      <c r="C29" s="158"/>
      <c r="D29" s="158"/>
      <c r="E29" s="159"/>
      <c r="F29" s="55"/>
      <c r="G29" s="160" t="s">
        <v>41</v>
      </c>
      <c r="H29" s="300">
        <v>36</v>
      </c>
      <c r="I29" s="273"/>
      <c r="J29" s="55"/>
      <c r="K29" s="55">
        <v>36</v>
      </c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 t="s">
        <v>193</v>
      </c>
      <c r="B30" s="368" t="s">
        <v>387</v>
      </c>
      <c r="C30" s="368"/>
      <c r="D30" s="158"/>
      <c r="E30" s="159"/>
      <c r="F30" s="55"/>
      <c r="G30" s="160" t="s">
        <v>45</v>
      </c>
      <c r="H30" s="300">
        <v>10000</v>
      </c>
      <c r="I30" s="55"/>
      <c r="J30" s="55"/>
      <c r="K30" s="55">
        <v>10000</v>
      </c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57"/>
      <c r="B31" s="158"/>
      <c r="C31" s="158"/>
      <c r="D31" s="158"/>
      <c r="E31" s="159"/>
      <c r="F31" s="55"/>
      <c r="G31" s="160" t="s">
        <v>48</v>
      </c>
      <c r="H31" s="37">
        <v>66666.666666666672</v>
      </c>
      <c r="I31" s="55"/>
      <c r="J31" s="55"/>
      <c r="K31" s="55">
        <v>66666.666666666701</v>
      </c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57" t="s">
        <v>94</v>
      </c>
      <c r="B32" s="158" t="s">
        <v>95</v>
      </c>
      <c r="C32" s="158"/>
      <c r="D32" s="301" t="s">
        <v>355</v>
      </c>
      <c r="E32" s="159"/>
      <c r="F32" s="55"/>
      <c r="G32" s="160" t="s">
        <v>49</v>
      </c>
      <c r="I32" s="37">
        <v>6000</v>
      </c>
      <c r="J32" s="55"/>
      <c r="K32" s="55">
        <v>6000</v>
      </c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31.7" customHeight="1">
      <c r="A33" s="169">
        <f>A52</f>
        <v>36</v>
      </c>
      <c r="B33" s="170">
        <v>10000</v>
      </c>
      <c r="C33" s="171"/>
      <c r="D33" s="302">
        <f>H48</f>
        <v>198.73326337136808</v>
      </c>
      <c r="E33" s="159"/>
      <c r="F33" s="55"/>
      <c r="G33" s="161" t="s">
        <v>356</v>
      </c>
      <c r="H33" s="43">
        <f>E21-E11</f>
        <v>18500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57"/>
      <c r="B34" s="158"/>
      <c r="C34" s="158"/>
      <c r="D34" s="158"/>
      <c r="E34" s="159"/>
      <c r="F34" s="55"/>
      <c r="G34" s="55" t="s">
        <v>372</v>
      </c>
      <c r="H34" s="55">
        <f>H29</f>
        <v>36</v>
      </c>
      <c r="I34" s="55">
        <v>43957.29</v>
      </c>
      <c r="J34" s="55">
        <v>841.24</v>
      </c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57" t="s">
        <v>357</v>
      </c>
      <c r="B35" s="158" t="s">
        <v>358</v>
      </c>
      <c r="C35" s="158"/>
      <c r="D35" s="158" t="s">
        <v>359</v>
      </c>
      <c r="E35" s="159"/>
      <c r="F35" s="55"/>
      <c r="G35" s="46" t="s">
        <v>59</v>
      </c>
      <c r="H35" s="174">
        <v>6.5000000000000002E-2</v>
      </c>
      <c r="I35" s="55">
        <v>46215.83</v>
      </c>
      <c r="J35" s="55">
        <v>909.69</v>
      </c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38">
        <f>H47</f>
        <v>148.73326337136808</v>
      </c>
      <c r="B36" s="34">
        <f>IF(B26="YES",H42,"")</f>
        <v>49.999999999999993</v>
      </c>
      <c r="C36" s="163"/>
      <c r="D36" s="137">
        <f>H31</f>
        <v>66666.666666666672</v>
      </c>
      <c r="E36" s="159"/>
      <c r="F36" s="55"/>
      <c r="G36" s="55"/>
      <c r="H36" s="55"/>
      <c r="I36" s="55">
        <f>I35-I34</f>
        <v>2258.5400000000009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94"/>
      <c r="B37" s="34"/>
      <c r="C37" s="163"/>
      <c r="D37" s="34"/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57"/>
      <c r="B38" s="158"/>
      <c r="C38" s="158"/>
      <c r="D38" s="158"/>
      <c r="E38" s="159"/>
      <c r="F38" s="55"/>
      <c r="G38" s="384" t="s">
        <v>65</v>
      </c>
      <c r="H38" s="384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57" t="s">
        <v>360</v>
      </c>
      <c r="B39" s="158" t="s">
        <v>361</v>
      </c>
      <c r="C39" s="158"/>
      <c r="D39" s="158" t="s">
        <v>362</v>
      </c>
      <c r="E39" s="159"/>
      <c r="F39" s="55"/>
      <c r="G39" s="55" t="s">
        <v>96</v>
      </c>
      <c r="H39" s="5">
        <f>H33</f>
        <v>18500</v>
      </c>
      <c r="I39" s="5">
        <f>(I48*H46)+H44</f>
        <v>57694.317070239951</v>
      </c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92">
        <f>D36*A45/100</f>
        <v>20000.000000000004</v>
      </c>
      <c r="B40" s="348">
        <f>IF(B26="YES",H42,"0")</f>
        <v>49.999999999999993</v>
      </c>
      <c r="C40" s="348"/>
      <c r="D40" s="137">
        <f>I32</f>
        <v>6000</v>
      </c>
      <c r="E40" s="159"/>
      <c r="F40" s="55"/>
      <c r="G40" s="55" t="s">
        <v>118</v>
      </c>
      <c r="H40" s="5">
        <f>A40/1.2</f>
        <v>16666.666666666672</v>
      </c>
      <c r="I40" s="5">
        <f>H39-I39</f>
        <v>-39194.317070239951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157"/>
      <c r="B41" s="158"/>
      <c r="C41" s="158"/>
      <c r="D41" s="158"/>
      <c r="E41" s="159"/>
      <c r="F41" s="55"/>
      <c r="G41" s="55" t="s">
        <v>363</v>
      </c>
      <c r="H41" s="180">
        <f>H35/12</f>
        <v>5.4166666666666669E-3</v>
      </c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57"/>
      <c r="B42" s="158"/>
      <c r="C42" s="158"/>
      <c r="D42" s="158"/>
      <c r="E42" s="159"/>
      <c r="F42" s="55"/>
      <c r="G42" s="55" t="s">
        <v>364</v>
      </c>
      <c r="H42" s="5">
        <f>(I32/H34)*(C45/100)</f>
        <v>49.999999999999993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209"/>
      <c r="B43" s="210"/>
      <c r="C43" s="210"/>
      <c r="D43" s="210"/>
      <c r="E43" s="211"/>
      <c r="F43" s="55"/>
      <c r="G43" s="55" t="s">
        <v>365</v>
      </c>
      <c r="H43" s="55"/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303" t="s">
        <v>89</v>
      </c>
      <c r="B44" s="158"/>
      <c r="C44" s="404" t="s">
        <v>90</v>
      </c>
      <c r="D44" s="404"/>
      <c r="E44" s="159"/>
      <c r="F44" s="55"/>
      <c r="G44" s="55" t="s">
        <v>373</v>
      </c>
      <c r="H44" s="5">
        <f>(H40/(1+H41)^(H34+1))</f>
        <v>13647.207105867714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304">
        <v>30</v>
      </c>
      <c r="B45" s="158"/>
      <c r="C45" s="405">
        <v>30</v>
      </c>
      <c r="D45" s="405"/>
      <c r="E45" s="159"/>
      <c r="F45" s="55"/>
      <c r="G45" s="55" t="s">
        <v>374</v>
      </c>
      <c r="H45" s="5">
        <f>(H39-H44)</f>
        <v>4852.7928941322862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6"/>
      <c r="B46" s="207"/>
      <c r="C46" s="207"/>
      <c r="D46" s="207"/>
      <c r="E46" s="208"/>
      <c r="F46" s="55"/>
      <c r="G46" s="55" t="s">
        <v>375</v>
      </c>
      <c r="H46" s="5">
        <f>((1-(1/((1+H41)^H34)))/H41)</f>
        <v>32.627488862497948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57"/>
      <c r="B47" s="158"/>
      <c r="C47" s="158"/>
      <c r="D47" s="158"/>
      <c r="E47" s="159"/>
      <c r="F47" s="55"/>
      <c r="G47" s="55" t="s">
        <v>369</v>
      </c>
      <c r="H47" s="5">
        <f>H45/H46</f>
        <v>148.73326337136808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305" t="s">
        <v>370</v>
      </c>
      <c r="H48" s="5">
        <f>IF(B26="YES",H47+H42,H47)</f>
        <v>198.73326337136808</v>
      </c>
      <c r="I48" s="5">
        <f>I49-H42</f>
        <v>1350</v>
      </c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 t="s">
        <v>371</v>
      </c>
      <c r="H49" s="205"/>
      <c r="I49" s="5">
        <v>1400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10000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36</v>
      </c>
      <c r="B52" s="343">
        <f>H48</f>
        <v>198.73326337136808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158"/>
      <c r="N55" s="158"/>
      <c r="O55" s="158"/>
      <c r="P55" s="158"/>
      <c r="Q55" s="158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209"/>
      <c r="N56" s="210"/>
      <c r="O56" s="210"/>
      <c r="P56" s="210"/>
      <c r="Q56" s="211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IF(B99=Y97,1,IF(B99=Y98,1,IF(B99=Y99,3,IF(B99=Y100,6,IF(B99=Y101,9,IF(B99=Y102,12,IF(B99=Y103,3,IF(B99=Y104,6,IF(B99=Y105,9,0)))))))))</f>
        <v>1</v>
      </c>
      <c r="C57" s="158"/>
      <c r="D57" s="158"/>
      <c r="E57" s="159"/>
      <c r="F57" s="55"/>
      <c r="G57" s="157" t="s">
        <v>96</v>
      </c>
      <c r="H57" s="158">
        <f>IF(H99=Y97,1,IF(H99=Y98,1,IF(H99=Y99,3,IF(H99=Y100,6,IF(H99=Y101,9,IF(H99=Y102,12,IF(H99=Y103,3,IF(H99=Y104,6,IF(H99=Y105,9,0)))))))))</f>
        <v>6</v>
      </c>
      <c r="I57" s="158"/>
      <c r="J57" s="158"/>
      <c r="K57" s="159"/>
      <c r="L57" s="55"/>
      <c r="M57" s="157" t="s">
        <v>96</v>
      </c>
      <c r="N57" s="158">
        <f>IF(N99=Y97,1,IF(N99=Y98,1,IF(N99=Y99,3,IF(N99=Y100,6,IF(N99=Y101,9,IF(N99=Y102,12,IF(N99=Y103,3,IF(N99=Y104,6,IF(N99=Y105,9,0)))))))))</f>
        <v>6</v>
      </c>
      <c r="O57" s="158"/>
      <c r="P57" s="158"/>
      <c r="Q57" s="159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IF(B99=Y97,H29-B57,IF(B99=Y98,H29-B57,IF(B99=Y99,H29-1,IF(B99=Y100,H29-1,IF(B99=Y101,H29-1,IF(B99=Y102,H29-1,IF(B99=Y103,H29-B57,IF(B99=Y104,H29-B57,IF(B99=Y105,H29-B57,0)))))))))</f>
        <v>35</v>
      </c>
      <c r="C58" s="158"/>
      <c r="D58" s="158"/>
      <c r="E58" s="159"/>
      <c r="F58" s="55"/>
      <c r="G58" s="157" t="s">
        <v>97</v>
      </c>
      <c r="H58" s="158">
        <f>IF(H99=Y97,H29-H57,IF(H99=Y98,H29-H57,IF(H99=Y99,H29-1,IF(H99=Y100,H29-1,IF(H99=Y101,H29-1,IF(H99=Y102,H29-1,IF(H99=Y103,H29-H57,IF(H99=Y104,H29-H57,IF(H99=Y105,H29-H57,0)))))))))</f>
        <v>35</v>
      </c>
      <c r="I58" s="158"/>
      <c r="J58" s="158"/>
      <c r="K58" s="159"/>
      <c r="L58" s="55"/>
      <c r="M58" s="157" t="s">
        <v>97</v>
      </c>
      <c r="N58" s="158">
        <f>IF(N99=Y97,H29-N57,IF(N99=Y98,H29-N57,IF(N99=Y99,H29-1,IF(N99=Y100,H29-1,IF(N99=Y101,H29-1,IF(N99=Y102,H29-1,IF(N99=Y103,H29-N57,IF(N99=Y104,H29-N57,IF(N99=Y105,H29-N57,0)))))))))</f>
        <v>35</v>
      </c>
      <c r="O58" s="158"/>
      <c r="P58" s="158"/>
      <c r="Q58" s="159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157"/>
      <c r="N59" s="158"/>
      <c r="O59" s="158"/>
      <c r="P59" s="158"/>
      <c r="Q59" s="159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 t="s">
        <v>376</v>
      </c>
      <c r="B60" s="158">
        <f>E19</f>
        <v>22200</v>
      </c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157"/>
      <c r="N60" s="158"/>
      <c r="O60" s="158"/>
      <c r="P60" s="158"/>
      <c r="Q60" s="159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v>37404</v>
      </c>
      <c r="C61" s="158"/>
      <c r="D61" s="158"/>
      <c r="E61" s="159"/>
      <c r="F61" s="55"/>
      <c r="G61" s="157" t="s">
        <v>27</v>
      </c>
      <c r="H61" s="28">
        <f>G18</f>
        <v>0</v>
      </c>
      <c r="I61" s="158"/>
      <c r="J61" s="158"/>
      <c r="K61" s="159"/>
      <c r="L61" s="55"/>
      <c r="M61" s="157" t="s">
        <v>27</v>
      </c>
      <c r="N61" s="28">
        <f>G18</f>
        <v>0</v>
      </c>
      <c r="O61" s="158"/>
      <c r="P61" s="158"/>
      <c r="Q61" s="159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212" t="s">
        <v>283</v>
      </c>
      <c r="N62" s="213">
        <v>7.0000000000000007E-2</v>
      </c>
      <c r="O62" s="158"/>
      <c r="P62" s="158"/>
      <c r="Q62" s="159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0.105</v>
      </c>
      <c r="C63" s="158"/>
      <c r="D63" s="158"/>
      <c r="E63" s="159"/>
      <c r="F63" s="55"/>
      <c r="G63" s="157" t="s">
        <v>284</v>
      </c>
      <c r="H63" s="214">
        <f>H62+(H62*0.25*(H29/12-1))</f>
        <v>0.10500000000000001</v>
      </c>
      <c r="I63" s="158"/>
      <c r="J63" s="158"/>
      <c r="K63" s="159"/>
      <c r="L63" s="55"/>
      <c r="M63" s="157" t="s">
        <v>284</v>
      </c>
      <c r="N63" s="214">
        <f>N62+(N62*0.25*(H29/12-1))</f>
        <v>0.10500000000000001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B60*B63</f>
        <v>2331</v>
      </c>
      <c r="C64" s="306">
        <v>10000</v>
      </c>
      <c r="D64" s="28">
        <f>B64</f>
        <v>2331</v>
      </c>
      <c r="E64" s="307">
        <f>D64/(B58+B57)</f>
        <v>64.75</v>
      </c>
      <c r="F64" s="55"/>
      <c r="G64" s="206" t="s">
        <v>102</v>
      </c>
      <c r="H64" s="57">
        <f>H61*H63</f>
        <v>0</v>
      </c>
      <c r="I64" s="158"/>
      <c r="J64" s="28">
        <f>H64-G145</f>
        <v>0</v>
      </c>
      <c r="K64" s="159"/>
      <c r="L64" s="55"/>
      <c r="M64" s="206" t="s">
        <v>102</v>
      </c>
      <c r="N64" s="57">
        <f>N61*N63</f>
        <v>0</v>
      </c>
      <c r="O64" s="158"/>
      <c r="P64" s="28">
        <f>N64-M145</f>
        <v>0</v>
      </c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>
        <v>300</v>
      </c>
      <c r="C65" s="158"/>
      <c r="D65" s="28"/>
      <c r="E65" s="159"/>
      <c r="F65" s="55"/>
      <c r="G65" s="212" t="s">
        <v>103</v>
      </c>
      <c r="H65" s="213">
        <v>0.01</v>
      </c>
      <c r="I65" s="158"/>
      <c r="J65" s="158"/>
      <c r="K65" s="159"/>
      <c r="L65" s="55"/>
      <c r="M65" s="212" t="s">
        <v>103</v>
      </c>
      <c r="N65" s="213">
        <v>0.01</v>
      </c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308" t="s">
        <v>233</v>
      </c>
      <c r="D66" s="158"/>
      <c r="E66" s="159"/>
      <c r="F66" s="55"/>
      <c r="G66" s="157" t="s">
        <v>104</v>
      </c>
      <c r="H66" s="214">
        <f>H65+(H65*0.5*(H29/12-1))</f>
        <v>0.02</v>
      </c>
      <c r="I66" s="158"/>
      <c r="J66" s="158"/>
      <c r="K66" s="159"/>
      <c r="L66" s="55"/>
      <c r="M66" s="157" t="s">
        <v>104</v>
      </c>
      <c r="N66" s="214">
        <f>N65+(N65*0.5*(H29/12-1))</f>
        <v>0.02</v>
      </c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300</v>
      </c>
      <c r="C67" s="309" t="s">
        <v>233</v>
      </c>
      <c r="D67" s="310"/>
      <c r="E67" s="159"/>
      <c r="F67" s="55"/>
      <c r="G67" s="206" t="s">
        <v>105</v>
      </c>
      <c r="H67" s="57">
        <f>(H61*H66)/1.2</f>
        <v>0</v>
      </c>
      <c r="I67" s="158"/>
      <c r="J67" s="28"/>
      <c r="K67" s="159"/>
      <c r="L67" s="55"/>
      <c r="M67" s="206" t="s">
        <v>105</v>
      </c>
      <c r="N67" s="57">
        <f>(N61*N66)/1.2</f>
        <v>0</v>
      </c>
      <c r="O67" s="158"/>
      <c r="P67" s="2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311"/>
      <c r="D68" s="2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212" t="s">
        <v>106</v>
      </c>
      <c r="N68" s="213">
        <v>7.4999999999999997E-3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216" t="s">
        <v>107</v>
      </c>
      <c r="N69" s="217">
        <v>0.12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206" t="s">
        <v>108</v>
      </c>
      <c r="N70" s="312">
        <f>N68*(1+N69)</f>
        <v>8.4000000000000012E-3</v>
      </c>
      <c r="O70" s="158"/>
      <c r="P70" s="158"/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200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212" t="s">
        <v>109</v>
      </c>
      <c r="N71" s="74">
        <v>160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216" t="s">
        <v>110</v>
      </c>
      <c r="N72" s="65">
        <v>4.5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180</v>
      </c>
      <c r="C73" s="158"/>
      <c r="D73" s="313">
        <f>B73+B71</f>
        <v>380</v>
      </c>
      <c r="E73" s="159" t="s">
        <v>239</v>
      </c>
      <c r="F73" s="55"/>
      <c r="G73" s="206" t="s">
        <v>111</v>
      </c>
      <c r="H73" s="57">
        <f>H72*H29</f>
        <v>162</v>
      </c>
      <c r="I73" s="158"/>
      <c r="J73" s="28">
        <f>H73+H71</f>
        <v>322</v>
      </c>
      <c r="K73" s="159"/>
      <c r="L73" s="55"/>
      <c r="M73" s="206" t="s">
        <v>111</v>
      </c>
      <c r="N73" s="57">
        <f>N72*H29</f>
        <v>162</v>
      </c>
      <c r="O73" s="158"/>
      <c r="P73" s="28">
        <f>N73+N71</f>
        <v>322</v>
      </c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0</v>
      </c>
      <c r="C74" s="158"/>
      <c r="D74" s="158"/>
      <c r="E74" s="159"/>
      <c r="F74" s="55"/>
      <c r="G74" s="212" t="s">
        <v>285</v>
      </c>
      <c r="H74" s="74">
        <v>165</v>
      </c>
      <c r="I74" s="158"/>
      <c r="J74" s="158"/>
      <c r="K74" s="159"/>
      <c r="L74" s="55"/>
      <c r="M74" s="277" t="s">
        <v>285</v>
      </c>
      <c r="N74" s="278">
        <v>0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0</v>
      </c>
      <c r="C75" s="158"/>
      <c r="D75" s="158"/>
      <c r="E75" s="159"/>
      <c r="F75" s="55"/>
      <c r="G75" s="216" t="s">
        <v>286</v>
      </c>
      <c r="H75" s="65">
        <v>0</v>
      </c>
      <c r="I75" s="158"/>
      <c r="J75" s="158"/>
      <c r="K75" s="159"/>
      <c r="L75" s="55"/>
      <c r="M75" s="279" t="s">
        <v>286</v>
      </c>
      <c r="N75" s="280">
        <v>0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((B74+B75)/12)*(H29+1)</f>
        <v>0</v>
      </c>
      <c r="C76" s="158"/>
      <c r="D76" s="28">
        <f>B76</f>
        <v>0</v>
      </c>
      <c r="E76" s="159"/>
      <c r="F76" s="55"/>
      <c r="G76" s="206" t="s">
        <v>287</v>
      </c>
      <c r="H76" s="57">
        <f>((H74+H75)/12)*(H29-11)</f>
        <v>343.75</v>
      </c>
      <c r="I76" s="158"/>
      <c r="J76" s="28">
        <f>H76</f>
        <v>343.75</v>
      </c>
      <c r="K76" s="159"/>
      <c r="L76" s="55"/>
      <c r="M76" s="281" t="s">
        <v>287</v>
      </c>
      <c r="N76" s="282">
        <f>((N74+N75)/12)*(H29-11)</f>
        <v>0</v>
      </c>
      <c r="O76" s="158"/>
      <c r="P76" s="28">
        <f>N76</f>
        <v>0</v>
      </c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09" t="s">
        <v>288</v>
      </c>
      <c r="B77" s="24">
        <f>B102/(1-0.1)</f>
        <v>0</v>
      </c>
      <c r="C77" s="252"/>
      <c r="D77" s="28">
        <f>B77</f>
        <v>0</v>
      </c>
      <c r="E77" s="307">
        <f>D77/(B58+B57)</f>
        <v>0</v>
      </c>
      <c r="F77" s="55"/>
      <c r="G77" s="212" t="s">
        <v>288</v>
      </c>
      <c r="H77" s="74">
        <v>0</v>
      </c>
      <c r="I77" s="158"/>
      <c r="J77" s="28">
        <f>H77</f>
        <v>0</v>
      </c>
      <c r="K77" s="159"/>
      <c r="L77" s="55"/>
      <c r="M77" s="212" t="s">
        <v>288</v>
      </c>
      <c r="N77" s="74">
        <v>0</v>
      </c>
      <c r="O77" s="158"/>
      <c r="P77" s="28">
        <f>N77</f>
        <v>0</v>
      </c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0</v>
      </c>
      <c r="C78" s="252"/>
      <c r="D78" s="28">
        <f>B78</f>
        <v>0</v>
      </c>
      <c r="E78" s="307"/>
      <c r="F78" s="55"/>
      <c r="G78" s="157" t="s">
        <v>289</v>
      </c>
      <c r="H78" s="29">
        <v>0</v>
      </c>
      <c r="I78" s="158"/>
      <c r="J78" s="28">
        <f>H78</f>
        <v>0</v>
      </c>
      <c r="K78" s="159"/>
      <c r="L78" s="55"/>
      <c r="M78" s="157" t="s">
        <v>289</v>
      </c>
      <c r="N78" s="29">
        <v>0</v>
      </c>
      <c r="O78" s="158"/>
      <c r="P78" s="28">
        <f>N78</f>
        <v>0</v>
      </c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200</v>
      </c>
      <c r="C79" s="252"/>
      <c r="D79" s="28">
        <f>B79</f>
        <v>200</v>
      </c>
      <c r="E79" s="307"/>
      <c r="F79" s="55"/>
      <c r="G79" s="216" t="s">
        <v>112</v>
      </c>
      <c r="H79" s="65">
        <v>200</v>
      </c>
      <c r="I79" s="158"/>
      <c r="J79" s="28">
        <f>H79</f>
        <v>200</v>
      </c>
      <c r="K79" s="159"/>
      <c r="L79" s="55"/>
      <c r="M79" s="216" t="s">
        <v>112</v>
      </c>
      <c r="N79" s="65">
        <v>200</v>
      </c>
      <c r="O79" s="158"/>
      <c r="P79" s="28">
        <f>N79</f>
        <v>200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200</v>
      </c>
      <c r="C80" s="252"/>
      <c r="D80" s="28">
        <f>B80</f>
        <v>200</v>
      </c>
      <c r="E80" s="307">
        <f>(D73+D76+D79+D80)/(B58+B57)</f>
        <v>21.666666666666668</v>
      </c>
      <c r="F80" s="55"/>
      <c r="G80" s="219" t="s">
        <v>113</v>
      </c>
      <c r="H80" s="75">
        <v>200</v>
      </c>
      <c r="I80" s="158"/>
      <c r="J80" s="28">
        <f>H80</f>
        <v>200</v>
      </c>
      <c r="K80" s="159"/>
      <c r="L80" s="55"/>
      <c r="M80" s="219" t="s">
        <v>113</v>
      </c>
      <c r="N80" s="75">
        <v>200</v>
      </c>
      <c r="O80" s="158"/>
      <c r="P80" s="28">
        <f>N80</f>
        <v>200</v>
      </c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3111</v>
      </c>
      <c r="C81" s="252"/>
      <c r="D81" s="314"/>
      <c r="E81" s="307"/>
      <c r="F81" s="55"/>
      <c r="G81" s="220" t="s">
        <v>114</v>
      </c>
      <c r="H81" s="221">
        <f>SUM(J64:J80)</f>
        <v>1065.75</v>
      </c>
      <c r="I81" s="158"/>
      <c r="J81" s="158"/>
      <c r="K81" s="159"/>
      <c r="L81" s="55"/>
      <c r="M81" s="220" t="s">
        <v>114</v>
      </c>
      <c r="N81" s="221">
        <f>SUM(P64:P80)</f>
        <v>722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86.416666666666671</v>
      </c>
      <c r="C82" s="252"/>
      <c r="D82" s="158"/>
      <c r="E82" s="307"/>
      <c r="F82" s="55"/>
      <c r="G82" s="157" t="s">
        <v>115</v>
      </c>
      <c r="H82" s="29">
        <f>H81/H29</f>
        <v>29.604166666666668</v>
      </c>
      <c r="I82" s="158"/>
      <c r="J82" s="158"/>
      <c r="K82" s="159"/>
      <c r="L82" s="55"/>
      <c r="M82" s="157" t="s">
        <v>115</v>
      </c>
      <c r="N82" s="29">
        <f>N81/H29</f>
        <v>20.055555555555557</v>
      </c>
      <c r="O82" s="158"/>
      <c r="P82" s="158"/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H47</f>
        <v>148.73326337136808</v>
      </c>
      <c r="C83" s="252"/>
      <c r="D83" s="158"/>
      <c r="E83" s="307">
        <f>B83+E80+E77+E64</f>
        <v>235.14993003803474</v>
      </c>
      <c r="F83" s="55"/>
      <c r="G83" s="222" t="s">
        <v>116</v>
      </c>
      <c r="H83" s="52">
        <f>H47</f>
        <v>148.73326337136808</v>
      </c>
      <c r="I83" s="158"/>
      <c r="J83" s="158"/>
      <c r="K83" s="159"/>
      <c r="L83" s="55"/>
      <c r="M83" s="222" t="s">
        <v>116</v>
      </c>
      <c r="N83" s="52">
        <f>H47</f>
        <v>148.73326337136808</v>
      </c>
      <c r="O83" s="158"/>
      <c r="P83" s="158"/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252"/>
      <c r="D84" s="252"/>
      <c r="E84" s="307"/>
      <c r="F84" s="55"/>
      <c r="G84" s="157"/>
      <c r="H84" s="28"/>
      <c r="I84" s="158"/>
      <c r="J84" s="158"/>
      <c r="K84" s="159"/>
      <c r="L84" s="55"/>
      <c r="M84" s="157"/>
      <c r="N84" s="28"/>
      <c r="O84" s="158"/>
      <c r="P84" s="158"/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((B83*H29)+B81)</f>
        <v>8465.3974813692512</v>
      </c>
      <c r="C85" s="252"/>
      <c r="D85" s="252"/>
      <c r="E85" s="307">
        <f>B85/(B58+B57)</f>
        <v>235.14993003803477</v>
      </c>
      <c r="F85" s="55"/>
      <c r="G85" s="209" t="s">
        <v>126</v>
      </c>
      <c r="H85" s="24">
        <f>((H83*H29)+H81)*1.2</f>
        <v>7704.1769776431011</v>
      </c>
      <c r="I85" s="158"/>
      <c r="J85" s="158"/>
      <c r="K85" s="159"/>
      <c r="L85" s="55"/>
      <c r="M85" s="209" t="s">
        <v>126</v>
      </c>
      <c r="N85" s="24">
        <f>((N83*H29)+N81)</f>
        <v>6076.3974813692512</v>
      </c>
      <c r="O85" s="158"/>
      <c r="P85" s="158"/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(((B83*H29)+B81)/(1-B70))*B70</f>
        <v>71.711717268557607</v>
      </c>
      <c r="C86" s="252" t="s">
        <v>242</v>
      </c>
      <c r="D86" s="158"/>
      <c r="E86" s="307">
        <f>B86/(B58+B57)</f>
        <v>1.9919921463488224</v>
      </c>
      <c r="F86" s="55"/>
      <c r="G86" s="157" t="s">
        <v>127</v>
      </c>
      <c r="H86" s="29">
        <f>((((H83*H29)+H81))/(1-H70))*H70</f>
        <v>54.386081931728235</v>
      </c>
      <c r="I86" s="158"/>
      <c r="J86" s="158"/>
      <c r="K86" s="159"/>
      <c r="L86" s="55"/>
      <c r="M86" s="157" t="s">
        <v>127</v>
      </c>
      <c r="N86" s="29">
        <f>(N85/(1-N70))*N70</f>
        <v>51.474121463797616</v>
      </c>
      <c r="O86" s="158"/>
      <c r="P86" s="158"/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8537.1091986378087</v>
      </c>
      <c r="C87" s="252"/>
      <c r="D87" s="315"/>
      <c r="E87" s="307">
        <f>E86+E85</f>
        <v>237.14192218438359</v>
      </c>
      <c r="F87" s="55"/>
      <c r="G87" s="206" t="s">
        <v>128</v>
      </c>
      <c r="H87" s="57">
        <f>IF(H110="YES",((H85+H86)-K114),(H85+H86))</f>
        <v>7758.5630595748289</v>
      </c>
      <c r="I87" s="158"/>
      <c r="J87" s="158"/>
      <c r="K87" s="159"/>
      <c r="L87" s="55"/>
      <c r="M87" s="206" t="s">
        <v>128</v>
      </c>
      <c r="N87" s="57">
        <f>IF(N110="YES",((N85+N86)-Q114),(N85+N86))</f>
        <v>6127.8716028330491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252"/>
      <c r="D88" s="158"/>
      <c r="E88" s="307"/>
      <c r="F88" s="55"/>
      <c r="G88" s="157"/>
      <c r="H88" s="28"/>
      <c r="I88" s="158"/>
      <c r="J88" s="158"/>
      <c r="K88" s="159"/>
      <c r="L88" s="55"/>
      <c r="M88" s="157"/>
      <c r="N88" s="28"/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1">
        <f>IF(B99=Y98,(I32+(I32*B105))/(B58),(I32+(I32*B105))/(B57+B58))*(C45/100)</f>
        <v>60</v>
      </c>
      <c r="C89" s="252"/>
      <c r="D89" s="158"/>
      <c r="E89" s="159"/>
      <c r="F89" s="55"/>
      <c r="G89" s="220" t="s">
        <v>129</v>
      </c>
      <c r="H89" s="221">
        <f>IF(H99=Y98,(D40+(D40*H105))/(H58),(D40+(D40*H105))/(H57+H58))*1.2</f>
        <v>210.73170731707319</v>
      </c>
      <c r="I89" s="158"/>
      <c r="J89" s="158"/>
      <c r="K89" s="159"/>
      <c r="L89" s="55"/>
      <c r="M89" s="220" t="s">
        <v>129</v>
      </c>
      <c r="N89" s="221">
        <f>IF(N99=Y98,(D40+(D40*N105))/(N58),(D40+(D40*N105))/(N57+N58))</f>
        <v>175.60975609756099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IF(B99=Y98,(B87-D105)/(B58),B87/(B57+B58))</f>
        <v>237.14192218438359</v>
      </c>
      <c r="C90" s="252"/>
      <c r="D90" s="158"/>
      <c r="E90" s="316"/>
      <c r="F90" s="55"/>
      <c r="G90" s="224" t="s">
        <v>130</v>
      </c>
      <c r="H90" s="225">
        <f>IF(H99=Y98,(H87-J105)/(H58),H87/(H57+H58))</f>
        <v>189.23324535548363</v>
      </c>
      <c r="I90" s="158"/>
      <c r="J90" s="158"/>
      <c r="K90" s="159"/>
      <c r="L90" s="55"/>
      <c r="M90" s="224" t="s">
        <v>130</v>
      </c>
      <c r="N90" s="225">
        <f>IF(N99=Y98,(N87-P105)/(N58),N87/(N57+N58))</f>
        <v>149.46028299592803</v>
      </c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297.14192218438359</v>
      </c>
      <c r="C91" s="252"/>
      <c r="D91" s="317"/>
      <c r="E91" s="274"/>
      <c r="F91" s="55"/>
      <c r="G91" s="226" t="s">
        <v>131</v>
      </c>
      <c r="H91" s="227">
        <f>IF(G105="YES",H90+H89,H90)</f>
        <v>399.96495267255682</v>
      </c>
      <c r="I91" s="158"/>
      <c r="J91" s="158"/>
      <c r="K91" s="159"/>
      <c r="L91" s="55"/>
      <c r="M91" s="226" t="s">
        <v>131</v>
      </c>
      <c r="N91" s="227">
        <f>IF(M105="YES",N90+N89,N90)</f>
        <v>325.07003909348902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50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206"/>
      <c r="N92" s="207"/>
      <c r="O92" s="207"/>
      <c r="P92" s="207"/>
      <c r="Q92" s="208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158"/>
      <c r="N93" s="158"/>
      <c r="O93" s="158"/>
      <c r="P93" s="158"/>
      <c r="Q93" s="158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56.25" customHeight="1">
      <c r="A94" s="376" t="s">
        <v>338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376" t="s">
        <v>345</v>
      </c>
      <c r="N94" s="376"/>
      <c r="O94" s="376"/>
      <c r="P94" s="376"/>
      <c r="Q94" s="376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 t="s">
        <v>377</v>
      </c>
      <c r="F95" s="55"/>
      <c r="G95" s="157"/>
      <c r="H95" s="158"/>
      <c r="I95" s="158"/>
      <c r="J95" s="158"/>
      <c r="K95" s="159"/>
      <c r="L95" s="55"/>
      <c r="M95" s="157"/>
      <c r="N95" s="158"/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377" t="s">
        <v>136</v>
      </c>
      <c r="N96" s="377"/>
      <c r="O96" s="377"/>
      <c r="P96" s="377"/>
      <c r="Q96" s="377"/>
      <c r="R96" s="55"/>
      <c r="S96" s="55"/>
      <c r="T96" s="55"/>
      <c r="U96" s="55"/>
      <c r="V96" s="55"/>
      <c r="W96" s="55"/>
      <c r="X96" s="55"/>
      <c r="Y96" s="55"/>
      <c r="Z96" s="55"/>
    </row>
    <row r="97" spans="1:29" ht="18.75" customHeight="1">
      <c r="A97" s="157"/>
      <c r="B97" s="406"/>
      <c r="C97" s="406"/>
      <c r="D97" s="158"/>
      <c r="E97" s="159"/>
      <c r="F97" s="55"/>
      <c r="G97" s="157"/>
      <c r="H97" s="158"/>
      <c r="I97" s="158"/>
      <c r="J97" s="158"/>
      <c r="K97" s="159"/>
      <c r="L97" s="55"/>
      <c r="M97" s="157"/>
      <c r="N97" s="158"/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 t="s">
        <v>140</v>
      </c>
      <c r="Z97" s="55"/>
      <c r="AC97" s="55"/>
    </row>
    <row r="98" spans="1:29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157" t="s">
        <v>137</v>
      </c>
      <c r="N98" s="158" t="s">
        <v>36</v>
      </c>
      <c r="O98" s="158"/>
      <c r="P98" s="158" t="s">
        <v>291</v>
      </c>
      <c r="Q98" s="159"/>
      <c r="R98" s="55"/>
      <c r="S98" s="55"/>
      <c r="T98" s="55"/>
      <c r="U98" s="55"/>
      <c r="V98" s="55"/>
      <c r="W98" s="55"/>
      <c r="X98" s="55"/>
      <c r="Y98" s="55" t="s">
        <v>270</v>
      </c>
      <c r="Z98" s="55"/>
    </row>
    <row r="99" spans="1:29" ht="18.75" customHeight="1">
      <c r="A99" s="162" t="s">
        <v>292</v>
      </c>
      <c r="B99" s="395" t="s">
        <v>140</v>
      </c>
      <c r="C99" s="395"/>
      <c r="D99" s="348">
        <v>0</v>
      </c>
      <c r="E99" s="348"/>
      <c r="F99" s="55"/>
      <c r="G99" s="162" t="s">
        <v>292</v>
      </c>
      <c r="H99" s="395" t="s">
        <v>272</v>
      </c>
      <c r="I99" s="395"/>
      <c r="J99" s="348">
        <v>0</v>
      </c>
      <c r="K99" s="348"/>
      <c r="L99" s="55"/>
      <c r="M99" s="162" t="s">
        <v>292</v>
      </c>
      <c r="N99" s="395" t="s">
        <v>272</v>
      </c>
      <c r="O99" s="395"/>
      <c r="P99" s="348">
        <v>0</v>
      </c>
      <c r="Q99" s="348"/>
      <c r="R99" s="55"/>
      <c r="S99" s="55"/>
      <c r="T99" s="55"/>
      <c r="U99" s="55"/>
      <c r="V99" s="55"/>
      <c r="W99" s="55"/>
      <c r="X99" s="55"/>
      <c r="Y99" s="55" t="s">
        <v>271</v>
      </c>
      <c r="Z99" s="55"/>
    </row>
    <row r="100" spans="1:29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157"/>
      <c r="N100" s="158"/>
      <c r="O100" s="158"/>
      <c r="P100" s="158"/>
      <c r="Q100" s="159"/>
      <c r="R100" s="55"/>
      <c r="S100" s="55"/>
      <c r="T100" s="55"/>
      <c r="U100" s="55"/>
      <c r="V100" s="55"/>
      <c r="W100" s="55"/>
      <c r="X100" s="55"/>
      <c r="Y100" s="55" t="s">
        <v>272</v>
      </c>
      <c r="Z100" s="55"/>
    </row>
    <row r="101" spans="1:29" ht="18.75" customHeight="1">
      <c r="A101" s="157" t="s">
        <v>293</v>
      </c>
      <c r="B101" s="158" t="s">
        <v>294</v>
      </c>
      <c r="C101" s="158"/>
      <c r="D101" s="158" t="s">
        <v>378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157" t="s">
        <v>293</v>
      </c>
      <c r="N101" s="158" t="s">
        <v>294</v>
      </c>
      <c r="O101" s="158"/>
      <c r="P101" s="158" t="s">
        <v>295</v>
      </c>
      <c r="Q101" s="159"/>
      <c r="R101" s="55"/>
      <c r="S101" s="55"/>
      <c r="T101" s="55"/>
      <c r="U101" s="55"/>
      <c r="V101" s="55"/>
      <c r="W101" s="55"/>
      <c r="X101" s="55"/>
      <c r="Y101" s="55" t="s">
        <v>273</v>
      </c>
      <c r="Z101" s="55"/>
    </row>
    <row r="102" spans="1:29" ht="18.75" customHeight="1">
      <c r="A102" s="228">
        <v>750</v>
      </c>
      <c r="B102" s="348" t="n">
        <v>0.0</v>
      </c>
      <c r="C102" s="348"/>
      <c r="D102" s="348" t="n">
        <v>0.0</v>
      </c>
      <c r="E102" s="348"/>
      <c r="F102" s="55"/>
      <c r="G102" s="228">
        <v>199.99</v>
      </c>
      <c r="H102" s="348">
        <v>0</v>
      </c>
      <c r="I102" s="348"/>
      <c r="J102" s="348">
        <v>0</v>
      </c>
      <c r="K102" s="348"/>
      <c r="L102" s="55"/>
      <c r="M102" s="228">
        <v>199.99</v>
      </c>
      <c r="N102" s="348">
        <v>0</v>
      </c>
      <c r="O102" s="348"/>
      <c r="P102" s="348">
        <v>0</v>
      </c>
      <c r="Q102" s="348"/>
      <c r="R102" s="55"/>
      <c r="S102" s="55"/>
      <c r="T102" s="55"/>
      <c r="U102" s="55"/>
      <c r="V102" s="55"/>
      <c r="W102" s="55"/>
      <c r="X102" s="55"/>
      <c r="Y102" s="55" t="s">
        <v>274</v>
      </c>
      <c r="Z102" s="55"/>
    </row>
    <row r="103" spans="1:29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 t="s">
        <v>275</v>
      </c>
      <c r="Z103" s="55"/>
    </row>
    <row r="104" spans="1:29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162" t="s">
        <v>138</v>
      </c>
      <c r="N104" s="55" t="s">
        <v>141</v>
      </c>
      <c r="O104" s="158"/>
      <c r="P104" s="158" t="s">
        <v>152</v>
      </c>
      <c r="Q104" s="159"/>
      <c r="R104" s="55"/>
      <c r="S104" s="55"/>
      <c r="T104" s="55"/>
      <c r="U104" s="55"/>
      <c r="V104" s="55"/>
      <c r="W104" s="55"/>
      <c r="X104" s="55"/>
      <c r="Y104" s="55" t="s">
        <v>276</v>
      </c>
      <c r="Z104" s="55"/>
    </row>
    <row r="105" spans="1:29" ht="18.75" customHeight="1">
      <c r="A105" s="164" t="s">
        <v>385</v>
      </c>
      <c r="B105" s="396">
        <v>0.2</v>
      </c>
      <c r="C105" s="396"/>
      <c r="D105" s="348">
        <v>200</v>
      </c>
      <c r="E105" s="348"/>
      <c r="F105" s="55"/>
      <c r="G105" s="164" t="s">
        <v>31</v>
      </c>
      <c r="H105" s="396">
        <v>0.2</v>
      </c>
      <c r="I105" s="396"/>
      <c r="J105" s="348"/>
      <c r="K105" s="348"/>
      <c r="L105" s="55"/>
      <c r="M105" s="164" t="s">
        <v>31</v>
      </c>
      <c r="N105" s="396">
        <v>0.2</v>
      </c>
      <c r="O105" s="396"/>
      <c r="P105" s="348">
        <v>0</v>
      </c>
      <c r="Q105" s="348"/>
      <c r="R105" s="55"/>
      <c r="S105" s="55"/>
      <c r="T105" s="55"/>
      <c r="U105" s="55"/>
      <c r="V105" s="55"/>
      <c r="W105" s="55"/>
      <c r="X105" s="55"/>
      <c r="Y105" s="55" t="s">
        <v>277</v>
      </c>
      <c r="Z105" s="55"/>
    </row>
    <row r="106" spans="1:29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9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157"/>
      <c r="N107" s="158" t="s">
        <v>346</v>
      </c>
      <c r="O107" s="164" t="s">
        <v>31</v>
      </c>
      <c r="P107" s="158"/>
      <c r="Q107" s="159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9" ht="18.75" customHeight="1">
      <c r="A108" s="377">
        <v>199.99</v>
      </c>
      <c r="B108" s="377">
        <v>0</v>
      </c>
      <c r="C108" s="377"/>
      <c r="D108" s="377"/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377" t="s">
        <v>296</v>
      </c>
      <c r="N108" s="377"/>
      <c r="O108" s="377"/>
      <c r="P108" s="377"/>
      <c r="Q108" s="377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9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9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157" t="s">
        <v>297</v>
      </c>
      <c r="N110" s="164" t="s">
        <v>32</v>
      </c>
      <c r="O110" s="158"/>
      <c r="P110" s="158"/>
      <c r="Q110" s="159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9" ht="18.75" customHeight="1">
      <c r="A111" s="157" t="s">
        <v>32</v>
      </c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157"/>
      <c r="N111" s="158"/>
      <c r="O111" s="158"/>
      <c r="P111" s="158"/>
      <c r="Q111" s="159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9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0</v>
      </c>
      <c r="K112" s="92">
        <v>0</v>
      </c>
      <c r="L112" s="55"/>
      <c r="M112" s="157" t="s">
        <v>185</v>
      </c>
      <c r="N112" s="158"/>
      <c r="O112" s="158"/>
      <c r="P112" s="228">
        <v>500</v>
      </c>
      <c r="Q112" s="92">
        <v>300</v>
      </c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0</v>
      </c>
      <c r="K113" s="92">
        <v>0</v>
      </c>
      <c r="L113" s="55"/>
      <c r="M113" s="157" t="s">
        <v>186</v>
      </c>
      <c r="N113" s="158"/>
      <c r="O113" s="158"/>
      <c r="P113" s="35">
        <f>Q113</f>
        <v>100</v>
      </c>
      <c r="Q113" s="92">
        <v>100</v>
      </c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0</v>
      </c>
      <c r="K114" s="127">
        <f>K112-K113</f>
        <v>0</v>
      </c>
      <c r="L114" s="55"/>
      <c r="M114" s="157" t="s">
        <v>187</v>
      </c>
      <c r="N114" s="158"/>
      <c r="O114" s="158"/>
      <c r="P114" s="35">
        <f>P112-P113</f>
        <v>400</v>
      </c>
      <c r="Q114" s="127">
        <f>Q112-Q113</f>
        <v>200</v>
      </c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0</v>
      </c>
      <c r="K115" s="159"/>
      <c r="L115" s="55"/>
      <c r="M115" s="157" t="s">
        <v>188</v>
      </c>
      <c r="N115" s="158"/>
      <c r="O115" s="158"/>
      <c r="P115" s="35">
        <f>P114-Q114</f>
        <v>200</v>
      </c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157"/>
      <c r="N116" s="158"/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v>1000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209" t="s">
        <v>148</v>
      </c>
      <c r="N117" s="210"/>
      <c r="O117" s="210"/>
      <c r="P117" s="210"/>
      <c r="Q117" s="24">
        <f>P99</f>
        <v>0</v>
      </c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v>199.99</v>
      </c>
      <c r="F118" s="55"/>
      <c r="G118" s="157" t="s">
        <v>66</v>
      </c>
      <c r="H118" s="158"/>
      <c r="I118" s="158"/>
      <c r="J118" s="158"/>
      <c r="K118" s="29">
        <f>G102</f>
        <v>199.99</v>
      </c>
      <c r="L118" s="55"/>
      <c r="M118" s="157" t="s">
        <v>66</v>
      </c>
      <c r="N118" s="158"/>
      <c r="O118" s="158"/>
      <c r="P118" s="158"/>
      <c r="Q118" s="29">
        <f>M102</f>
        <v>199.99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((E118*1.2)+E117)-E114</f>
        <v>1239.9880000000001</v>
      </c>
      <c r="F119" s="55"/>
      <c r="G119" s="229" t="s">
        <v>298</v>
      </c>
      <c r="H119" s="207"/>
      <c r="I119" s="207"/>
      <c r="J119" s="207"/>
      <c r="K119" s="57">
        <f>((K118/1.2)+K117)-(J115-K113)</f>
        <v>166.65833333333336</v>
      </c>
      <c r="L119" s="55"/>
      <c r="M119" s="229" t="s">
        <v>298</v>
      </c>
      <c r="N119" s="207"/>
      <c r="O119" s="207"/>
      <c r="P119" s="207"/>
      <c r="Q119" s="57">
        <f>(Q118+Q117)-P115</f>
        <v>-9.9999999999909051E-3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157"/>
      <c r="N120" s="158"/>
      <c r="O120" s="158"/>
      <c r="P120" s="158"/>
      <c r="Q120" s="159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157"/>
      <c r="N121" s="158"/>
      <c r="O121" s="158"/>
      <c r="P121" s="158"/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377" t="s">
        <v>299</v>
      </c>
      <c r="N122" s="377"/>
      <c r="O122" s="377"/>
      <c r="P122" s="377"/>
      <c r="Q122" s="377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157"/>
      <c r="N123" s="158"/>
      <c r="O123" s="158"/>
      <c r="P123" s="158"/>
      <c r="Q123" s="159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157" t="s">
        <v>193</v>
      </c>
      <c r="N124" s="368">
        <v>0</v>
      </c>
      <c r="O124" s="368"/>
      <c r="P124" s="158"/>
      <c r="Q124" s="159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36</v>
      </c>
      <c r="C125" s="236"/>
      <c r="D125" s="235">
        <f>B160</f>
        <v>10000</v>
      </c>
      <c r="E125" s="233"/>
      <c r="F125" s="55"/>
      <c r="G125" s="157"/>
      <c r="H125" s="158"/>
      <c r="I125" s="158"/>
      <c r="J125" s="158"/>
      <c r="K125" s="159"/>
      <c r="L125" s="55"/>
      <c r="M125" s="157"/>
      <c r="N125" s="158"/>
      <c r="O125" s="158"/>
      <c r="P125" s="158"/>
      <c r="Q125" s="159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238" t="s">
        <v>302</v>
      </c>
      <c r="H126" s="239" t="s">
        <v>303</v>
      </c>
      <c r="I126" s="239"/>
      <c r="J126" s="239" t="s">
        <v>304</v>
      </c>
      <c r="K126" s="159"/>
      <c r="L126" s="55"/>
      <c r="M126" s="238" t="s">
        <v>347</v>
      </c>
      <c r="N126" s="239" t="s">
        <v>259</v>
      </c>
      <c r="O126" s="239"/>
      <c r="P126" s="239" t="s">
        <v>131</v>
      </c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242">
        <f>H90</f>
        <v>189.23324535548363</v>
      </c>
      <c r="H127" s="133">
        <f>IF(G105="YES",H89*H57,0)</f>
        <v>1264.3902439024391</v>
      </c>
      <c r="I127" s="133"/>
      <c r="J127" s="243">
        <f>H91</f>
        <v>399.96495267255682</v>
      </c>
      <c r="K127" s="159"/>
      <c r="L127" s="55"/>
      <c r="M127" s="242">
        <f>N90</f>
        <v>149.46028299592803</v>
      </c>
      <c r="N127" s="133">
        <f>IF(M105="YES",N89*N57,0)</f>
        <v>1053.6585365853659</v>
      </c>
      <c r="O127" s="133"/>
      <c r="P127" s="133">
        <f>N91</f>
        <v>325.07003909348902</v>
      </c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237.14192218438359</v>
      </c>
      <c r="B128" s="232">
        <f>IF(A105="YES",B89,0)</f>
        <v>60</v>
      </c>
      <c r="C128" s="236"/>
      <c r="D128" s="232">
        <f>B91</f>
        <v>297.14192218438359</v>
      </c>
      <c r="E128" s="233"/>
      <c r="F128" s="55"/>
      <c r="G128" s="157"/>
      <c r="H128" s="158"/>
      <c r="I128" s="158"/>
      <c r="J128" s="158"/>
      <c r="K128" s="159"/>
      <c r="L128" s="55"/>
      <c r="M128" s="157"/>
      <c r="N128" s="158"/>
      <c r="O128" s="158"/>
      <c r="P128" s="158"/>
      <c r="Q128" s="159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 t="s">
        <v>94</v>
      </c>
      <c r="H129" s="158" t="s">
        <v>95</v>
      </c>
      <c r="I129" s="158"/>
      <c r="J129" s="158" t="s">
        <v>97</v>
      </c>
      <c r="K129" s="159"/>
      <c r="L129" s="55"/>
      <c r="M129" s="157" t="s">
        <v>94</v>
      </c>
      <c r="N129" s="158" t="s">
        <v>95</v>
      </c>
      <c r="O129" s="158"/>
      <c r="P129" s="158" t="s">
        <v>97</v>
      </c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169">
        <f>G152</f>
        <v>36</v>
      </c>
      <c r="H130" s="170">
        <f>B151</f>
        <v>0</v>
      </c>
      <c r="I130" s="171"/>
      <c r="J130" s="170">
        <f>B58</f>
        <v>35</v>
      </c>
      <c r="K130" s="159"/>
      <c r="L130" s="55"/>
      <c r="M130" s="169">
        <f>M155</f>
        <v>36</v>
      </c>
      <c r="N130" s="170">
        <f>B151</f>
        <v>0</v>
      </c>
      <c r="O130" s="171"/>
      <c r="P130" s="170">
        <f>B58</f>
        <v>35</v>
      </c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44" t="str">
        <f>B99</f>
        <v xml:space="preserve"> Monthly in advance </v>
      </c>
      <c r="B131" s="34">
        <f>B90*B57</f>
        <v>237.14192218438359</v>
      </c>
      <c r="C131" s="158"/>
      <c r="D131" s="34">
        <f>IF(A105="YES",B89*B57,0)</f>
        <v>60</v>
      </c>
      <c r="E131" s="159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157" t="s">
        <v>348</v>
      </c>
      <c r="N132" s="158" t="s">
        <v>251</v>
      </c>
      <c r="O132" s="158"/>
      <c r="P132" s="158" t="s">
        <v>254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1135.3994721329018</v>
      </c>
      <c r="H133" s="34">
        <f>IF(G105="YES",H89*H57,0)</f>
        <v>1264.3902439024391</v>
      </c>
      <c r="I133" s="163"/>
      <c r="J133" s="137">
        <f>H91*H57</f>
        <v>2399.7897160353409</v>
      </c>
      <c r="K133" s="159"/>
      <c r="L133" s="55"/>
      <c r="M133" s="138">
        <f>N90*N57</f>
        <v>896.76169797556815</v>
      </c>
      <c r="N133" s="34">
        <f>IF(M105="YES",N89*N57,0)</f>
        <v>1053.6585365853659</v>
      </c>
      <c r="O133" s="163"/>
      <c r="P133" s="137">
        <f>N91*N57</f>
        <v>1950.4202345609342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94">
        <f>B91*B57</f>
        <v>297.14192218438359</v>
      </c>
      <c r="B134" s="34">
        <f>E114</f>
        <v>0</v>
      </c>
      <c r="C134" s="158"/>
      <c r="D134" s="245">
        <f>B58</f>
        <v>35</v>
      </c>
      <c r="E134" s="159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157" t="s">
        <v>261</v>
      </c>
      <c r="N135" s="158" t="s">
        <v>262</v>
      </c>
      <c r="O135" s="158"/>
      <c r="P135" s="158" t="s">
        <v>266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</v>
      </c>
      <c r="H136" s="34">
        <f>IF(G105="YES",E15*0.000002,0)</f>
        <v>0</v>
      </c>
      <c r="I136" s="34"/>
      <c r="J136" s="34">
        <f>G136+H136</f>
        <v>0</v>
      </c>
      <c r="K136" s="90"/>
      <c r="L136" s="55"/>
      <c r="M136" s="94">
        <f>E15*0.000006</f>
        <v>0</v>
      </c>
      <c r="N136" s="34">
        <f>IF(M105="YES",E15*0.000002,0)</f>
        <v>0</v>
      </c>
      <c r="O136" s="34"/>
      <c r="P136" s="34">
        <f>M136+N136</f>
        <v>0</v>
      </c>
      <c r="Q136" s="90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94">
        <f>B90</f>
        <v>237.14192218438359</v>
      </c>
      <c r="B137" s="34">
        <f>IF(A105="YES",B89,0)</f>
        <v>60</v>
      </c>
      <c r="C137" s="158"/>
      <c r="D137" s="34">
        <f>B91</f>
        <v>297.14192218438359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157" t="s">
        <v>151</v>
      </c>
      <c r="N138" s="158" t="s">
        <v>316</v>
      </c>
      <c r="O138" s="158"/>
      <c r="P138" s="158" t="s">
        <v>317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199.99</v>
      </c>
      <c r="H139" s="34">
        <f>H67</f>
        <v>0</v>
      </c>
      <c r="I139" s="34"/>
      <c r="J139" s="34">
        <f>H102*0.9</f>
        <v>0</v>
      </c>
      <c r="K139" s="90"/>
      <c r="L139" s="55"/>
      <c r="M139" s="94">
        <f>M102</f>
        <v>199.99</v>
      </c>
      <c r="N139" s="34">
        <f>N67</f>
        <v>0</v>
      </c>
      <c r="O139" s="34"/>
      <c r="P139" s="34">
        <f>N102*0.9</f>
        <v>0</v>
      </c>
      <c r="Q139" s="90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250">
        <f>(B61*0.000006)*100</f>
        <v>22.442400000000003</v>
      </c>
      <c r="B140" s="251">
        <f>IF(A105="YES",B61*0.000002,0)*100</f>
        <v>7.4808000000000003</v>
      </c>
      <c r="C140" s="252"/>
      <c r="D140" s="251">
        <f>A140+B140</f>
        <v>29.923200000000001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157" t="s">
        <v>319</v>
      </c>
      <c r="N141" s="158" t="s">
        <v>320</v>
      </c>
      <c r="O141" s="158"/>
      <c r="P141" s="158" t="s">
        <v>321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IF(G105="YES",((B36*H105)*0.1)*(G130),0)</f>
        <v>36</v>
      </c>
      <c r="H142" s="34">
        <f>G102-100</f>
        <v>99.990000000000009</v>
      </c>
      <c r="I142" s="34"/>
      <c r="J142" s="34" t="e">
        <f>(H139+J139+G142+H142)-H145</f>
        <v>#DIV/0!</v>
      </c>
      <c r="K142" s="90"/>
      <c r="L142" s="55"/>
      <c r="M142" s="94">
        <f>IF(M105="YES",((B36*N105)*0.1)*(M130),0)</f>
        <v>36</v>
      </c>
      <c r="N142" s="34">
        <f>M102-100</f>
        <v>99.990000000000009</v>
      </c>
      <c r="O142" s="34"/>
      <c r="P142" s="34" t="e">
        <f>(N139+P139+M142+N142)-N145</f>
        <v>#DIV/0!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v>0</v>
      </c>
      <c r="B143" s="34">
        <f>E118</f>
        <v>199.99</v>
      </c>
      <c r="C143" s="158"/>
      <c r="D143" s="119">
        <f>B102</f>
        <v>0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157" t="s">
        <v>323</v>
      </c>
      <c r="N144" s="158" t="s">
        <v>324</v>
      </c>
      <c r="O144" s="158"/>
      <c r="P144" s="158"/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v>0</v>
      </c>
      <c r="H145" s="34" t="e">
        <f>(H139+J139+G142+H142)*(G145/H64)</f>
        <v>#DIV/0!</v>
      </c>
      <c r="I145" s="158"/>
      <c r="J145" s="158"/>
      <c r="K145" s="159"/>
      <c r="L145" s="55"/>
      <c r="M145" s="94">
        <v>0</v>
      </c>
      <c r="N145" s="34" t="e">
        <f>(N139+P139+M142+N142)*(M145/N64)</f>
        <v>#DIV/0!</v>
      </c>
      <c r="O145" s="158"/>
      <c r="P145" s="158"/>
      <c r="Q145" s="159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94"/>
      <c r="N146" s="34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3" t="s">
        <v>349</v>
      </c>
      <c r="N147" s="35" t="s">
        <v>350</v>
      </c>
      <c r="O147" s="158"/>
      <c r="P147" s="158"/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300</v>
      </c>
      <c r="B148" s="34">
        <f>B102</f>
        <v>0</v>
      </c>
      <c r="C148" s="34"/>
      <c r="D148" s="34">
        <f>IF(A105="YES",(B40*B105)*B125,0)*0.1</f>
        <v>36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285">
        <v>18000</v>
      </c>
      <c r="N148" s="400">
        <v>0.99</v>
      </c>
      <c r="O148" s="400"/>
      <c r="P148" s="158"/>
      <c r="Q148" s="159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157"/>
      <c r="N150" s="158"/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225</v>
      </c>
      <c r="B151" s="34">
        <f>(A148+B148+D148+A151)*(A143/B64)</f>
        <v>0</v>
      </c>
      <c r="C151" s="34"/>
      <c r="D151" s="34">
        <f>(A148+B148+D148+A151)-B151-A154</f>
        <v>561</v>
      </c>
      <c r="E151" s="90"/>
      <c r="F151" s="55"/>
      <c r="G151" s="387"/>
      <c r="H151" s="389">
        <f>B51</f>
        <v>10000</v>
      </c>
      <c r="I151" s="389"/>
      <c r="J151" s="158"/>
      <c r="K151" s="159"/>
      <c r="L151" s="55"/>
      <c r="M151" s="202" t="s">
        <v>329</v>
      </c>
      <c r="N151" s="158"/>
      <c r="O151" s="158"/>
      <c r="P151" s="203"/>
      <c r="Q151" s="204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36</v>
      </c>
      <c r="H152" s="343">
        <f>H91</f>
        <v>399.96495267255682</v>
      </c>
      <c r="I152" s="343"/>
      <c r="J152" s="158"/>
      <c r="K152" s="159"/>
      <c r="L152" s="55"/>
      <c r="M152" s="157"/>
      <c r="N152" s="183"/>
      <c r="O152" s="183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387" t="s">
        <v>94</v>
      </c>
      <c r="N153" s="388" t="s">
        <v>95</v>
      </c>
      <c r="O153" s="38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D102</f>
        <v>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387"/>
      <c r="N154" s="389">
        <f>B51</f>
        <v>10000</v>
      </c>
      <c r="O154" s="389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185">
        <f>A52</f>
        <v>36</v>
      </c>
      <c r="N155" s="343">
        <f>N91</f>
        <v>325.07003909348902</v>
      </c>
      <c r="O155" s="343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157"/>
      <c r="N157" s="158"/>
      <c r="O157" s="158"/>
      <c r="P157" s="158"/>
      <c r="Q157" s="159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157"/>
      <c r="N158" s="158"/>
      <c r="O158" s="158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157"/>
      <c r="N159" s="158"/>
      <c r="O159" s="15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10000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157"/>
      <c r="N160" s="158"/>
      <c r="O160" s="158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36</v>
      </c>
      <c r="B161" s="343">
        <f>B91</f>
        <v>297.14192218438359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157"/>
      <c r="N161" s="158"/>
      <c r="O161" s="158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206"/>
      <c r="N162" s="207"/>
      <c r="O162" s="207"/>
      <c r="P162" s="207"/>
      <c r="Q162" s="208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157"/>
      <c r="B165" s="158"/>
      <c r="C165" s="158"/>
      <c r="D165" s="158"/>
      <c r="E165" s="159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206"/>
      <c r="B166" s="207"/>
      <c r="C166" s="207"/>
      <c r="D166" s="207"/>
      <c r="E166" s="208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35">
        <f>A161</f>
        <v>36</v>
      </c>
      <c r="C174" s="236"/>
      <c r="D174" s="235">
        <f>D125</f>
        <v>10000</v>
      </c>
      <c r="E174" s="233"/>
      <c r="F174" s="55"/>
      <c r="G174" s="273" t="s">
        <v>379</v>
      </c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B90</f>
        <v>237.14192218438359</v>
      </c>
      <c r="B177" s="232">
        <f>IF(A105="YES",B89,0)</f>
        <v>60</v>
      </c>
      <c r="C177" s="236"/>
      <c r="D177" s="232">
        <f>B91</f>
        <v>297.14192218438359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B99</f>
        <v xml:space="preserve"> Monthly in advance </v>
      </c>
      <c r="B180" s="34">
        <f>B90*B57</f>
        <v>237.14192218438359</v>
      </c>
      <c r="C180" s="158"/>
      <c r="D180" s="34">
        <f>IF(A105="YES",B89*B57,0)</f>
        <v>60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B91*B57</f>
        <v>297.14192218438359</v>
      </c>
      <c r="B183" s="34">
        <f>E114</f>
        <v>0</v>
      </c>
      <c r="C183" s="158"/>
      <c r="D183" s="245">
        <f>B58</f>
        <v>35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B90</f>
        <v>237.14192218438359</v>
      </c>
      <c r="B186" s="34">
        <f>IF(A105="YES",B89,0)</f>
        <v>60</v>
      </c>
      <c r="C186" s="158"/>
      <c r="D186" s="34">
        <f>B91</f>
        <v>297.14192218438359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A140</f>
        <v>22.442400000000003</v>
      </c>
      <c r="B189" s="251">
        <f>B140</f>
        <v>7.4808000000000003</v>
      </c>
      <c r="C189" s="252"/>
      <c r="D189" s="251">
        <f>A189+B189</f>
        <v>29.923200000000001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E118</f>
        <v>199.99</v>
      </c>
      <c r="C192" s="158"/>
      <c r="D192" s="119">
        <f>B102</f>
        <v>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B67</f>
        <v>300</v>
      </c>
      <c r="B197" s="34">
        <f>B102</f>
        <v>0</v>
      </c>
      <c r="C197" s="34"/>
      <c r="D197" s="34">
        <f>IF(A105="YES",(B40*B105)*B125,0)*0.1</f>
        <v>36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A151</f>
        <v>225</v>
      </c>
      <c r="B200" s="34">
        <f>(A148+B148+D148+A151)*(A143/B64)</f>
        <v>0</v>
      </c>
      <c r="C200" s="34"/>
      <c r="D200" s="34">
        <f>D151</f>
        <v>561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D102</f>
        <v>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6.5000000000000002E-2</v>
      </c>
      <c r="C209" s="232" t="s">
        <v>227</v>
      </c>
      <c r="D209" s="261">
        <f>D64</f>
        <v>2331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300</v>
      </c>
      <c r="C211" s="231" t="s">
        <v>229</v>
      </c>
      <c r="D211" s="261">
        <f>B225+E221+B221+B223</f>
        <v>585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2616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D64</f>
        <v>2331</v>
      </c>
      <c r="C217" s="178" t="s">
        <v>233</v>
      </c>
      <c r="D217" s="158"/>
      <c r="E217" s="214">
        <f>B66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B67</f>
        <v>300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(B77-(B77*(E219*100)))*0.1</f>
        <v>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B78-(B78*(E219*100))</f>
        <v>0</v>
      </c>
      <c r="C223" s="163" t="s">
        <v>230</v>
      </c>
      <c r="D223" s="158"/>
      <c r="E223" s="29">
        <f>(B217-B211+D211)</f>
        <v>2616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360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customFormat="1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B71</f>
        <v>200</v>
      </c>
      <c r="C229" s="163" t="s">
        <v>238</v>
      </c>
      <c r="D229" s="254"/>
      <c r="E229" s="118">
        <f>B72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D73</f>
        <v>380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B68</f>
        <v>7.4999999999999997E-3</v>
      </c>
      <c r="C231" s="163" t="s">
        <v>241</v>
      </c>
      <c r="D231" s="254"/>
      <c r="E231" s="214">
        <f>B69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B86</f>
        <v>71.711717268557607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B79</f>
        <v>200</v>
      </c>
      <c r="C233" s="268" t="s">
        <v>336</v>
      </c>
      <c r="D233" s="269"/>
      <c r="E233" s="118">
        <f>B74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B80</f>
        <v>200</v>
      </c>
      <c r="C235" s="272" t="s">
        <v>337</v>
      </c>
      <c r="D235" s="272"/>
      <c r="E235" s="118">
        <f>B75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/>
    <row r="359" spans="1:26" ht="15.75" customHeight="1"/>
    <row r="360" spans="1:26" ht="15.75" customHeight="1"/>
    <row r="361" spans="1:26" ht="15.75" customHeight="1"/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4">
    <mergeCell ref="A207:E207"/>
    <mergeCell ref="A159:A160"/>
    <mergeCell ref="B159:C159"/>
    <mergeCell ref="B160:C160"/>
    <mergeCell ref="B161:C161"/>
    <mergeCell ref="A171:E171"/>
    <mergeCell ref="H152:I152"/>
    <mergeCell ref="M153:M154"/>
    <mergeCell ref="N153:O153"/>
    <mergeCell ref="N154:O154"/>
    <mergeCell ref="N155:O155"/>
    <mergeCell ref="H124:I124"/>
    <mergeCell ref="N124:O124"/>
    <mergeCell ref="N148:O148"/>
    <mergeCell ref="G150:G151"/>
    <mergeCell ref="H150:I150"/>
    <mergeCell ref="H151:I151"/>
    <mergeCell ref="P105:Q105"/>
    <mergeCell ref="A108:E108"/>
    <mergeCell ref="G108:K108"/>
    <mergeCell ref="M108:Q108"/>
    <mergeCell ref="A122:E122"/>
    <mergeCell ref="G122:K122"/>
    <mergeCell ref="M122:Q122"/>
    <mergeCell ref="B105:C105"/>
    <mergeCell ref="D105:E105"/>
    <mergeCell ref="H105:I105"/>
    <mergeCell ref="J105:K105"/>
    <mergeCell ref="N105:O105"/>
    <mergeCell ref="N99:O99"/>
    <mergeCell ref="P99:Q99"/>
    <mergeCell ref="B102:C102"/>
    <mergeCell ref="D102:E102"/>
    <mergeCell ref="H102:I102"/>
    <mergeCell ref="J102:K102"/>
    <mergeCell ref="N102:O102"/>
    <mergeCell ref="P102:Q102"/>
    <mergeCell ref="B97:C97"/>
    <mergeCell ref="B99:C99"/>
    <mergeCell ref="D99:E99"/>
    <mergeCell ref="H99:I99"/>
    <mergeCell ref="J99:K99"/>
    <mergeCell ref="B52:C52"/>
    <mergeCell ref="A94:E94"/>
    <mergeCell ref="G94:K94"/>
    <mergeCell ref="M94:Q94"/>
    <mergeCell ref="A96:E96"/>
    <mergeCell ref="G96:K96"/>
    <mergeCell ref="M96:Q96"/>
    <mergeCell ref="C44:D44"/>
    <mergeCell ref="C45:D45"/>
    <mergeCell ref="A50:A51"/>
    <mergeCell ref="B50:C50"/>
    <mergeCell ref="B51:C51"/>
    <mergeCell ref="A24:E24"/>
    <mergeCell ref="A28:E28"/>
    <mergeCell ref="B30:C30"/>
    <mergeCell ref="G38:H38"/>
    <mergeCell ref="B40:C40"/>
    <mergeCell ref="A1:F1"/>
    <mergeCell ref="D7:E18"/>
    <mergeCell ref="A16:C18"/>
    <mergeCell ref="A19:D19"/>
    <mergeCell ref="A21:D21"/>
  </mergeCells>
  <dataValidations count="1">
    <dataValidation type="list" allowBlank="1" showErrorMessage="1" sqref="H99 N99 G105 M105 O107 H110 N110" xr:uid="{00000000-0002-0000-2D00-000002000000}">
      <formula1>#REF!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D00-000000000000}">
          <x14:formula1>
            <xm:f>'Formula1-BCH'!$I$3:$I$4</xm:f>
          </x14:formula1>
          <x14:formula2>
            <xm:f>0</xm:f>
          </x14:formula2>
          <xm:sqref>B26 A105 B110</xm:sqref>
        </x14:dataValidation>
        <x14:dataValidation type="list" allowBlank="1" showErrorMessage="1" xr:uid="{00000000-0002-0000-2D00-000001000000}">
          <x14:formula1>
            <xm:f>'Formula1-BCH'!$Y$97:$Y$105</xm:f>
          </x14:formula1>
          <x14:formula2>
            <xm:f>0</xm:f>
          </x14:formula2>
          <xm:sqref>B99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AC1002"/>
  <sheetViews>
    <sheetView topLeftCell="A214" zoomScale="110" zoomScaleNormal="110" workbookViewId="0">
      <selection activeCell="D201" sqref="D201"/>
    </sheetView>
  </sheetViews>
  <sheetFormatPr defaultColWidth="10.875" defaultRowHeight="14.25"/>
  <cols>
    <col min="1" max="1" customWidth="true" width="56.0"/>
    <col min="2" max="2" customWidth="true" width="18.125"/>
    <col min="3" max="3" customWidth="true" width="25.125"/>
    <col min="4" max="4" customWidth="true" width="18.125"/>
    <col min="5" max="5" customWidth="true" width="24.0"/>
    <col min="7" max="7" customWidth="true" width="53.5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38.2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17875</v>
      </c>
      <c r="C2" s="6" t="s">
        <v>16</v>
      </c>
      <c r="D2" s="7">
        <f>C9</f>
        <v>3575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>
        <v>25000</v>
      </c>
      <c r="H3" s="55"/>
      <c r="I3" s="55" t="s">
        <v>31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21450</v>
      </c>
      <c r="C4" s="194"/>
      <c r="D4" s="194"/>
      <c r="E4" s="194"/>
      <c r="F4" s="195" t="s">
        <v>10</v>
      </c>
      <c r="G4" s="55"/>
      <c r="H4" s="55"/>
      <c r="I4" s="55" t="s">
        <v>32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297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>
      <c r="A8" s="196"/>
      <c r="B8" s="55"/>
      <c r="C8" s="55"/>
      <c r="D8" s="392"/>
      <c r="E8" s="392"/>
      <c r="F8" s="55"/>
      <c r="G8" s="298" t="e">
        <f>G9*100/B3</f>
        <v>#DIV/0!</v>
      </c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17875</v>
      </c>
      <c r="C9" s="11">
        <f>B9*0.2</f>
        <v>3575</v>
      </c>
      <c r="D9" s="392"/>
      <c r="E9" s="392"/>
      <c r="F9" s="55"/>
      <c r="G9" s="297">
        <f>E9-G11</f>
        <v>-152558.33333333334</v>
      </c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297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297">
        <f>G13/1.2</f>
        <v>152558.33333333334</v>
      </c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297">
        <f>G15-E14-E13-E12</f>
        <v>183070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17875</v>
      </c>
      <c r="C15" s="11">
        <f>SUM(C9:C13)</f>
        <v>3575</v>
      </c>
      <c r="D15" s="392"/>
      <c r="E15" s="392"/>
      <c r="F15" s="55"/>
      <c r="G15" s="17">
        <v>183070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299">
        <f>(B3+C3+E10)*1.2</f>
        <v>0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17">
        <f>(B3+C3+D3+E3+E10)*1.2</f>
        <v>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21450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17875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354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162" t="s">
        <v>138</v>
      </c>
      <c r="B26" s="164" t="s">
        <v>386</v>
      </c>
      <c r="C26" s="158"/>
      <c r="D26" s="158"/>
      <c r="E26" s="159"/>
      <c r="F26" s="55"/>
      <c r="G26" s="160" t="s">
        <v>36</v>
      </c>
      <c r="H26" s="160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38</v>
      </c>
      <c r="H27" s="161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377" t="s">
        <v>192</v>
      </c>
      <c r="B28" s="377"/>
      <c r="C28" s="377"/>
      <c r="D28" s="377"/>
      <c r="E28" s="377"/>
      <c r="F28" s="55"/>
      <c r="G28" s="161" t="s">
        <v>40</v>
      </c>
      <c r="H28" s="16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57"/>
      <c r="B29" s="158"/>
      <c r="C29" s="158"/>
      <c r="D29" s="158"/>
      <c r="E29" s="159"/>
      <c r="F29" s="55"/>
      <c r="G29" s="160" t="s">
        <v>41</v>
      </c>
      <c r="H29" s="300">
        <v>36</v>
      </c>
      <c r="I29" s="273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 t="s">
        <v>193</v>
      </c>
      <c r="B30" s="368" t="s">
        <v>387</v>
      </c>
      <c r="C30" s="368"/>
      <c r="D30" s="158"/>
      <c r="E30" s="159"/>
      <c r="F30" s="55"/>
      <c r="G30" s="160" t="s">
        <v>45</v>
      </c>
      <c r="H30" s="300">
        <v>10000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57"/>
      <c r="B31" s="158"/>
      <c r="C31" s="158"/>
      <c r="D31" s="158"/>
      <c r="E31" s="159"/>
      <c r="F31" s="55"/>
      <c r="G31" s="160" t="s">
        <v>48</v>
      </c>
      <c r="H31" s="37">
        <v>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57" t="s">
        <v>94</v>
      </c>
      <c r="B32" s="158" t="s">
        <v>95</v>
      </c>
      <c r="C32" s="158"/>
      <c r="D32" s="301" t="s">
        <v>355</v>
      </c>
      <c r="E32" s="159"/>
      <c r="F32" s="55"/>
      <c r="G32" s="160" t="s">
        <v>49</v>
      </c>
      <c r="I32" s="37">
        <v>0</v>
      </c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31.7" customHeight="1">
      <c r="A33" s="169">
        <f>A52</f>
        <v>36</v>
      </c>
      <c r="B33" s="170">
        <v>10000</v>
      </c>
      <c r="C33" s="171"/>
      <c r="D33" s="302">
        <f>H48</f>
        <v>551.92810646852195</v>
      </c>
      <c r="E33" s="159"/>
      <c r="F33" s="55"/>
      <c r="G33" s="161" t="s">
        <v>356</v>
      </c>
      <c r="H33" s="43">
        <f>E21-E11</f>
        <v>17875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57"/>
      <c r="B34" s="158"/>
      <c r="C34" s="158"/>
      <c r="D34" s="158"/>
      <c r="E34" s="159"/>
      <c r="F34" s="55"/>
      <c r="G34" s="55" t="s">
        <v>372</v>
      </c>
      <c r="H34" s="55">
        <f>H29</f>
        <v>36</v>
      </c>
      <c r="I34" s="55">
        <v>43957.29</v>
      </c>
      <c r="J34" s="55">
        <v>841.24</v>
      </c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57" t="s">
        <v>357</v>
      </c>
      <c r="B35" s="158" t="s">
        <v>358</v>
      </c>
      <c r="C35" s="158"/>
      <c r="D35" s="158" t="s">
        <v>359</v>
      </c>
      <c r="E35" s="159"/>
      <c r="F35" s="55"/>
      <c r="G35" s="46" t="s">
        <v>59</v>
      </c>
      <c r="H35" s="174">
        <v>7.0000000000000007E-2</v>
      </c>
      <c r="I35" s="55">
        <v>46215.83</v>
      </c>
      <c r="J35" s="55">
        <v>909.69</v>
      </c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38">
        <f>H47</f>
        <v>551.92810646852195</v>
      </c>
      <c r="B36" s="34" t="str">
        <f>IF(B26="YES",H42,"")</f>
        <v/>
      </c>
      <c r="C36" s="163"/>
      <c r="D36" s="137">
        <f>H31</f>
        <v>0</v>
      </c>
      <c r="E36" s="159"/>
      <c r="F36" s="55"/>
      <c r="G36" s="55"/>
      <c r="H36" s="55"/>
      <c r="I36" s="55">
        <f>I35-I34</f>
        <v>2258.5400000000009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94"/>
      <c r="B37" s="34"/>
      <c r="C37" s="163"/>
      <c r="D37" s="34"/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57"/>
      <c r="B38" s="158"/>
      <c r="C38" s="158"/>
      <c r="D38" s="158"/>
      <c r="E38" s="159"/>
      <c r="F38" s="55"/>
      <c r="G38" s="384" t="s">
        <v>65</v>
      </c>
      <c r="H38" s="384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57" t="s">
        <v>360</v>
      </c>
      <c r="B39" s="158" t="s">
        <v>361</v>
      </c>
      <c r="C39" s="158"/>
      <c r="D39" s="158" t="s">
        <v>362</v>
      </c>
      <c r="E39" s="159"/>
      <c r="F39" s="55"/>
      <c r="G39" s="55" t="s">
        <v>96</v>
      </c>
      <c r="H39" s="5">
        <f>H33</f>
        <v>17875</v>
      </c>
      <c r="I39" s="5">
        <f>(I48*H46)+H44</f>
        <v>45341.050232286456</v>
      </c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92">
        <f>D36*A45/100</f>
        <v>0</v>
      </c>
      <c r="B40" s="348" t="str">
        <f>IF(B26="YES",H42,"0")</f>
        <v>0</v>
      </c>
      <c r="C40" s="348"/>
      <c r="D40" s="137">
        <f>I32</f>
        <v>0</v>
      </c>
      <c r="E40" s="159"/>
      <c r="F40" s="55"/>
      <c r="G40" s="55" t="s">
        <v>118</v>
      </c>
      <c r="H40" s="5">
        <f>A40/1.2</f>
        <v>0</v>
      </c>
      <c r="I40" s="5">
        <f>H39-I39</f>
        <v>-27466.050232286456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157"/>
      <c r="B41" s="158"/>
      <c r="C41" s="158"/>
      <c r="D41" s="158"/>
      <c r="E41" s="159"/>
      <c r="F41" s="55"/>
      <c r="G41" s="55" t="s">
        <v>363</v>
      </c>
      <c r="H41" s="180">
        <f>H35/12</f>
        <v>5.8333333333333336E-3</v>
      </c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57"/>
      <c r="B42" s="158"/>
      <c r="C42" s="158"/>
      <c r="D42" s="158"/>
      <c r="E42" s="159"/>
      <c r="F42" s="55"/>
      <c r="G42" s="55" t="s">
        <v>364</v>
      </c>
      <c r="H42" s="5">
        <f>(I32/H34)*(C45/100)</f>
        <v>0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209"/>
      <c r="B43" s="210"/>
      <c r="C43" s="210"/>
      <c r="D43" s="210"/>
      <c r="E43" s="211"/>
      <c r="F43" s="55"/>
      <c r="G43" s="55" t="s">
        <v>365</v>
      </c>
      <c r="H43" s="55"/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303" t="s">
        <v>89</v>
      </c>
      <c r="B44" s="158"/>
      <c r="C44" s="404" t="s">
        <v>90</v>
      </c>
      <c r="D44" s="404"/>
      <c r="E44" s="159"/>
      <c r="F44" s="55"/>
      <c r="G44" s="55" t="s">
        <v>373</v>
      </c>
      <c r="H44" s="5">
        <f>(H40/(1+H41)^(H34+1))</f>
        <v>0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304">
        <v>100</v>
      </c>
      <c r="B45" s="158"/>
      <c r="C45" s="405">
        <v>100</v>
      </c>
      <c r="D45" s="405"/>
      <c r="E45" s="159"/>
      <c r="F45" s="55"/>
      <c r="G45" s="55" t="s">
        <v>374</v>
      </c>
      <c r="H45" s="5">
        <f>(H39-H44)</f>
        <v>17875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6"/>
      <c r="B46" s="207"/>
      <c r="C46" s="207"/>
      <c r="D46" s="207"/>
      <c r="E46" s="208"/>
      <c r="F46" s="55"/>
      <c r="G46" s="55" t="s">
        <v>375</v>
      </c>
      <c r="H46" s="5">
        <f>((1-(1/((1+H41)^H34)))/H41)</f>
        <v>32.386464451633181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57"/>
      <c r="B47" s="158"/>
      <c r="C47" s="158"/>
      <c r="D47" s="158"/>
      <c r="E47" s="159"/>
      <c r="F47" s="55"/>
      <c r="G47" s="55" t="s">
        <v>369</v>
      </c>
      <c r="H47" s="5">
        <f>H45/H46</f>
        <v>551.92810646852195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305" t="s">
        <v>370</v>
      </c>
      <c r="H48" s="5">
        <f>IF(B26="YES",H47+H42,H47)</f>
        <v>551.92810646852195</v>
      </c>
      <c r="I48" s="5">
        <f>I49-H42</f>
        <v>1400</v>
      </c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 t="s">
        <v>371</v>
      </c>
      <c r="H49" s="205"/>
      <c r="I49" s="5">
        <v>1400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10000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36</v>
      </c>
      <c r="B52" s="343">
        <f>H48</f>
        <v>551.92810646852195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158"/>
      <c r="N55" s="158"/>
      <c r="O55" s="158"/>
      <c r="P55" s="158"/>
      <c r="Q55" s="158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209"/>
      <c r="N56" s="210"/>
      <c r="O56" s="210"/>
      <c r="P56" s="210"/>
      <c r="Q56" s="211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IF(B99=Y97,1,IF(B99=Y98,1,IF(B99=Y99,3,IF(B99=Y100,6,IF(B99=Y101,9,IF(B99=Y102,12,IF(B99=Y103,3,IF(B99=Y104,6,IF(B99=Y105,9,0)))))))))</f>
        <v>1</v>
      </c>
      <c r="C57" s="158"/>
      <c r="D57" s="158"/>
      <c r="E57" s="159"/>
      <c r="F57" s="55"/>
      <c r="G57" s="157" t="s">
        <v>96</v>
      </c>
      <c r="H57" s="158">
        <f>IF(H99=Y97,1,IF(H99=Y98,1,IF(H99=Y99,3,IF(H99=Y100,6,IF(H99=Y101,9,IF(H99=Y102,12,IF(H99=Y103,3,IF(H99=Y104,6,IF(H99=Y105,9,0)))))))))</f>
        <v>6</v>
      </c>
      <c r="I57" s="158"/>
      <c r="J57" s="158"/>
      <c r="K57" s="159"/>
      <c r="L57" s="55"/>
      <c r="M57" s="157" t="s">
        <v>96</v>
      </c>
      <c r="N57" s="158">
        <f>IF(N99=Y97,1,IF(N99=Y98,1,IF(N99=Y99,3,IF(N99=Y100,6,IF(N99=Y101,9,IF(N99=Y102,12,IF(N99=Y103,3,IF(N99=Y104,6,IF(N99=Y105,9,0)))))))))</f>
        <v>6</v>
      </c>
      <c r="O57" s="158"/>
      <c r="P57" s="158"/>
      <c r="Q57" s="159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IF(B99=Y97,H29-B57,IF(B99=Y98,H29-B57,IF(B99=Y99,H29-1,IF(B99=Y100,H29-1,IF(B99=Y101,H29-1,IF(B99=Y102,H29-1,IF(B99=Y103,H29-B57,IF(B99=Y104,H29-B57,IF(B99=Y105,H29-B57,0)))))))))</f>
        <v>35</v>
      </c>
      <c r="C58" s="158"/>
      <c r="D58" s="158"/>
      <c r="E58" s="159"/>
      <c r="F58" s="55"/>
      <c r="G58" s="157" t="s">
        <v>97</v>
      </c>
      <c r="H58" s="158">
        <f>IF(H99=Y97,H29-H57,IF(H99=Y98,H29-H57,IF(H99=Y99,H29-1,IF(H99=Y100,H29-1,IF(H99=Y101,H29-1,IF(H99=Y102,H29-1,IF(H99=Y103,H29-H57,IF(H99=Y104,H29-H57,IF(H99=Y105,H29-H57,0)))))))))</f>
        <v>35</v>
      </c>
      <c r="I58" s="158"/>
      <c r="J58" s="158"/>
      <c r="K58" s="159"/>
      <c r="L58" s="55"/>
      <c r="M58" s="157" t="s">
        <v>97</v>
      </c>
      <c r="N58" s="158">
        <f>IF(N99=Y97,H29-N57,IF(N99=Y98,H29-N57,IF(N99=Y99,H29-1,IF(N99=Y100,H29-1,IF(N99=Y101,H29-1,IF(N99=Y102,H29-1,IF(N99=Y103,H29-N57,IF(N99=Y104,H29-N57,IF(N99=Y105,H29-N57,0)))))))))</f>
        <v>35</v>
      </c>
      <c r="O58" s="158"/>
      <c r="P58" s="158"/>
      <c r="Q58" s="159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157"/>
      <c r="N59" s="158"/>
      <c r="O59" s="158"/>
      <c r="P59" s="158"/>
      <c r="Q59" s="159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 t="s">
        <v>376</v>
      </c>
      <c r="B60" s="158">
        <f>E19</f>
        <v>21450</v>
      </c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157"/>
      <c r="N60" s="158"/>
      <c r="O60" s="158"/>
      <c r="P60" s="158"/>
      <c r="Q60" s="159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v>37404</v>
      </c>
      <c r="C61" s="158"/>
      <c r="D61" s="158"/>
      <c r="E61" s="159"/>
      <c r="F61" s="55"/>
      <c r="G61" s="157" t="s">
        <v>27</v>
      </c>
      <c r="H61" s="28">
        <f>G18</f>
        <v>0</v>
      </c>
      <c r="I61" s="158"/>
      <c r="J61" s="158"/>
      <c r="K61" s="159"/>
      <c r="L61" s="55"/>
      <c r="M61" s="157" t="s">
        <v>27</v>
      </c>
      <c r="N61" s="28">
        <f>G18</f>
        <v>0</v>
      </c>
      <c r="O61" s="158"/>
      <c r="P61" s="158"/>
      <c r="Q61" s="159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212" t="s">
        <v>283</v>
      </c>
      <c r="N62" s="213">
        <v>7.0000000000000007E-2</v>
      </c>
      <c r="O62" s="158"/>
      <c r="P62" s="158"/>
      <c r="Q62" s="159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0.105</v>
      </c>
      <c r="C63" s="158"/>
      <c r="D63" s="158"/>
      <c r="E63" s="159"/>
      <c r="F63" s="55"/>
      <c r="G63" s="157" t="s">
        <v>284</v>
      </c>
      <c r="H63" s="214">
        <f>H62+(H62*0.25*(H29/12-1))</f>
        <v>0.10500000000000001</v>
      </c>
      <c r="I63" s="158"/>
      <c r="J63" s="158"/>
      <c r="K63" s="159"/>
      <c r="L63" s="55"/>
      <c r="M63" s="157" t="s">
        <v>284</v>
      </c>
      <c r="N63" s="214">
        <f>N62+(N62*0.25*(H29/12-1))</f>
        <v>0.10500000000000001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C64</f>
        <v>10000</v>
      </c>
      <c r="C64" s="306">
        <v>10000</v>
      </c>
      <c r="D64" s="28">
        <f>B64</f>
        <v>10000</v>
      </c>
      <c r="E64" s="307">
        <f>D64/(B58+B57)</f>
        <v>277.77777777777777</v>
      </c>
      <c r="F64" s="55"/>
      <c r="G64" s="206" t="s">
        <v>102</v>
      </c>
      <c r="H64" s="57">
        <f>H61*H63</f>
        <v>0</v>
      </c>
      <c r="I64" s="158"/>
      <c r="J64" s="28">
        <f>H64-G145</f>
        <v>0</v>
      </c>
      <c r="K64" s="159"/>
      <c r="L64" s="55"/>
      <c r="M64" s="206" t="s">
        <v>102</v>
      </c>
      <c r="N64" s="57">
        <f>N61*N63</f>
        <v>0</v>
      </c>
      <c r="O64" s="158"/>
      <c r="P64" s="28">
        <f>N64-M145</f>
        <v>0</v>
      </c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>
        <v>250</v>
      </c>
      <c r="C65" s="158"/>
      <c r="D65" s="28"/>
      <c r="E65" s="159"/>
      <c r="F65" s="55"/>
      <c r="G65" s="212" t="s">
        <v>103</v>
      </c>
      <c r="H65" s="213">
        <v>0.01</v>
      </c>
      <c r="I65" s="158"/>
      <c r="J65" s="158"/>
      <c r="K65" s="159"/>
      <c r="L65" s="55"/>
      <c r="M65" s="212" t="s">
        <v>103</v>
      </c>
      <c r="N65" s="213">
        <v>0.01</v>
      </c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308" t="s">
        <v>233</v>
      </c>
      <c r="D66" s="158"/>
      <c r="E66" s="159"/>
      <c r="F66" s="55"/>
      <c r="G66" s="157" t="s">
        <v>104</v>
      </c>
      <c r="H66" s="214">
        <f>H65+(H65*0.5*(H29/12-1))</f>
        <v>0.02</v>
      </c>
      <c r="I66" s="158"/>
      <c r="J66" s="158"/>
      <c r="K66" s="159"/>
      <c r="L66" s="55"/>
      <c r="M66" s="157" t="s">
        <v>104</v>
      </c>
      <c r="N66" s="214">
        <f>N65+(N65*0.5*(H29/12-1))</f>
        <v>0.02</v>
      </c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250</v>
      </c>
      <c r="C67" s="309" t="s">
        <v>233</v>
      </c>
      <c r="D67" s="310"/>
      <c r="E67" s="159"/>
      <c r="F67" s="55"/>
      <c r="G67" s="206" t="s">
        <v>105</v>
      </c>
      <c r="H67" s="57">
        <f>(H61*H66)/1.2</f>
        <v>0</v>
      </c>
      <c r="I67" s="158"/>
      <c r="J67" s="28"/>
      <c r="K67" s="159"/>
      <c r="L67" s="55"/>
      <c r="M67" s="206" t="s">
        <v>105</v>
      </c>
      <c r="N67" s="57">
        <f>(N61*N66)/1.2</f>
        <v>0</v>
      </c>
      <c r="O67" s="158"/>
      <c r="P67" s="2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311"/>
      <c r="D68" s="2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212" t="s">
        <v>106</v>
      </c>
      <c r="N68" s="213">
        <v>7.4999999999999997E-3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216" t="s">
        <v>107</v>
      </c>
      <c r="N69" s="217">
        <v>0.12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206" t="s">
        <v>108</v>
      </c>
      <c r="N70" s="312">
        <f>N68*(1+N69)</f>
        <v>8.4000000000000012E-3</v>
      </c>
      <c r="O70" s="158"/>
      <c r="P70" s="158"/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160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212" t="s">
        <v>109</v>
      </c>
      <c r="N71" s="74">
        <v>160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4.5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216" t="s">
        <v>110</v>
      </c>
      <c r="N72" s="65">
        <v>4.5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162</v>
      </c>
      <c r="C73" s="158"/>
      <c r="D73" s="313">
        <f>B73+B71</f>
        <v>322</v>
      </c>
      <c r="E73" s="159" t="s">
        <v>239</v>
      </c>
      <c r="F73" s="55"/>
      <c r="G73" s="206" t="s">
        <v>111</v>
      </c>
      <c r="H73" s="57">
        <f>H72*H29</f>
        <v>162</v>
      </c>
      <c r="I73" s="158"/>
      <c r="J73" s="28">
        <f>H73+H71</f>
        <v>322</v>
      </c>
      <c r="K73" s="159"/>
      <c r="L73" s="55"/>
      <c r="M73" s="206" t="s">
        <v>111</v>
      </c>
      <c r="N73" s="57">
        <f>N72*H29</f>
        <v>162</v>
      </c>
      <c r="O73" s="158"/>
      <c r="P73" s="28">
        <f>N73+N71</f>
        <v>322</v>
      </c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180</v>
      </c>
      <c r="C74" s="158"/>
      <c r="D74" s="158"/>
      <c r="E74" s="159"/>
      <c r="F74" s="55"/>
      <c r="G74" s="212" t="s">
        <v>285</v>
      </c>
      <c r="H74" s="74">
        <v>165</v>
      </c>
      <c r="I74" s="158"/>
      <c r="J74" s="158"/>
      <c r="K74" s="159"/>
      <c r="L74" s="55"/>
      <c r="M74" s="277" t="s">
        <v>285</v>
      </c>
      <c r="N74" s="278">
        <v>0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0</v>
      </c>
      <c r="C75" s="158"/>
      <c r="D75" s="158"/>
      <c r="E75" s="159"/>
      <c r="F75" s="55"/>
      <c r="G75" s="216" t="s">
        <v>286</v>
      </c>
      <c r="H75" s="65">
        <v>0</v>
      </c>
      <c r="I75" s="158"/>
      <c r="J75" s="158"/>
      <c r="K75" s="159"/>
      <c r="L75" s="55"/>
      <c r="M75" s="279" t="s">
        <v>286</v>
      </c>
      <c r="N75" s="280">
        <v>0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((B74+B75)/12)*(H29+1)</f>
        <v>555</v>
      </c>
      <c r="C76" s="158"/>
      <c r="D76" s="28">
        <f>B76</f>
        <v>555</v>
      </c>
      <c r="E76" s="159"/>
      <c r="F76" s="55"/>
      <c r="G76" s="206" t="s">
        <v>287</v>
      </c>
      <c r="H76" s="57">
        <f>((H74+H75)/12)*(H29-11)</f>
        <v>343.75</v>
      </c>
      <c r="I76" s="158"/>
      <c r="J76" s="28">
        <f>H76</f>
        <v>343.75</v>
      </c>
      <c r="K76" s="159"/>
      <c r="L76" s="55"/>
      <c r="M76" s="281" t="s">
        <v>287</v>
      </c>
      <c r="N76" s="282">
        <f>((N74+N75)/12)*(H29-11)</f>
        <v>0</v>
      </c>
      <c r="O76" s="158"/>
      <c r="P76" s="28">
        <f>N76</f>
        <v>0</v>
      </c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09" t="s">
        <v>288</v>
      </c>
      <c r="B77" s="24">
        <f>B102/(1-0.1)</f>
        <v>444.44444444444446</v>
      </c>
      <c r="C77" s="252"/>
      <c r="D77" s="28">
        <f>B77</f>
        <v>444.44444444444446</v>
      </c>
      <c r="E77" s="307">
        <f>D77/(B58+B57)</f>
        <v>12.345679012345679</v>
      </c>
      <c r="F77" s="55"/>
      <c r="G77" s="212" t="s">
        <v>288</v>
      </c>
      <c r="H77" s="74">
        <v>0</v>
      </c>
      <c r="I77" s="158"/>
      <c r="J77" s="28">
        <f>H77</f>
        <v>0</v>
      </c>
      <c r="K77" s="159"/>
      <c r="L77" s="55"/>
      <c r="M77" s="212" t="s">
        <v>288</v>
      </c>
      <c r="N77" s="74">
        <v>0</v>
      </c>
      <c r="O77" s="158"/>
      <c r="P77" s="28">
        <f>N77</f>
        <v>0</v>
      </c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252"/>
      <c r="D78" s="28">
        <f>B78</f>
        <v>222.22222222222223</v>
      </c>
      <c r="E78" s="307"/>
      <c r="F78" s="55"/>
      <c r="G78" s="157" t="s">
        <v>289</v>
      </c>
      <c r="H78" s="29">
        <v>0</v>
      </c>
      <c r="I78" s="158"/>
      <c r="J78" s="28">
        <f>H78</f>
        <v>0</v>
      </c>
      <c r="K78" s="159"/>
      <c r="L78" s="55"/>
      <c r="M78" s="157" t="s">
        <v>289</v>
      </c>
      <c r="N78" s="29">
        <v>0</v>
      </c>
      <c r="O78" s="158"/>
      <c r="P78" s="28">
        <f>N78</f>
        <v>0</v>
      </c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300</v>
      </c>
      <c r="C79" s="252"/>
      <c r="D79" s="28">
        <f>B79</f>
        <v>300</v>
      </c>
      <c r="E79" s="307"/>
      <c r="F79" s="55"/>
      <c r="G79" s="216" t="s">
        <v>112</v>
      </c>
      <c r="H79" s="65">
        <v>200</v>
      </c>
      <c r="I79" s="158"/>
      <c r="J79" s="28">
        <f>H79</f>
        <v>200</v>
      </c>
      <c r="K79" s="159"/>
      <c r="L79" s="55"/>
      <c r="M79" s="216" t="s">
        <v>112</v>
      </c>
      <c r="N79" s="65">
        <v>200</v>
      </c>
      <c r="O79" s="158"/>
      <c r="P79" s="28">
        <f>N79</f>
        <v>200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100</v>
      </c>
      <c r="C80" s="252"/>
      <c r="D80" s="28">
        <f>B80</f>
        <v>100</v>
      </c>
      <c r="E80" s="307">
        <f>(D73+D76+D79+D80)/(B58+B57)</f>
        <v>35.472222222222221</v>
      </c>
      <c r="F80" s="55"/>
      <c r="G80" s="219" t="s">
        <v>113</v>
      </c>
      <c r="H80" s="75">
        <v>200</v>
      </c>
      <c r="I80" s="158"/>
      <c r="J80" s="28">
        <f>H80</f>
        <v>200</v>
      </c>
      <c r="K80" s="159"/>
      <c r="L80" s="55"/>
      <c r="M80" s="219" t="s">
        <v>113</v>
      </c>
      <c r="N80" s="75">
        <v>200</v>
      </c>
      <c r="O80" s="158"/>
      <c r="P80" s="28">
        <f>N80</f>
        <v>200</v>
      </c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11943.666666666668</v>
      </c>
      <c r="C81" s="252"/>
      <c r="D81" s="314"/>
      <c r="E81" s="307"/>
      <c r="F81" s="55"/>
      <c r="G81" s="220" t="s">
        <v>114</v>
      </c>
      <c r="H81" s="221">
        <f>SUM(J64:J80)</f>
        <v>1065.75</v>
      </c>
      <c r="I81" s="158"/>
      <c r="J81" s="158"/>
      <c r="K81" s="159"/>
      <c r="L81" s="55"/>
      <c r="M81" s="220" t="s">
        <v>114</v>
      </c>
      <c r="N81" s="221">
        <f>SUM(P64:P80)</f>
        <v>722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331.76851851851853</v>
      </c>
      <c r="C82" s="252"/>
      <c r="D82" s="158"/>
      <c r="E82" s="307"/>
      <c r="F82" s="55"/>
      <c r="G82" s="157" t="s">
        <v>115</v>
      </c>
      <c r="H82" s="29">
        <f>H81/H29</f>
        <v>29.604166666666668</v>
      </c>
      <c r="I82" s="158"/>
      <c r="J82" s="158"/>
      <c r="K82" s="159"/>
      <c r="L82" s="55"/>
      <c r="M82" s="157" t="s">
        <v>115</v>
      </c>
      <c r="N82" s="29">
        <f>N81/H29</f>
        <v>20.055555555555557</v>
      </c>
      <c r="O82" s="158"/>
      <c r="P82" s="158"/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H47</f>
        <v>551.92810646852195</v>
      </c>
      <c r="C83" s="252"/>
      <c r="D83" s="158"/>
      <c r="E83" s="307">
        <f>B83+E80+E77+E64</f>
        <v>877.52378548086767</v>
      </c>
      <c r="F83" s="55"/>
      <c r="G83" s="222" t="s">
        <v>116</v>
      </c>
      <c r="H83" s="52">
        <f>H47</f>
        <v>551.92810646852195</v>
      </c>
      <c r="I83" s="158"/>
      <c r="J83" s="158"/>
      <c r="K83" s="159"/>
      <c r="L83" s="55"/>
      <c r="M83" s="222" t="s">
        <v>116</v>
      </c>
      <c r="N83" s="52">
        <f>H47</f>
        <v>551.92810646852195</v>
      </c>
      <c r="O83" s="158"/>
      <c r="P83" s="158"/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252"/>
      <c r="D84" s="252"/>
      <c r="E84" s="307"/>
      <c r="F84" s="55"/>
      <c r="G84" s="157"/>
      <c r="H84" s="28"/>
      <c r="I84" s="158"/>
      <c r="J84" s="158"/>
      <c r="K84" s="159"/>
      <c r="L84" s="55"/>
      <c r="M84" s="157"/>
      <c r="N84" s="28"/>
      <c r="O84" s="158"/>
      <c r="P84" s="158"/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((B83*H29)+B81)*1.2</f>
        <v>38175.69419944015</v>
      </c>
      <c r="C85" s="252"/>
      <c r="D85" s="252"/>
      <c r="E85" s="307">
        <f>B85/(B58+B57)</f>
        <v>1060.4359499844486</v>
      </c>
      <c r="F85" s="55"/>
      <c r="G85" s="209" t="s">
        <v>126</v>
      </c>
      <c r="H85" s="24">
        <f>((H83*H29)+H81)*1.2</f>
        <v>25122.194199440146</v>
      </c>
      <c r="I85" s="158"/>
      <c r="J85" s="158"/>
      <c r="K85" s="159"/>
      <c r="L85" s="55"/>
      <c r="M85" s="209" t="s">
        <v>126</v>
      </c>
      <c r="N85" s="24">
        <f>((N83*H29)+N81)</f>
        <v>20591.41183286679</v>
      </c>
      <c r="O85" s="158"/>
      <c r="P85" s="158"/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(((B83*H29)+B81)/(1-B70))*B70</f>
        <v>269.49360568382519</v>
      </c>
      <c r="C86" s="252" t="s">
        <v>242</v>
      </c>
      <c r="D86" s="158"/>
      <c r="E86" s="307">
        <f>B86/(B58+B57)</f>
        <v>7.4859334912173665</v>
      </c>
      <c r="F86" s="55"/>
      <c r="G86" s="157" t="s">
        <v>127</v>
      </c>
      <c r="H86" s="29">
        <f>((((H83*H29)+H81))/(1-H70))*H70</f>
        <v>177.34505788229231</v>
      </c>
      <c r="I86" s="158"/>
      <c r="J86" s="158"/>
      <c r="K86" s="159"/>
      <c r="L86" s="55"/>
      <c r="M86" s="157" t="s">
        <v>127</v>
      </c>
      <c r="N86" s="29">
        <f>(N85/(1-N70))*N70</f>
        <v>174.43309741436167</v>
      </c>
      <c r="O86" s="158"/>
      <c r="P86" s="158"/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38445.187805123976</v>
      </c>
      <c r="C87" s="252"/>
      <c r="D87" s="315"/>
      <c r="E87" s="307">
        <f>E86+E85</f>
        <v>1067.9218834756659</v>
      </c>
      <c r="F87" s="55"/>
      <c r="G87" s="206" t="s">
        <v>128</v>
      </c>
      <c r="H87" s="57">
        <f>IF(H110="YES",((H85+H86)-K114),(H85+H86))</f>
        <v>25299.539257322438</v>
      </c>
      <c r="I87" s="158"/>
      <c r="J87" s="158"/>
      <c r="K87" s="159"/>
      <c r="L87" s="55"/>
      <c r="M87" s="206" t="s">
        <v>128</v>
      </c>
      <c r="N87" s="57">
        <f>IF(N110="YES",((N85+N86)-Q114),(N85+N86))</f>
        <v>20765.844930281153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252"/>
      <c r="D88" s="158"/>
      <c r="E88" s="307"/>
      <c r="F88" s="55"/>
      <c r="G88" s="157"/>
      <c r="H88" s="28"/>
      <c r="I88" s="158"/>
      <c r="J88" s="158"/>
      <c r="K88" s="159"/>
      <c r="L88" s="55"/>
      <c r="M88" s="157"/>
      <c r="N88" s="28"/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1">
        <f>IF(B99=Y98,(I32+(I32*B105))/(B58),(I32+(I32*B105))/(B57+B58))*(C45/100)*1.2</f>
        <v>0</v>
      </c>
      <c r="C89" s="252"/>
      <c r="D89" s="158"/>
      <c r="E89" s="159"/>
      <c r="F89" s="55"/>
      <c r="G89" s="220" t="s">
        <v>129</v>
      </c>
      <c r="H89" s="221">
        <f>IF(H99=Y98,(D40+(D40*H105))/(H58),(D40+(D40*H105))/(H57+H58))*1.2</f>
        <v>0</v>
      </c>
      <c r="I89" s="158"/>
      <c r="J89" s="158"/>
      <c r="K89" s="159"/>
      <c r="L89" s="55"/>
      <c r="M89" s="220" t="s">
        <v>129</v>
      </c>
      <c r="N89" s="221">
        <f>IF(N99=Y98,(D40+(D40*N105))/(N58),(D40+(D40*N105))/(N57+N58))</f>
        <v>0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IF(B99=Y98,(B87-D105)/(B58),B87/(B57+B58))</f>
        <v>1067.9218834756659</v>
      </c>
      <c r="C90" s="252"/>
      <c r="D90" s="158"/>
      <c r="E90" s="316"/>
      <c r="F90" s="55"/>
      <c r="G90" s="224" t="s">
        <v>130</v>
      </c>
      <c r="H90" s="225">
        <f>IF(H99=Y98,(H87-J105)/(H58),H87/(H57+H58))</f>
        <v>617.06193310542528</v>
      </c>
      <c r="I90" s="158"/>
      <c r="J90" s="158"/>
      <c r="K90" s="159"/>
      <c r="L90" s="55"/>
      <c r="M90" s="224" t="s">
        <v>130</v>
      </c>
      <c r="N90" s="225">
        <f>IF(N99=Y98,(N87-P105)/(N58),N87/(N57+N58))</f>
        <v>506.48402268978424</v>
      </c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1067.9218834756659</v>
      </c>
      <c r="C91" s="252"/>
      <c r="D91" s="317"/>
      <c r="E91" s="274"/>
      <c r="F91" s="55"/>
      <c r="G91" s="226" t="s">
        <v>131</v>
      </c>
      <c r="H91" s="227">
        <f>IF(G105="YES",H90+H89,H90)</f>
        <v>617.06193310542528</v>
      </c>
      <c r="I91" s="158"/>
      <c r="J91" s="158"/>
      <c r="K91" s="159"/>
      <c r="L91" s="55"/>
      <c r="M91" s="226" t="s">
        <v>131</v>
      </c>
      <c r="N91" s="227">
        <f>IF(M105="YES",N90+N89,N90)</f>
        <v>506.48402268978424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50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206"/>
      <c r="N92" s="207"/>
      <c r="O92" s="207"/>
      <c r="P92" s="207"/>
      <c r="Q92" s="208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158"/>
      <c r="N93" s="158"/>
      <c r="O93" s="158"/>
      <c r="P93" s="158"/>
      <c r="Q93" s="158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56.25" customHeight="1">
      <c r="A94" s="376" t="s">
        <v>338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376" t="s">
        <v>345</v>
      </c>
      <c r="N94" s="376"/>
      <c r="O94" s="376"/>
      <c r="P94" s="376"/>
      <c r="Q94" s="376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 t="s">
        <v>377</v>
      </c>
      <c r="F95" s="55"/>
      <c r="G95" s="157"/>
      <c r="H95" s="158"/>
      <c r="I95" s="158"/>
      <c r="J95" s="158"/>
      <c r="K95" s="159"/>
      <c r="L95" s="55"/>
      <c r="M95" s="157"/>
      <c r="N95" s="158"/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377" t="s">
        <v>136</v>
      </c>
      <c r="N96" s="377"/>
      <c r="O96" s="377"/>
      <c r="P96" s="377"/>
      <c r="Q96" s="377"/>
      <c r="R96" s="55"/>
      <c r="S96" s="55"/>
      <c r="T96" s="55"/>
      <c r="U96" s="55"/>
      <c r="V96" s="55"/>
      <c r="W96" s="55"/>
      <c r="X96" s="55"/>
      <c r="Y96" s="55"/>
      <c r="Z96" s="55"/>
    </row>
    <row r="97" spans="1:29" ht="18.75" customHeight="1">
      <c r="A97" s="157"/>
      <c r="B97" s="406"/>
      <c r="C97" s="406"/>
      <c r="D97" s="158"/>
      <c r="E97" s="159"/>
      <c r="F97" s="55"/>
      <c r="G97" s="157"/>
      <c r="H97" s="158"/>
      <c r="I97" s="158"/>
      <c r="J97" s="158"/>
      <c r="K97" s="159"/>
      <c r="L97" s="55"/>
      <c r="M97" s="157"/>
      <c r="N97" s="158"/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 t="s">
        <v>140</v>
      </c>
      <c r="Z97" s="55"/>
      <c r="AC97" s="55"/>
    </row>
    <row r="98" spans="1:29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157" t="s">
        <v>137</v>
      </c>
      <c r="N98" s="158" t="s">
        <v>36</v>
      </c>
      <c r="O98" s="158"/>
      <c r="P98" s="158" t="s">
        <v>291</v>
      </c>
      <c r="Q98" s="159"/>
      <c r="R98" s="55"/>
      <c r="S98" s="55"/>
      <c r="T98" s="55"/>
      <c r="U98" s="55"/>
      <c r="V98" s="55"/>
      <c r="W98" s="55"/>
      <c r="X98" s="55"/>
      <c r="Y98" s="55" t="s">
        <v>270</v>
      </c>
      <c r="Z98" s="55"/>
    </row>
    <row r="99" spans="1:29" ht="18.75" customHeight="1">
      <c r="A99" s="162" t="s">
        <v>292</v>
      </c>
      <c r="B99" s="395" t="s">
        <v>140</v>
      </c>
      <c r="C99" s="395"/>
      <c r="D99" s="348">
        <v>1000</v>
      </c>
      <c r="E99" s="348"/>
      <c r="F99" s="55"/>
      <c r="G99" s="162" t="s">
        <v>292</v>
      </c>
      <c r="H99" s="395" t="s">
        <v>272</v>
      </c>
      <c r="I99" s="395"/>
      <c r="J99" s="348">
        <v>0</v>
      </c>
      <c r="K99" s="348"/>
      <c r="L99" s="55"/>
      <c r="M99" s="162" t="s">
        <v>292</v>
      </c>
      <c r="N99" s="395" t="s">
        <v>272</v>
      </c>
      <c r="O99" s="395"/>
      <c r="P99" s="348">
        <v>0</v>
      </c>
      <c r="Q99" s="348"/>
      <c r="R99" s="55"/>
      <c r="S99" s="55"/>
      <c r="T99" s="55"/>
      <c r="U99" s="55"/>
      <c r="V99" s="55"/>
      <c r="W99" s="55"/>
      <c r="X99" s="55"/>
      <c r="Y99" s="55" t="s">
        <v>271</v>
      </c>
      <c r="Z99" s="55"/>
    </row>
    <row r="100" spans="1:29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157"/>
      <c r="N100" s="158"/>
      <c r="O100" s="158"/>
      <c r="P100" s="158"/>
      <c r="Q100" s="159"/>
      <c r="R100" s="55"/>
      <c r="S100" s="55"/>
      <c r="T100" s="55"/>
      <c r="U100" s="55"/>
      <c r="V100" s="55"/>
      <c r="W100" s="55"/>
      <c r="X100" s="55"/>
      <c r="Y100" s="55" t="s">
        <v>272</v>
      </c>
      <c r="Z100" s="55"/>
    </row>
    <row r="101" spans="1:29" ht="18.75" customHeight="1">
      <c r="A101" s="157" t="s">
        <v>293</v>
      </c>
      <c r="B101" s="158" t="s">
        <v>294</v>
      </c>
      <c r="C101" s="158"/>
      <c r="D101" s="158" t="s">
        <v>378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157" t="s">
        <v>293</v>
      </c>
      <c r="N101" s="158" t="s">
        <v>294</v>
      </c>
      <c r="O101" s="158"/>
      <c r="P101" s="158" t="s">
        <v>295</v>
      </c>
      <c r="Q101" s="159"/>
      <c r="R101" s="55"/>
      <c r="S101" s="55"/>
      <c r="T101" s="55"/>
      <c r="U101" s="55"/>
      <c r="V101" s="55"/>
      <c r="W101" s="55"/>
      <c r="X101" s="55"/>
      <c r="Y101" s="55" t="s">
        <v>273</v>
      </c>
      <c r="Z101" s="55"/>
    </row>
    <row r="102" spans="1:29" ht="18.75" customHeight="1">
      <c r="A102" s="228">
        <v>0</v>
      </c>
      <c r="B102" s="348">
        <v>400</v>
      </c>
      <c r="C102" s="348"/>
      <c r="D102" s="348">
        <v>200</v>
      </c>
      <c r="E102" s="348"/>
      <c r="F102" s="55"/>
      <c r="G102" s="228">
        <v>199.99</v>
      </c>
      <c r="H102" s="348">
        <v>0</v>
      </c>
      <c r="I102" s="348"/>
      <c r="J102" s="348">
        <v>0</v>
      </c>
      <c r="K102" s="348"/>
      <c r="L102" s="55"/>
      <c r="M102" s="228">
        <v>199.99</v>
      </c>
      <c r="N102" s="348">
        <v>0</v>
      </c>
      <c r="O102" s="348"/>
      <c r="P102" s="348">
        <v>0</v>
      </c>
      <c r="Q102" s="348"/>
      <c r="R102" s="55"/>
      <c r="S102" s="55"/>
      <c r="T102" s="55"/>
      <c r="U102" s="55"/>
      <c r="V102" s="55"/>
      <c r="W102" s="55"/>
      <c r="X102" s="55"/>
      <c r="Y102" s="55" t="s">
        <v>274</v>
      </c>
      <c r="Z102" s="55"/>
    </row>
    <row r="103" spans="1:29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 t="s">
        <v>275</v>
      </c>
      <c r="Z103" s="55"/>
    </row>
    <row r="104" spans="1:29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162" t="s">
        <v>138</v>
      </c>
      <c r="N104" s="55" t="s">
        <v>141</v>
      </c>
      <c r="O104" s="158"/>
      <c r="P104" s="158" t="s">
        <v>152</v>
      </c>
      <c r="Q104" s="159"/>
      <c r="R104" s="55"/>
      <c r="S104" s="55"/>
      <c r="T104" s="55"/>
      <c r="U104" s="55"/>
      <c r="V104" s="55"/>
      <c r="W104" s="55"/>
      <c r="X104" s="55"/>
      <c r="Y104" s="55" t="s">
        <v>276</v>
      </c>
      <c r="Z104" s="55"/>
    </row>
    <row r="105" spans="1:29" ht="18.75" customHeight="1">
      <c r="A105" s="164" t="s">
        <v>385</v>
      </c>
      <c r="B105" s="396">
        <v>0.2</v>
      </c>
      <c r="C105" s="396"/>
      <c r="D105" s="348">
        <v>200</v>
      </c>
      <c r="E105" s="348"/>
      <c r="F105" s="55"/>
      <c r="G105" s="164" t="s">
        <v>31</v>
      </c>
      <c r="H105" s="396">
        <v>0.2</v>
      </c>
      <c r="I105" s="396"/>
      <c r="J105" s="348"/>
      <c r="K105" s="348"/>
      <c r="L105" s="55"/>
      <c r="M105" s="164" t="s">
        <v>31</v>
      </c>
      <c r="N105" s="396">
        <v>0.2</v>
      </c>
      <c r="O105" s="396"/>
      <c r="P105" s="348">
        <v>0</v>
      </c>
      <c r="Q105" s="348"/>
      <c r="R105" s="55"/>
      <c r="S105" s="55"/>
      <c r="T105" s="55"/>
      <c r="U105" s="55"/>
      <c r="V105" s="55"/>
      <c r="W105" s="55"/>
      <c r="X105" s="55"/>
      <c r="Y105" s="55" t="s">
        <v>277</v>
      </c>
      <c r="Z105" s="55"/>
    </row>
    <row r="106" spans="1:29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9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157"/>
      <c r="N107" s="158" t="s">
        <v>346</v>
      </c>
      <c r="O107" s="164" t="s">
        <v>31</v>
      </c>
      <c r="P107" s="158"/>
      <c r="Q107" s="159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9" ht="18.75" customHeight="1">
      <c r="A108" s="377">
        <v>199.99</v>
      </c>
      <c r="B108" s="377">
        <v>0</v>
      </c>
      <c r="C108" s="377"/>
      <c r="D108" s="377"/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377" t="s">
        <v>296</v>
      </c>
      <c r="N108" s="377"/>
      <c r="O108" s="377"/>
      <c r="P108" s="377"/>
      <c r="Q108" s="377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9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9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157" t="s">
        <v>297</v>
      </c>
      <c r="N110" s="164" t="s">
        <v>32</v>
      </c>
      <c r="O110" s="158"/>
      <c r="P110" s="158"/>
      <c r="Q110" s="159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9" ht="18.75" customHeight="1">
      <c r="A111" s="157" t="s">
        <v>32</v>
      </c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157"/>
      <c r="N111" s="158"/>
      <c r="O111" s="158"/>
      <c r="P111" s="158"/>
      <c r="Q111" s="159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9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0</v>
      </c>
      <c r="K112" s="92">
        <v>0</v>
      </c>
      <c r="L112" s="55"/>
      <c r="M112" s="157" t="s">
        <v>185</v>
      </c>
      <c r="N112" s="158"/>
      <c r="O112" s="158"/>
      <c r="P112" s="228">
        <v>500</v>
      </c>
      <c r="Q112" s="92">
        <v>300</v>
      </c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0</v>
      </c>
      <c r="K113" s="92">
        <v>0</v>
      </c>
      <c r="L113" s="55"/>
      <c r="M113" s="157" t="s">
        <v>186</v>
      </c>
      <c r="N113" s="158"/>
      <c r="O113" s="158"/>
      <c r="P113" s="35">
        <f>Q113</f>
        <v>100</v>
      </c>
      <c r="Q113" s="92">
        <v>100</v>
      </c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0</v>
      </c>
      <c r="K114" s="127">
        <f>K112-K113</f>
        <v>0</v>
      </c>
      <c r="L114" s="55"/>
      <c r="M114" s="157" t="s">
        <v>187</v>
      </c>
      <c r="N114" s="158"/>
      <c r="O114" s="158"/>
      <c r="P114" s="35">
        <f>P112-P113</f>
        <v>400</v>
      </c>
      <c r="Q114" s="127">
        <f>Q112-Q113</f>
        <v>200</v>
      </c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0</v>
      </c>
      <c r="K115" s="159"/>
      <c r="L115" s="55"/>
      <c r="M115" s="157" t="s">
        <v>188</v>
      </c>
      <c r="N115" s="158"/>
      <c r="O115" s="158"/>
      <c r="P115" s="35">
        <f>P114-Q114</f>
        <v>200</v>
      </c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157"/>
      <c r="N116" s="158"/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v>1000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209" t="s">
        <v>148</v>
      </c>
      <c r="N117" s="210"/>
      <c r="O117" s="210"/>
      <c r="P117" s="210"/>
      <c r="Q117" s="24">
        <f>P99</f>
        <v>0</v>
      </c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f>A102</f>
        <v>0</v>
      </c>
      <c r="F118" s="55"/>
      <c r="G118" s="157" t="s">
        <v>66</v>
      </c>
      <c r="H118" s="158"/>
      <c r="I118" s="158"/>
      <c r="J118" s="158"/>
      <c r="K118" s="29">
        <f>G102</f>
        <v>199.99</v>
      </c>
      <c r="L118" s="55"/>
      <c r="M118" s="157" t="s">
        <v>66</v>
      </c>
      <c r="N118" s="158"/>
      <c r="O118" s="158"/>
      <c r="P118" s="158"/>
      <c r="Q118" s="29">
        <f>M102</f>
        <v>199.99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((E118)+E117)-E114</f>
        <v>1000</v>
      </c>
      <c r="F119" s="55"/>
      <c r="G119" s="229" t="s">
        <v>298</v>
      </c>
      <c r="H119" s="207"/>
      <c r="I119" s="207"/>
      <c r="J119" s="207"/>
      <c r="K119" s="57">
        <f>((K118/1.2)+K117)-(J115-K113)</f>
        <v>166.65833333333336</v>
      </c>
      <c r="L119" s="55"/>
      <c r="M119" s="229" t="s">
        <v>298</v>
      </c>
      <c r="N119" s="207"/>
      <c r="O119" s="207"/>
      <c r="P119" s="207"/>
      <c r="Q119" s="57">
        <f>(Q118+Q117)-P115</f>
        <v>-9.9999999999909051E-3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157"/>
      <c r="N120" s="158"/>
      <c r="O120" s="158"/>
      <c r="P120" s="158"/>
      <c r="Q120" s="159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157"/>
      <c r="N121" s="158"/>
      <c r="O121" s="158"/>
      <c r="P121" s="158"/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377" t="s">
        <v>299</v>
      </c>
      <c r="N122" s="377"/>
      <c r="O122" s="377"/>
      <c r="P122" s="377"/>
      <c r="Q122" s="377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157"/>
      <c r="N123" s="158"/>
      <c r="O123" s="158"/>
      <c r="P123" s="158"/>
      <c r="Q123" s="159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157" t="s">
        <v>193</v>
      </c>
      <c r="N124" s="368">
        <v>0</v>
      </c>
      <c r="O124" s="368"/>
      <c r="P124" s="158"/>
      <c r="Q124" s="159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36</v>
      </c>
      <c r="C125" s="236"/>
      <c r="D125" s="235">
        <f>B160</f>
        <v>10000</v>
      </c>
      <c r="E125" s="233"/>
      <c r="F125" s="55"/>
      <c r="G125" s="157"/>
      <c r="H125" s="158"/>
      <c r="I125" s="158"/>
      <c r="J125" s="158"/>
      <c r="K125" s="159"/>
      <c r="L125" s="55"/>
      <c r="M125" s="157"/>
      <c r="N125" s="158"/>
      <c r="O125" s="158"/>
      <c r="P125" s="158"/>
      <c r="Q125" s="159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238" t="s">
        <v>302</v>
      </c>
      <c r="H126" s="239" t="s">
        <v>303</v>
      </c>
      <c r="I126" s="239"/>
      <c r="J126" s="239" t="s">
        <v>304</v>
      </c>
      <c r="K126" s="159"/>
      <c r="L126" s="55"/>
      <c r="M126" s="238" t="s">
        <v>347</v>
      </c>
      <c r="N126" s="239" t="s">
        <v>259</v>
      </c>
      <c r="O126" s="239"/>
      <c r="P126" s="239" t="s">
        <v>131</v>
      </c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242">
        <f>H90</f>
        <v>617.06193310542528</v>
      </c>
      <c r="H127" s="133">
        <f>IF(G105="YES",H89*H57,0)</f>
        <v>0</v>
      </c>
      <c r="I127" s="133"/>
      <c r="J127" s="243">
        <f>H91</f>
        <v>617.06193310542528</v>
      </c>
      <c r="K127" s="159"/>
      <c r="L127" s="55"/>
      <c r="M127" s="242">
        <f>N90</f>
        <v>506.48402268978424</v>
      </c>
      <c r="N127" s="133">
        <f>IF(M105="YES",N89*N57,0)</f>
        <v>0</v>
      </c>
      <c r="O127" s="133"/>
      <c r="P127" s="133">
        <f>N91</f>
        <v>506.48402268978424</v>
      </c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1067.9218834756659</v>
      </c>
      <c r="B128" s="232">
        <f>IF(A105="YES",B89,0)</f>
        <v>0</v>
      </c>
      <c r="C128" s="236"/>
      <c r="D128" s="232">
        <f>B91</f>
        <v>1067.9218834756659</v>
      </c>
      <c r="E128" s="233"/>
      <c r="F128" s="55"/>
      <c r="G128" s="157"/>
      <c r="H128" s="158"/>
      <c r="I128" s="158"/>
      <c r="J128" s="158"/>
      <c r="K128" s="159"/>
      <c r="L128" s="55"/>
      <c r="M128" s="157"/>
      <c r="N128" s="158"/>
      <c r="O128" s="158"/>
      <c r="P128" s="158"/>
      <c r="Q128" s="159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 t="s">
        <v>94</v>
      </c>
      <c r="H129" s="158" t="s">
        <v>95</v>
      </c>
      <c r="I129" s="158"/>
      <c r="J129" s="158" t="s">
        <v>97</v>
      </c>
      <c r="K129" s="159"/>
      <c r="L129" s="55"/>
      <c r="M129" s="157" t="s">
        <v>94</v>
      </c>
      <c r="N129" s="158" t="s">
        <v>95</v>
      </c>
      <c r="O129" s="158"/>
      <c r="P129" s="158" t="s">
        <v>97</v>
      </c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169">
        <f>G152</f>
        <v>36</v>
      </c>
      <c r="H130" s="170">
        <f>B151</f>
        <v>0</v>
      </c>
      <c r="I130" s="171"/>
      <c r="J130" s="170">
        <f>B58</f>
        <v>35</v>
      </c>
      <c r="K130" s="159"/>
      <c r="L130" s="55"/>
      <c r="M130" s="169">
        <f>M155</f>
        <v>36</v>
      </c>
      <c r="N130" s="170">
        <f>B151</f>
        <v>0</v>
      </c>
      <c r="O130" s="171"/>
      <c r="P130" s="170">
        <f>B58</f>
        <v>35</v>
      </c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44" t="str">
        <f>B99</f>
        <v xml:space="preserve"> Monthly in advance </v>
      </c>
      <c r="B131" s="34">
        <f>B90*B57</f>
        <v>1067.9218834756659</v>
      </c>
      <c r="C131" s="158"/>
      <c r="D131" s="34">
        <f>IF(A105="YES",B89*B57,0)</f>
        <v>0</v>
      </c>
      <c r="E131" s="159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157" t="s">
        <v>348</v>
      </c>
      <c r="N132" s="158" t="s">
        <v>251</v>
      </c>
      <c r="O132" s="158"/>
      <c r="P132" s="158" t="s">
        <v>254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3702.3715986325515</v>
      </c>
      <c r="H133" s="34">
        <f>IF(G105="YES",H89*H57,0)</f>
        <v>0</v>
      </c>
      <c r="I133" s="163"/>
      <c r="J133" s="137">
        <f>H91*H57</f>
        <v>3702.3715986325515</v>
      </c>
      <c r="K133" s="159"/>
      <c r="L133" s="55"/>
      <c r="M133" s="138">
        <f>N90*N57</f>
        <v>3038.9041361387053</v>
      </c>
      <c r="N133" s="34">
        <f>IF(M105="YES",N89*N57,0)</f>
        <v>0</v>
      </c>
      <c r="O133" s="163"/>
      <c r="P133" s="137">
        <f>N91*N57</f>
        <v>3038.9041361387053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94">
        <f>B91*B57</f>
        <v>1067.9218834756659</v>
      </c>
      <c r="B134" s="34">
        <f>E114</f>
        <v>0</v>
      </c>
      <c r="C134" s="158"/>
      <c r="D134" s="245">
        <f>B58</f>
        <v>35</v>
      </c>
      <c r="E134" s="159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157" t="s">
        <v>261</v>
      </c>
      <c r="N135" s="158" t="s">
        <v>262</v>
      </c>
      <c r="O135" s="158"/>
      <c r="P135" s="158" t="s">
        <v>266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</v>
      </c>
      <c r="H136" s="34">
        <f>IF(G105="YES",E15*0.000002,0)</f>
        <v>0</v>
      </c>
      <c r="I136" s="34"/>
      <c r="J136" s="34">
        <f>G136+H136</f>
        <v>0</v>
      </c>
      <c r="K136" s="90"/>
      <c r="L136" s="55"/>
      <c r="M136" s="94">
        <f>E15*0.000006</f>
        <v>0</v>
      </c>
      <c r="N136" s="34">
        <f>IF(M105="YES",E15*0.000002,0)</f>
        <v>0</v>
      </c>
      <c r="O136" s="34"/>
      <c r="P136" s="34">
        <f>M136+N136</f>
        <v>0</v>
      </c>
      <c r="Q136" s="90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94">
        <f>B90</f>
        <v>1067.9218834756659</v>
      </c>
      <c r="B137" s="34">
        <f>IF(A105="YES",B89,0)</f>
        <v>0</v>
      </c>
      <c r="C137" s="158"/>
      <c r="D137" s="34">
        <f>B91</f>
        <v>1067.9218834756659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157" t="s">
        <v>151</v>
      </c>
      <c r="N138" s="158" t="s">
        <v>316</v>
      </c>
      <c r="O138" s="158"/>
      <c r="P138" s="158" t="s">
        <v>317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199.99</v>
      </c>
      <c r="H139" s="34">
        <f>H67</f>
        <v>0</v>
      </c>
      <c r="I139" s="34"/>
      <c r="J139" s="34">
        <f>H102*0.9</f>
        <v>0</v>
      </c>
      <c r="K139" s="90"/>
      <c r="L139" s="55"/>
      <c r="M139" s="94">
        <f>M102</f>
        <v>199.99</v>
      </c>
      <c r="N139" s="34">
        <f>N67</f>
        <v>0</v>
      </c>
      <c r="O139" s="34"/>
      <c r="P139" s="34">
        <f>N102*0.9</f>
        <v>0</v>
      </c>
      <c r="Q139" s="90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250">
        <f>(B61*0.000006)*1.2*100</f>
        <v>26.930880000000002</v>
      </c>
      <c r="B140" s="251">
        <f>IF(A105="YES",B61*0.000002,0)*1.2*100</f>
        <v>8.9769599999999983</v>
      </c>
      <c r="C140" s="252"/>
      <c r="D140" s="251">
        <f>A140+B140</f>
        <v>35.90784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157" t="s">
        <v>319</v>
      </c>
      <c r="N141" s="158" t="s">
        <v>320</v>
      </c>
      <c r="O141" s="158"/>
      <c r="P141" s="158" t="s">
        <v>321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 t="e">
        <f>IF(G105="YES",((B36*H105)*0.1)*(G130),0)</f>
        <v>#VALUE!</v>
      </c>
      <c r="H142" s="34">
        <f>G102-100</f>
        <v>99.990000000000009</v>
      </c>
      <c r="I142" s="34"/>
      <c r="J142" s="34" t="e">
        <f>(H139+J139+G142+H142)-H145</f>
        <v>#VALUE!</v>
      </c>
      <c r="K142" s="90"/>
      <c r="L142" s="55"/>
      <c r="M142" s="94" t="e">
        <f>IF(M105="YES",((B36*N105)*0.1)*(M130),0)</f>
        <v>#VALUE!</v>
      </c>
      <c r="N142" s="34">
        <f>M102-100</f>
        <v>99.990000000000009</v>
      </c>
      <c r="O142" s="34"/>
      <c r="P142" s="34" t="e">
        <f>(N139+P139+M142+N142)-N145</f>
        <v>#VALUE!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v>0</v>
      </c>
      <c r="B143" s="34">
        <f>E118</f>
        <v>0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157" t="s">
        <v>323</v>
      </c>
      <c r="N144" s="158" t="s">
        <v>324</v>
      </c>
      <c r="O144" s="158"/>
      <c r="P144" s="158"/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v>0</v>
      </c>
      <c r="H145" s="34" t="e">
        <f>(H139+J139+G142+H142)*(G145/H64)</f>
        <v>#VALUE!</v>
      </c>
      <c r="I145" s="158"/>
      <c r="J145" s="158"/>
      <c r="K145" s="159"/>
      <c r="L145" s="55"/>
      <c r="M145" s="94">
        <v>0</v>
      </c>
      <c r="N145" s="34" t="e">
        <f>(N139+P139+M142+N142)*(M145/N64)</f>
        <v>#VALUE!</v>
      </c>
      <c r="O145" s="158"/>
      <c r="P145" s="158"/>
      <c r="Q145" s="159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94"/>
      <c r="N146" s="34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3" t="s">
        <v>349</v>
      </c>
      <c r="N147" s="35" t="s">
        <v>350</v>
      </c>
      <c r="O147" s="158"/>
      <c r="P147" s="158"/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250</v>
      </c>
      <c r="B148" s="34">
        <f>B102</f>
        <v>400</v>
      </c>
      <c r="C148" s="34"/>
      <c r="D148" s="34">
        <f>IF(A105="YES",(B40*B105)*B125,0)*0.1</f>
        <v>0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285">
        <v>18000</v>
      </c>
      <c r="N148" s="400">
        <v>0.99</v>
      </c>
      <c r="O148" s="400"/>
      <c r="P148" s="158"/>
      <c r="Q148" s="159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157"/>
      <c r="N150" s="158"/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20</v>
      </c>
      <c r="B151" s="34">
        <f>(A148+B148+D148+A151)*(A143/B64)</f>
        <v>0</v>
      </c>
      <c r="C151" s="34"/>
      <c r="D151" s="34">
        <f>(A148+B148+D148+A151)-B151-A154</f>
        <v>470</v>
      </c>
      <c r="E151" s="90"/>
      <c r="F151" s="55"/>
      <c r="G151" s="387"/>
      <c r="H151" s="389">
        <f>B51</f>
        <v>10000</v>
      </c>
      <c r="I151" s="389"/>
      <c r="J151" s="158"/>
      <c r="K151" s="159"/>
      <c r="L151" s="55"/>
      <c r="M151" s="202" t="s">
        <v>329</v>
      </c>
      <c r="N151" s="158"/>
      <c r="O151" s="158"/>
      <c r="P151" s="203"/>
      <c r="Q151" s="204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36</v>
      </c>
      <c r="H152" s="343">
        <f>H91</f>
        <v>617.06193310542528</v>
      </c>
      <c r="I152" s="343"/>
      <c r="J152" s="158"/>
      <c r="K152" s="159"/>
      <c r="L152" s="55"/>
      <c r="M152" s="157"/>
      <c r="N152" s="183"/>
      <c r="O152" s="183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387" t="s">
        <v>94</v>
      </c>
      <c r="N153" s="388" t="s">
        <v>95</v>
      </c>
      <c r="O153" s="38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387"/>
      <c r="N154" s="389">
        <f>B51</f>
        <v>10000</v>
      </c>
      <c r="O154" s="389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185">
        <f>A52</f>
        <v>36</v>
      </c>
      <c r="N155" s="343">
        <f>N91</f>
        <v>506.48402268978424</v>
      </c>
      <c r="O155" s="343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157"/>
      <c r="N157" s="158"/>
      <c r="O157" s="158"/>
      <c r="P157" s="158"/>
      <c r="Q157" s="159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157"/>
      <c r="N158" s="158"/>
      <c r="O158" s="158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157"/>
      <c r="N159" s="158"/>
      <c r="O159" s="15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10000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157"/>
      <c r="N160" s="158"/>
      <c r="O160" s="158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36</v>
      </c>
      <c r="B161" s="343">
        <f>B91</f>
        <v>1067.9218834756659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157"/>
      <c r="N161" s="158"/>
      <c r="O161" s="158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206"/>
      <c r="N162" s="207"/>
      <c r="O162" s="207"/>
      <c r="P162" s="207"/>
      <c r="Q162" s="208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157"/>
      <c r="B165" s="158"/>
      <c r="C165" s="158"/>
      <c r="D165" s="158"/>
      <c r="E165" s="159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206"/>
      <c r="B166" s="207"/>
      <c r="C166" s="207"/>
      <c r="D166" s="207"/>
      <c r="E166" s="208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35">
        <f>A161</f>
        <v>36</v>
      </c>
      <c r="C174" s="236"/>
      <c r="D174" s="235">
        <f>D125</f>
        <v>10000</v>
      </c>
      <c r="E174" s="233"/>
      <c r="F174" s="55"/>
      <c r="G174" s="273" t="s">
        <v>379</v>
      </c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B90</f>
        <v>1067.9218834756659</v>
      </c>
      <c r="B177" s="232">
        <f>IF(A105="YES",B89,0)</f>
        <v>0</v>
      </c>
      <c r="C177" s="236"/>
      <c r="D177" s="232">
        <f>B91</f>
        <v>1067.9218834756659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B99</f>
        <v xml:space="preserve"> Monthly in advance </v>
      </c>
      <c r="B180" s="34">
        <f>B90*B57</f>
        <v>1067.9218834756659</v>
      </c>
      <c r="C180" s="158"/>
      <c r="D180" s="34">
        <f>IF(A105="YES",B89*B57,0)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B91*B57</f>
        <v>1067.9218834756659</v>
      </c>
      <c r="B183" s="34">
        <f>E114</f>
        <v>0</v>
      </c>
      <c r="C183" s="158"/>
      <c r="D183" s="245">
        <f>B58</f>
        <v>35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B90</f>
        <v>1067.9218834756659</v>
      </c>
      <c r="B186" s="34">
        <f>IF(A105="YES",B89,0)</f>
        <v>0</v>
      </c>
      <c r="C186" s="158"/>
      <c r="D186" s="34">
        <f>B91</f>
        <v>1067.9218834756659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A140</f>
        <v>26.930880000000002</v>
      </c>
      <c r="B189" s="251">
        <f>B140</f>
        <v>8.9769599999999983</v>
      </c>
      <c r="C189" s="252"/>
      <c r="D189" s="251">
        <f>A189+B189</f>
        <v>35.90784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E118</f>
        <v>0</v>
      </c>
      <c r="C192" s="158"/>
      <c r="D192" s="119">
        <f>B102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B67</f>
        <v>250</v>
      </c>
      <c r="B197" s="34">
        <f>B102</f>
        <v>400</v>
      </c>
      <c r="C197" s="34"/>
      <c r="D197" s="34">
        <f>IF(A105="YES",(B40*B105)*B125,0)*0.1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A151</f>
        <v>20</v>
      </c>
      <c r="B200" s="34">
        <f>(A148+B148+D148+A151)*(A143/B64)</f>
        <v>0</v>
      </c>
      <c r="C200" s="34"/>
      <c r="D200" s="34">
        <f>D151</f>
        <v>470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D102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7.0000000000000007E-2</v>
      </c>
      <c r="C209" s="232" t="s">
        <v>227</v>
      </c>
      <c r="D209" s="261">
        <f>D64</f>
        <v>10000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250</v>
      </c>
      <c r="C211" s="231" t="s">
        <v>229</v>
      </c>
      <c r="D211" s="261">
        <f>B225+E221+B221+B223</f>
        <v>260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10010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D64</f>
        <v>10000</v>
      </c>
      <c r="C217" s="178" t="s">
        <v>233</v>
      </c>
      <c r="D217" s="158"/>
      <c r="E217" s="214">
        <f>B66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B67</f>
        <v>250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(B77-(B77*(E219*100)))*0.1</f>
        <v>40</v>
      </c>
      <c r="C221" s="163" t="s">
        <v>235</v>
      </c>
      <c r="D221" s="158"/>
      <c r="E221" s="29">
        <f>A200</f>
        <v>20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B78-(B78*(E219*100))</f>
        <v>200</v>
      </c>
      <c r="C223" s="163" t="s">
        <v>230</v>
      </c>
      <c r="D223" s="158"/>
      <c r="E223" s="29">
        <f>(B217-B211+D211)</f>
        <v>10010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customFormat="1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B71</f>
        <v>160</v>
      </c>
      <c r="C229" s="163" t="s">
        <v>238</v>
      </c>
      <c r="D229" s="254"/>
      <c r="E229" s="118">
        <f>B72</f>
        <v>4.5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D73</f>
        <v>322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B68</f>
        <v>7.4999999999999997E-3</v>
      </c>
      <c r="C231" s="163" t="s">
        <v>241</v>
      </c>
      <c r="D231" s="254"/>
      <c r="E231" s="214">
        <f>B69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B86</f>
        <v>269.49360568382519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B79</f>
        <v>300</v>
      </c>
      <c r="C233" s="268" t="s">
        <v>336</v>
      </c>
      <c r="D233" s="269"/>
      <c r="E233" s="118">
        <f>B74</f>
        <v>180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B80</f>
        <v>100</v>
      </c>
      <c r="C235" s="272" t="s">
        <v>337</v>
      </c>
      <c r="D235" s="272"/>
      <c r="E235" s="118">
        <f>B75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/>
    <row r="359" spans="1:26" ht="15.75" customHeight="1"/>
    <row r="360" spans="1:26" ht="15.75" customHeight="1"/>
    <row r="361" spans="1:26" ht="15.75" customHeight="1"/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4">
    <mergeCell ref="A207:E207"/>
    <mergeCell ref="A159:A160"/>
    <mergeCell ref="B159:C159"/>
    <mergeCell ref="B160:C160"/>
    <mergeCell ref="B161:C161"/>
    <mergeCell ref="A171:E171"/>
    <mergeCell ref="H152:I152"/>
    <mergeCell ref="M153:M154"/>
    <mergeCell ref="N153:O153"/>
    <mergeCell ref="N154:O154"/>
    <mergeCell ref="N155:O155"/>
    <mergeCell ref="H124:I124"/>
    <mergeCell ref="N124:O124"/>
    <mergeCell ref="N148:O148"/>
    <mergeCell ref="G150:G151"/>
    <mergeCell ref="H150:I150"/>
    <mergeCell ref="H151:I151"/>
    <mergeCell ref="P105:Q105"/>
    <mergeCell ref="A108:E108"/>
    <mergeCell ref="G108:K108"/>
    <mergeCell ref="M108:Q108"/>
    <mergeCell ref="A122:E122"/>
    <mergeCell ref="G122:K122"/>
    <mergeCell ref="M122:Q122"/>
    <mergeCell ref="B105:C105"/>
    <mergeCell ref="D105:E105"/>
    <mergeCell ref="H105:I105"/>
    <mergeCell ref="J105:K105"/>
    <mergeCell ref="N105:O105"/>
    <mergeCell ref="N99:O99"/>
    <mergeCell ref="P99:Q99"/>
    <mergeCell ref="B102:C102"/>
    <mergeCell ref="D102:E102"/>
    <mergeCell ref="H102:I102"/>
    <mergeCell ref="J102:K102"/>
    <mergeCell ref="N102:O102"/>
    <mergeCell ref="P102:Q102"/>
    <mergeCell ref="B97:C97"/>
    <mergeCell ref="B99:C99"/>
    <mergeCell ref="D99:E99"/>
    <mergeCell ref="H99:I99"/>
    <mergeCell ref="J99:K99"/>
    <mergeCell ref="B52:C52"/>
    <mergeCell ref="A94:E94"/>
    <mergeCell ref="G94:K94"/>
    <mergeCell ref="M94:Q94"/>
    <mergeCell ref="A96:E96"/>
    <mergeCell ref="G96:K96"/>
    <mergeCell ref="M96:Q96"/>
    <mergeCell ref="C44:D44"/>
    <mergeCell ref="C45:D45"/>
    <mergeCell ref="A50:A51"/>
    <mergeCell ref="B50:C50"/>
    <mergeCell ref="B51:C51"/>
    <mergeCell ref="A24:E24"/>
    <mergeCell ref="A28:E28"/>
    <mergeCell ref="B30:C30"/>
    <mergeCell ref="G38:H38"/>
    <mergeCell ref="B40:C40"/>
    <mergeCell ref="A1:F1"/>
    <mergeCell ref="D7:E18"/>
    <mergeCell ref="A16:C18"/>
    <mergeCell ref="A19:D19"/>
    <mergeCell ref="A21:D21"/>
  </mergeCells>
  <dataValidations count="1">
    <dataValidation type="list" allowBlank="1" showErrorMessage="1" sqref="H99 N99 G105 M105 O107 H110 N110" xr:uid="{00000000-0002-0000-2E00-000002000000}">
      <formula1>#REF!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2E00-000000000000}">
          <x14:formula1>
            <xm:f>'Formula1-BCH'!$I$3:$I$4</xm:f>
          </x14:formula1>
          <x14:formula2>
            <xm:f>0</xm:f>
          </x14:formula2>
          <xm:sqref>B26 A105 B110</xm:sqref>
        </x14:dataValidation>
        <x14:dataValidation type="list" allowBlank="1" showErrorMessage="1" xr:uid="{00000000-0002-0000-2E00-000001000000}">
          <x14:formula1>
            <xm:f>'Formula1-BCH'!$Y$97:$Y$105</xm:f>
          </x14:formula1>
          <x14:formula2>
            <xm:f>0</xm:f>
          </x14:formula2>
          <xm:sqref>B99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topLeftCell="A190" zoomScale="110" zoomScaleNormal="110" workbookViewId="0">
      <selection activeCell="D201" sqref="D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87">
        <v>20255</v>
      </c>
      <c r="C3" s="187">
        <v>0</v>
      </c>
      <c r="D3" s="187">
        <v>0</v>
      </c>
      <c r="E3" s="289">
        <v>0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56">
        <v>0</v>
      </c>
      <c r="C4" s="56">
        <v>0</v>
      </c>
      <c r="D4" s="56">
        <v>0</v>
      </c>
      <c r="E4" s="214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>
        <v>0</v>
      </c>
      <c r="C5" s="187">
        <v>0</v>
      </c>
      <c r="D5" s="187">
        <v>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0</v>
      </c>
      <c r="C6" s="28">
        <f>(C3*C4/100)+C5</f>
        <v>0</v>
      </c>
      <c r="D6" s="28">
        <f>(D3*D4/100)+D5</f>
        <v>0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20255</v>
      </c>
      <c r="C7" s="28">
        <f>C3-C6</f>
        <v>0</v>
      </c>
      <c r="D7" s="28">
        <f>D3-D6</f>
        <v>0</v>
      </c>
      <c r="E7" s="29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55"/>
      <c r="H8" s="55"/>
      <c r="I8" s="14" t="s">
        <v>17</v>
      </c>
      <c r="J8" s="11">
        <f>E13+E14</f>
        <v>340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/>
      <c r="C9" s="408"/>
      <c r="D9" s="408"/>
      <c r="E9" s="320">
        <f>B7+C7+D7+E3</f>
        <v>20255</v>
      </c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>
        <v>695</v>
      </c>
      <c r="F10" s="55"/>
      <c r="G10" s="55"/>
      <c r="H10" s="55"/>
      <c r="I10" s="16" t="s">
        <v>15</v>
      </c>
      <c r="J10" s="11">
        <f>E15-E11-J8</f>
        <v>20950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/>
      <c r="C11" s="409"/>
      <c r="D11" s="409"/>
      <c r="E11" s="29">
        <f>(E9+E10)*20%</f>
        <v>4190</v>
      </c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/>
      <c r="C13" s="409"/>
      <c r="D13" s="409"/>
      <c r="E13" s="289">
        <v>275</v>
      </c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>
        <v>65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291">
        <f>(E9+E10+E13+E14+E11)-E12</f>
        <v>25480</v>
      </c>
      <c r="F15" s="55"/>
      <c r="G15" s="17">
        <f>E15</f>
        <v>25480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>
        <v>0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(B3+C3+D3+E3+E10)*1.2</f>
        <v>25140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>
        <v>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25480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25" t="s">
        <v>36</v>
      </c>
      <c r="H26" s="26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30" t="s">
        <v>38</v>
      </c>
      <c r="H27" s="31">
        <v>1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30" t="s">
        <v>40</v>
      </c>
      <c r="H28" s="3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98">
        <f ca="1">TODAY()+1</f>
        <v>45777</v>
      </c>
      <c r="E29" s="398"/>
      <c r="F29" s="55"/>
      <c r="G29" s="25" t="s">
        <v>41</v>
      </c>
      <c r="H29" s="33">
        <f>A32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25" t="s">
        <v>45</v>
      </c>
      <c r="H30" s="33">
        <f>B32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52</v>
      </c>
      <c r="B31" s="163" t="s">
        <v>53</v>
      </c>
      <c r="C31" s="158"/>
      <c r="D31" s="163" t="s">
        <v>54</v>
      </c>
      <c r="E31" s="159"/>
      <c r="F31" s="55"/>
      <c r="G31" s="25" t="s">
        <v>48</v>
      </c>
      <c r="H31" s="37" t="str">
        <f>A41</f>
        <v>6000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89">
        <v>12</v>
      </c>
      <c r="B32" s="378">
        <v>5000</v>
      </c>
      <c r="C32" s="378"/>
      <c r="D32" s="346">
        <f>(A32/12)*B32</f>
        <v>5000</v>
      </c>
      <c r="E32" s="346"/>
      <c r="F32" s="55"/>
      <c r="G32" s="25" t="s">
        <v>49</v>
      </c>
      <c r="H32" s="37">
        <f>A44*A32</f>
        <v>600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30"/>
      <c r="H33" s="43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55</v>
      </c>
      <c r="B34" s="172" t="s">
        <v>61</v>
      </c>
      <c r="C34" s="171" t="s">
        <v>56</v>
      </c>
      <c r="D34" s="173" t="s">
        <v>62</v>
      </c>
      <c r="E34" s="159"/>
      <c r="F34" s="55"/>
      <c r="G34" s="5"/>
      <c r="H34" s="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93">
        <f>E15</f>
        <v>25480</v>
      </c>
      <c r="B35" s="378" t="s">
        <v>398</v>
      </c>
      <c r="C35" s="378"/>
      <c r="D35" s="394">
        <f>A35-B35</f>
        <v>24480</v>
      </c>
      <c r="E35" s="394"/>
      <c r="F35" s="55"/>
      <c r="G35" s="45" t="s">
        <v>59</v>
      </c>
      <c r="H35" s="275">
        <v>6.5000000000000002E-2</v>
      </c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" t="s">
        <v>63</v>
      </c>
      <c r="H36" s="5">
        <f>B38</f>
        <v>11</v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66</v>
      </c>
      <c r="B37" s="163" t="s">
        <v>67</v>
      </c>
      <c r="C37" s="158" t="s">
        <v>58</v>
      </c>
      <c r="D37" s="163" t="s">
        <v>68</v>
      </c>
      <c r="E37" s="159"/>
      <c r="F37" s="55"/>
      <c r="G37" s="5"/>
      <c r="H37" s="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65" t="s">
        <v>393</v>
      </c>
      <c r="B38" s="383">
        <f>A32-1</f>
        <v>11</v>
      </c>
      <c r="C38" s="383"/>
      <c r="D38" s="346" t="s">
        <v>390</v>
      </c>
      <c r="E38" s="346"/>
      <c r="F38" s="55"/>
      <c r="G38" s="337" t="s">
        <v>65</v>
      </c>
      <c r="H38" s="337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" t="s">
        <v>69</v>
      </c>
      <c r="H39" s="5" t="str">
        <f>D38</f>
        <v>500</v>
      </c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76</v>
      </c>
      <c r="B40" s="178" t="s">
        <v>74</v>
      </c>
      <c r="C40" s="171"/>
      <c r="D40" s="137" t="s">
        <v>75</v>
      </c>
      <c r="E40" s="159"/>
      <c r="F40" s="55" t="s">
        <v>70</v>
      </c>
      <c r="G40" s="5" t="s">
        <v>71</v>
      </c>
      <c r="H40" s="5">
        <f>E11</f>
        <v>4190</v>
      </c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392</v>
      </c>
      <c r="B41" s="346" t="s">
        <v>401</v>
      </c>
      <c r="C41" s="346"/>
      <c r="D41" s="378" t="s">
        <v>31</v>
      </c>
      <c r="E41" s="378"/>
      <c r="F41" s="55"/>
      <c r="G41" s="5" t="s">
        <v>72</v>
      </c>
      <c r="H41" s="5" t="str">
        <f>IF(D41="Yes",A44,0)</f>
        <v>50</v>
      </c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5" t="s">
        <v>76</v>
      </c>
      <c r="H42" s="5" t="str">
        <f>A41</f>
        <v>6000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63" t="s">
        <v>129</v>
      </c>
      <c r="B43" s="178" t="s">
        <v>80</v>
      </c>
      <c r="C43" s="171" t="s">
        <v>340</v>
      </c>
      <c r="D43" s="178" t="s">
        <v>221</v>
      </c>
      <c r="E43" s="181"/>
      <c r="F43" s="55"/>
      <c r="G43" s="5" t="s">
        <v>77</v>
      </c>
      <c r="H43" s="5">
        <f>A32</f>
        <v>12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388</v>
      </c>
      <c r="B44" s="346" t="s">
        <v>394</v>
      </c>
      <c r="C44" s="346"/>
      <c r="D44" s="346" t="s">
        <v>394</v>
      </c>
      <c r="E44" s="346"/>
      <c r="F44" s="55"/>
      <c r="G44" s="5" t="s">
        <v>78</v>
      </c>
      <c r="H44" s="5">
        <f>((H40-(((H42/(1.2))*0.2)))/(H43))</f>
        <v>265.83333333333331</v>
      </c>
      <c r="I44" s="276">
        <f>((A41*(B35-1))+D32)/B35</f>
        <v>5999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" t="s">
        <v>82</v>
      </c>
      <c r="H45" s="5">
        <f>(H39-H44)+H41</f>
        <v>284.16666666666669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341</v>
      </c>
      <c r="B46" s="171" t="s">
        <v>342</v>
      </c>
      <c r="C46" s="171" t="s">
        <v>10</v>
      </c>
      <c r="D46" s="171"/>
      <c r="E46" s="181"/>
      <c r="F46" s="55">
        <v>0</v>
      </c>
      <c r="G46" s="5" t="s">
        <v>83</v>
      </c>
      <c r="H46" s="5">
        <v>0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93" t="s">
        <v>341</v>
      </c>
      <c r="B47" s="171"/>
      <c r="C47" s="171"/>
      <c r="D47" s="171"/>
      <c r="E47" s="181"/>
      <c r="F47" s="55"/>
      <c r="G47" s="5" t="s">
        <v>84</v>
      </c>
      <c r="H47" s="5">
        <f>A38/H29</f>
        <v>1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48" t="s">
        <v>86</v>
      </c>
      <c r="H48" s="5">
        <f>B41/H29</f>
        <v>1.6666666666666667</v>
      </c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48" t="s">
        <v>87</v>
      </c>
      <c r="H49" s="5">
        <f>H45+H48+H47</f>
        <v>286.83333333333337</v>
      </c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71"/>
      <c r="E50" s="181"/>
      <c r="F50" s="55"/>
      <c r="G50" s="5" t="s">
        <v>343</v>
      </c>
      <c r="H50" s="5">
        <f>H49-H41</f>
        <v>236.83333333333337</v>
      </c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5000</v>
      </c>
      <c r="C51" s="389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12</v>
      </c>
      <c r="B52" s="343">
        <f>H49</f>
        <v>286.83333333333337</v>
      </c>
      <c r="C52" s="343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H49</f>
        <v>286.83333333333337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/>
      <c r="B66" s="158"/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25140</v>
      </c>
      <c r="C67" s="158"/>
      <c r="D67" s="158"/>
      <c r="E67" s="159"/>
      <c r="F67" s="55"/>
      <c r="G67" s="157" t="s">
        <v>27</v>
      </c>
      <c r="H67" s="28">
        <f>G18</f>
        <v>25140</v>
      </c>
      <c r="I67" s="158"/>
      <c r="J67" s="158"/>
      <c r="K67" s="159"/>
      <c r="L67" s="55"/>
      <c r="M67" s="157" t="s">
        <v>27</v>
      </c>
      <c r="N67" s="28">
        <f>G18</f>
        <v>25140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B67*B69</f>
        <v>1759.8000000000002</v>
      </c>
      <c r="C70" s="158">
        <v>10000</v>
      </c>
      <c r="D70" s="28">
        <f>B70-A149</f>
        <v>1759.8000000000002</v>
      </c>
      <c r="E70" s="159">
        <f>D70/12</f>
        <v>146.65</v>
      </c>
      <c r="F70" s="55"/>
      <c r="G70" s="206" t="s">
        <v>102</v>
      </c>
      <c r="H70" s="57">
        <f>H67*H69</f>
        <v>1759.8000000000002</v>
      </c>
      <c r="I70" s="158"/>
      <c r="J70" s="28">
        <f>H70-G151</f>
        <v>1759.8000000000002</v>
      </c>
      <c r="K70" s="159"/>
      <c r="L70" s="55"/>
      <c r="M70" s="206" t="s">
        <v>102</v>
      </c>
      <c r="N70" s="57">
        <f>N67*N69</f>
        <v>1759.8000000000002</v>
      </c>
      <c r="O70" s="158"/>
      <c r="P70" s="28">
        <f>N70-M151</f>
        <v>1759.8000000000002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3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>
        <f>B71+(B71*0.5*(H29/12-1))</f>
        <v>100</v>
      </c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125.7</v>
      </c>
      <c r="I73" s="158"/>
      <c r="J73" s="28"/>
      <c r="K73" s="159"/>
      <c r="L73" s="55"/>
      <c r="M73" s="206" t="s">
        <v>105</v>
      </c>
      <c r="N73" s="57">
        <f>N67*N72</f>
        <v>125.7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((B80+B81)/12)*(H29-11)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3086.4666666666667</v>
      </c>
      <c r="C87" s="158"/>
      <c r="D87" s="158"/>
      <c r="E87" s="159"/>
      <c r="F87" s="55"/>
      <c r="G87" s="220" t="s">
        <v>114</v>
      </c>
      <c r="H87" s="221">
        <f>SUM(J70:J86)</f>
        <v>4886.3</v>
      </c>
      <c r="I87" s="158"/>
      <c r="J87" s="158"/>
      <c r="K87" s="159"/>
      <c r="L87" s="55"/>
      <c r="M87" s="220" t="s">
        <v>114</v>
      </c>
      <c r="N87" s="221">
        <f>SUM(P70:P86)</f>
        <v>4873.8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257.20555555555558</v>
      </c>
      <c r="C88" s="158"/>
      <c r="D88" s="158"/>
      <c r="E88" s="159"/>
      <c r="F88" s="55"/>
      <c r="G88" s="157" t="s">
        <v>115</v>
      </c>
      <c r="H88" s="29">
        <f>H87/H29</f>
        <v>407.19166666666666</v>
      </c>
      <c r="I88" s="158"/>
      <c r="J88" s="158"/>
      <c r="K88" s="159"/>
      <c r="L88" s="55"/>
      <c r="M88" s="157" t="s">
        <v>115</v>
      </c>
      <c r="N88" s="29">
        <f>N87/H29</f>
        <v>406.15000000000003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H50</f>
        <v>236.83333333333337</v>
      </c>
      <c r="C89" s="158"/>
      <c r="D89" s="158"/>
      <c r="E89" s="159"/>
      <c r="F89" s="55"/>
      <c r="G89" s="222" t="s">
        <v>116</v>
      </c>
      <c r="H89" s="52">
        <f>H46</f>
        <v>0</v>
      </c>
      <c r="I89" s="158"/>
      <c r="J89" s="158"/>
      <c r="K89" s="159"/>
      <c r="L89" s="55"/>
      <c r="M89" s="222" t="s">
        <v>116</v>
      </c>
      <c r="N89" s="52">
        <f>H46</f>
        <v>0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((B89*H29)+B87)*1.2</f>
        <v>7114.1600000000008</v>
      </c>
      <c r="C91" s="158"/>
      <c r="D91" s="158"/>
      <c r="E91" s="159"/>
      <c r="F91" s="55"/>
      <c r="G91" s="209" t="s">
        <v>126</v>
      </c>
      <c r="H91" s="24">
        <f>((H89*H29)+H87)*1.2</f>
        <v>5863.56</v>
      </c>
      <c r="I91" s="158"/>
      <c r="J91" s="158"/>
      <c r="K91" s="159"/>
      <c r="L91" s="55"/>
      <c r="M91" s="209" t="s">
        <v>126</v>
      </c>
      <c r="N91" s="24">
        <f>((N89*H29)+N87)</f>
        <v>4873.8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50.220976200080685</v>
      </c>
      <c r="C92" s="158"/>
      <c r="D92" s="158"/>
      <c r="E92" s="283"/>
      <c r="F92" s="55"/>
      <c r="G92" s="157" t="s">
        <v>127</v>
      </c>
      <c r="H92" s="29">
        <f>(((H89*H29)+H87)/(1-H76))*H76</f>
        <v>41.392617991125455</v>
      </c>
      <c r="I92" s="158"/>
      <c r="J92" s="158"/>
      <c r="K92" s="159"/>
      <c r="L92" s="55"/>
      <c r="M92" s="157" t="s">
        <v>127</v>
      </c>
      <c r="N92" s="29">
        <f>(N91/(1-N76))*N76</f>
        <v>41.286728519564349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7164.380976200081</v>
      </c>
      <c r="C93" s="158"/>
      <c r="D93" s="158"/>
      <c r="E93" s="159"/>
      <c r="F93" s="55"/>
      <c r="G93" s="206" t="s">
        <v>128</v>
      </c>
      <c r="H93" s="57">
        <f>IF(H116="YES",((H91+H92)-K120),(H91+H92))</f>
        <v>7904.9526179911254</v>
      </c>
      <c r="I93" s="158"/>
      <c r="J93" s="158"/>
      <c r="K93" s="159"/>
      <c r="L93" s="55"/>
      <c r="M93" s="206" t="s">
        <v>128</v>
      </c>
      <c r="N93" s="57">
        <f>IF(N116="YES",((N91+N92)-K120),(N91+N92))</f>
        <v>6915.0867285195645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IF(B105=Z104,(((H41*A32)+(H41*A32)*(B111/100))/(B64)),(((H41*A32)+(H41*A32)*(B111/100))/(B63+B64)))*1.2</f>
        <v>72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597.03174801667342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669.03174801667342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900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385</v>
      </c>
      <c r="B111" s="395">
        <v>20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900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(E124+E123)-E120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597.03174801667342</v>
      </c>
      <c r="B134" s="232">
        <f>IF(A111="YES",B95,0)</f>
        <v>72</v>
      </c>
      <c r="C134" s="236"/>
      <c r="D134" s="232">
        <f>B97</f>
        <v>669.03174801667342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597.03174801667342</v>
      </c>
      <c r="C137" s="158"/>
      <c r="D137" s="34">
        <f>IF(A111="YES",B95*B63,0)</f>
        <v>72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669.03174801667342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0.15288000000000002</v>
      </c>
      <c r="H142" s="34">
        <f>IF(G111="YES",E15*0.000002,0)</f>
        <v>5.0959999999999998E-2</v>
      </c>
      <c r="I142" s="34"/>
      <c r="J142" s="34">
        <f>G142+H142</f>
        <v>0.20384000000000002</v>
      </c>
      <c r="K142" s="90"/>
      <c r="L142" s="55"/>
      <c r="M142" s="94">
        <f>E15*0.000006</f>
        <v>0.15288000000000002</v>
      </c>
      <c r="N142" s="34">
        <f>IF(M111="YES",E15*0.000002,0)</f>
        <v>5.0959999999999998E-2</v>
      </c>
      <c r="O142" s="34"/>
      <c r="P142" s="34">
        <f>M142+N142</f>
        <v>0.20384000000000002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597.03174801667342</v>
      </c>
      <c r="B143" s="34">
        <f>IF(A111="YES",B95,0)</f>
        <v>72</v>
      </c>
      <c r="C143" s="158"/>
      <c r="D143" s="34">
        <f>B97</f>
        <v>669.03174801667342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104.75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104.75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(G18*0.000006)*1.2*100</f>
        <v>18.1008</v>
      </c>
      <c r="B146" s="251">
        <f>G18*0.000002*1.2*100</f>
        <v>6.033599999999999</v>
      </c>
      <c r="C146" s="252"/>
      <c r="D146" s="251">
        <f>A146+B146</f>
        <v>24.134399999999999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1440</v>
      </c>
      <c r="H148" s="34">
        <f>G108-100</f>
        <v>139.988</v>
      </c>
      <c r="I148" s="34"/>
      <c r="J148" s="34">
        <f>(H145+J145+G148+H148)-H151</f>
        <v>2764.7379999999998</v>
      </c>
      <c r="K148" s="90"/>
      <c r="L148" s="55"/>
      <c r="M148" s="94">
        <f>IF(M111="YES",((A41*N111)*0.1)*(M133),0)</f>
        <v>1440</v>
      </c>
      <c r="N148" s="34">
        <f>M108-100</f>
        <v>99.990000000000009</v>
      </c>
      <c r="O148" s="34"/>
      <c r="P148" s="34">
        <f>(N145+P145+M148+N148)-N151</f>
        <v>2724.74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900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IF(A111="YES",(A44/100*B111)*B131,0)*0.1</f>
        <v>12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4190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537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669.03174801667342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597.03174801667342</v>
      </c>
      <c r="B177" s="232">
        <f>IF(A111="YES",B95,0)</f>
        <v>72</v>
      </c>
      <c r="C177" s="236"/>
      <c r="D177" s="232">
        <f>A177+B177</f>
        <v>669.03174801667342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597.03174801667342</v>
      </c>
      <c r="C180" s="158"/>
      <c r="D180" s="34">
        <f>IF(A111="YES",B95*B63,0)</f>
        <v>72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669.03174801667342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597.03174801667342</v>
      </c>
      <c r="B186" s="34">
        <f>IF(A111="YES",B95,0)</f>
        <v>72</v>
      </c>
      <c r="C186" s="158"/>
      <c r="D186" s="34">
        <f>B97</f>
        <v>669.03174801667342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(G18*0.000006)*1.2*100</f>
        <v>18.1008</v>
      </c>
      <c r="B189" s="251">
        <f>G18*0.000002*1.2*100</f>
        <v>6.033599999999999</v>
      </c>
      <c r="C189" s="252"/>
      <c r="D189" s="251">
        <f>A189+B189</f>
        <v>24.134399999999999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900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IF(A111="YES",(A44/100*B111)*B131,0)*0.1</f>
        <v>12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537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6.5000000000000002E-2</v>
      </c>
      <c r="C209" s="232" t="s">
        <v>227</v>
      </c>
      <c r="D209" s="261">
        <f>D70</f>
        <v>1759.8000000000002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585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2244.8000000000002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1759.8000000000002</v>
      </c>
      <c r="C217" s="178" t="s">
        <v>233</v>
      </c>
      <c r="D217" s="158"/>
      <c r="E217" s="214">
        <f>B72</f>
        <v>100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2244.8000000000002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120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50.220976200080685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5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A100:E100"/>
    <mergeCell ref="G100:K100"/>
    <mergeCell ref="M100:Q100"/>
    <mergeCell ref="A102:E102"/>
    <mergeCell ref="G102:K102"/>
    <mergeCell ref="M102:Q102"/>
    <mergeCell ref="B52:C52"/>
    <mergeCell ref="A56:A57"/>
    <mergeCell ref="B56:C56"/>
    <mergeCell ref="B57:C57"/>
    <mergeCell ref="B58:C58"/>
    <mergeCell ref="B41:C41"/>
    <mergeCell ref="D41:E41"/>
    <mergeCell ref="B44:C44"/>
    <mergeCell ref="D44:E44"/>
    <mergeCell ref="A50:A51"/>
    <mergeCell ref="B50:C50"/>
    <mergeCell ref="B51:C51"/>
    <mergeCell ref="B35:C35"/>
    <mergeCell ref="D35:E35"/>
    <mergeCell ref="B38:C38"/>
    <mergeCell ref="D38:E38"/>
    <mergeCell ref="G38:H38"/>
    <mergeCell ref="A26:E26"/>
    <mergeCell ref="B29:C29"/>
    <mergeCell ref="D29:E29"/>
    <mergeCell ref="B30:C30"/>
    <mergeCell ref="B32:C32"/>
    <mergeCell ref="D32:E32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3">
    <dataValidation type="list" allowBlank="1" showErrorMessage="1" sqref="D41 A111 G111 M111 O113 B116 H116 N116" xr:uid="{00000000-0002-0000-2F00-000000000000}">
      <formula1>$Z$19:$Z$20</formula1>
      <formula2>0</formula2>
    </dataValidation>
    <dataValidation type="list" allowBlank="1" showErrorMessage="1" sqref="H105 N105" xr:uid="{00000000-0002-0000-2F00-000002000000}">
      <formula1>$Y$103:$Y$112</formula1>
      <formula2>0</formula2>
    </dataValidation>
    <dataValidation type="list" allowBlank="1" showErrorMessage="1" sqref="A18:A20" xr:uid="{00000000-0002-0000-2F00-000003000000}">
      <formula1>$Y$16:$Y$18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2F00-000001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1000"/>
  <sheetViews>
    <sheetView topLeftCell="A157" zoomScale="110" zoomScaleNormal="110" workbookViewId="0">
      <selection activeCell="A201" sqref="A201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87">
        <v>20255</v>
      </c>
      <c r="C3" s="187">
        <v>0</v>
      </c>
      <c r="D3" s="187">
        <v>0</v>
      </c>
      <c r="E3" s="289">
        <v>0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56">
        <v>0</v>
      </c>
      <c r="C4" s="56">
        <v>0</v>
      </c>
      <c r="D4" s="56">
        <v>0</v>
      </c>
      <c r="E4" s="214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>
        <v>0</v>
      </c>
      <c r="C5" s="187">
        <v>0</v>
      </c>
      <c r="D5" s="187">
        <v>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0</v>
      </c>
      <c r="C6" s="28">
        <f>(C3*C4/100)+C5</f>
        <v>0</v>
      </c>
      <c r="D6" s="28">
        <f>(D3*D4/100)+D5</f>
        <v>0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20255</v>
      </c>
      <c r="C7" s="28">
        <f>C3-C6</f>
        <v>0</v>
      </c>
      <c r="D7" s="28">
        <f>D3-D6</f>
        <v>0</v>
      </c>
      <c r="E7" s="29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55"/>
      <c r="H8" s="55"/>
      <c r="I8" s="14" t="s">
        <v>17</v>
      </c>
      <c r="J8" s="11">
        <f>E13+E14</f>
        <v>340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/>
      <c r="C9" s="408"/>
      <c r="D9" s="408"/>
      <c r="E9" s="320">
        <f>B7+C7+D7+E3</f>
        <v>20255</v>
      </c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>
        <v>695</v>
      </c>
      <c r="F10" s="55"/>
      <c r="G10" s="55"/>
      <c r="H10" s="55"/>
      <c r="I10" s="16" t="s">
        <v>15</v>
      </c>
      <c r="J10" s="11">
        <f>E15-E11-J8</f>
        <v>20950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/>
      <c r="C11" s="409"/>
      <c r="D11" s="409"/>
      <c r="E11" s="29">
        <f>(E9+E10)*20%</f>
        <v>4190</v>
      </c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/>
      <c r="C13" s="409"/>
      <c r="D13" s="409"/>
      <c r="E13" s="289">
        <v>275</v>
      </c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>
        <v>65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291">
        <f>(E9+E10+E13+E14+E11)-E12</f>
        <v>25480</v>
      </c>
      <c r="F15" s="55"/>
      <c r="G15" s="17">
        <f>E15</f>
        <v>25480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>
        <v>0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(B3+C3+D3+E3+E10)*1.2</f>
        <v>25140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>
        <v>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25480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25" t="s">
        <v>36</v>
      </c>
      <c r="H26" s="26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30" t="s">
        <v>38</v>
      </c>
      <c r="H27" s="31">
        <v>1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30" t="s">
        <v>40</v>
      </c>
      <c r="H28" s="3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98">
        <f ca="1">TODAY()+1</f>
        <v>45777</v>
      </c>
      <c r="E29" s="398"/>
      <c r="F29" s="55"/>
      <c r="G29" s="25" t="s">
        <v>41</v>
      </c>
      <c r="H29" s="33">
        <f>A32</f>
        <v>12</v>
      </c>
      <c r="I29" s="55" t="b">
        <f>ISNUMBER(I31)</f>
        <v>0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25" t="s">
        <v>45</v>
      </c>
      <c r="H30" s="33">
        <f>B32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52</v>
      </c>
      <c r="B31" s="163" t="s">
        <v>53</v>
      </c>
      <c r="C31" s="158"/>
      <c r="D31" s="163" t="s">
        <v>54</v>
      </c>
      <c r="E31" s="159"/>
      <c r="F31" s="55"/>
      <c r="G31" s="25" t="s">
        <v>48</v>
      </c>
      <c r="H31" s="37" t="str">
        <f>A41</f>
        <v>6000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89">
        <v>12</v>
      </c>
      <c r="B32" s="378">
        <v>5000</v>
      </c>
      <c r="C32" s="378"/>
      <c r="D32" s="346">
        <f>(A32/12)*B32</f>
        <v>5000</v>
      </c>
      <c r="E32" s="346"/>
      <c r="F32" s="55"/>
      <c r="G32" s="25" t="s">
        <v>49</v>
      </c>
      <c r="H32" s="37">
        <f>A44*A32</f>
        <v>600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30"/>
      <c r="H33" s="43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341</v>
      </c>
      <c r="B34" s="172" t="s">
        <v>61</v>
      </c>
      <c r="C34" s="171" t="s">
        <v>10</v>
      </c>
      <c r="D34" s="173" t="s">
        <v>62</v>
      </c>
      <c r="E34" s="159"/>
      <c r="F34" s="55"/>
      <c r="G34" s="5"/>
      <c r="H34" s="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93">
        <f>E15</f>
        <v>25480</v>
      </c>
      <c r="B35" s="378" t="s">
        <v>398</v>
      </c>
      <c r="C35" s="378"/>
      <c r="D35" s="394">
        <f>A35-B35</f>
        <v>24480</v>
      </c>
      <c r="E35" s="394"/>
      <c r="F35" s="55"/>
      <c r="G35" s="45" t="s">
        <v>59</v>
      </c>
      <c r="H35" s="275">
        <v>6.5000000000000002E-2</v>
      </c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" t="s">
        <v>63</v>
      </c>
      <c r="H36" s="5">
        <f>B38</f>
        <v>11</v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66</v>
      </c>
      <c r="B37" s="163" t="s">
        <v>67</v>
      </c>
      <c r="C37" s="158" t="s">
        <v>10</v>
      </c>
      <c r="D37" s="163" t="s">
        <v>68</v>
      </c>
      <c r="E37" s="159"/>
      <c r="F37" s="55"/>
      <c r="G37" s="5"/>
      <c r="H37" s="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65" t="s">
        <v>393</v>
      </c>
      <c r="B38" s="383">
        <f>A32-1</f>
        <v>11</v>
      </c>
      <c r="C38" s="383"/>
      <c r="D38" s="346" t="s">
        <v>390</v>
      </c>
      <c r="E38" s="346"/>
      <c r="F38" s="55"/>
      <c r="G38" s="337" t="s">
        <v>65</v>
      </c>
      <c r="H38" s="337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" t="s">
        <v>69</v>
      </c>
      <c r="H39" s="5" t="str">
        <f>D38</f>
        <v>500</v>
      </c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76</v>
      </c>
      <c r="B40" s="178" t="s">
        <v>74</v>
      </c>
      <c r="C40" s="171"/>
      <c r="D40" s="137" t="s">
        <v>75</v>
      </c>
      <c r="E40" s="159"/>
      <c r="F40" s="55" t="s">
        <v>10</v>
      </c>
      <c r="G40" s="5" t="s">
        <v>71</v>
      </c>
      <c r="H40" s="5">
        <f>E11</f>
        <v>4190</v>
      </c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392</v>
      </c>
      <c r="B41" s="346" t="s">
        <v>401</v>
      </c>
      <c r="C41" s="346"/>
      <c r="D41" s="378" t="s">
        <v>31</v>
      </c>
      <c r="E41" s="378"/>
      <c r="F41" s="55"/>
      <c r="G41" s="5" t="s">
        <v>72</v>
      </c>
      <c r="H41" s="5" t="str">
        <f>IF(D41="Yes",A44,0)</f>
        <v>50</v>
      </c>
      <c r="I41" s="5" t="s">
        <v>10</v>
      </c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5" t="s">
        <v>76</v>
      </c>
      <c r="H42" s="5" t="str">
        <f>A41</f>
        <v>6000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63" t="s">
        <v>129</v>
      </c>
      <c r="B43" s="178" t="s">
        <v>80</v>
      </c>
      <c r="C43" s="171" t="s">
        <v>10</v>
      </c>
      <c r="D43" s="178" t="s">
        <v>221</v>
      </c>
      <c r="E43" s="181"/>
      <c r="F43" s="55"/>
      <c r="G43" s="5" t="s">
        <v>77</v>
      </c>
      <c r="H43" s="5">
        <f>A32</f>
        <v>12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388</v>
      </c>
      <c r="B44" s="346" t="s">
        <v>394</v>
      </c>
      <c r="C44" s="346"/>
      <c r="D44" s="346" t="s">
        <v>394</v>
      </c>
      <c r="E44" s="346"/>
      <c r="F44" s="55"/>
      <c r="G44" s="5" t="s">
        <v>78</v>
      </c>
      <c r="H44" s="5">
        <f>((H40-(((H42/(1.2))*0.2)))/(H43))</f>
        <v>265.83333333333331</v>
      </c>
      <c r="I44" s="276">
        <f>((A41*(B35-1))+D32)/B35</f>
        <v>5999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" t="s">
        <v>82</v>
      </c>
      <c r="H45" s="5">
        <f>(H39-H44)+H41</f>
        <v>284.16666666666669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341</v>
      </c>
      <c r="B46" s="171" t="s">
        <v>342</v>
      </c>
      <c r="C46" s="171" t="s">
        <v>10</v>
      </c>
      <c r="D46" s="171"/>
      <c r="E46" s="181"/>
      <c r="F46" s="55">
        <v>0</v>
      </c>
      <c r="G46" s="5" t="s">
        <v>83</v>
      </c>
      <c r="H46" s="5">
        <v>0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93" t="s">
        <v>341</v>
      </c>
      <c r="B47" s="171"/>
      <c r="C47" s="171"/>
      <c r="D47" s="171"/>
      <c r="E47" s="181"/>
      <c r="F47" s="55"/>
      <c r="G47" s="5" t="s">
        <v>84</v>
      </c>
      <c r="H47" s="5">
        <f>A38/H29</f>
        <v>1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48" t="s">
        <v>86</v>
      </c>
      <c r="H48" s="5">
        <f>B41/H29</f>
        <v>1.6666666666666667</v>
      </c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48" t="s">
        <v>87</v>
      </c>
      <c r="H49" s="5">
        <f>H45+H48+H47</f>
        <v>286.83333333333337</v>
      </c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93"/>
      <c r="B50" s="171"/>
      <c r="C50" s="171"/>
      <c r="D50" s="171"/>
      <c r="E50" s="181"/>
      <c r="F50" s="55"/>
      <c r="G50" s="5" t="s">
        <v>343</v>
      </c>
      <c r="H50" s="5">
        <f>H49-H41</f>
        <v>236.83333333333337</v>
      </c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/>
      <c r="B52" s="343"/>
      <c r="C52" s="343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H49</f>
        <v>286.83333333333337</v>
      </c>
      <c r="C58" s="343"/>
      <c r="D58" s="184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 t="s">
        <v>10</v>
      </c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/>
      <c r="B66" s="158"/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25140</v>
      </c>
      <c r="C67" s="158"/>
      <c r="D67" s="158"/>
      <c r="E67" s="159"/>
      <c r="F67" s="55"/>
      <c r="G67" s="157" t="s">
        <v>27</v>
      </c>
      <c r="H67" s="28">
        <f>G18</f>
        <v>25140</v>
      </c>
      <c r="I67" s="158"/>
      <c r="J67" s="158"/>
      <c r="K67" s="159"/>
      <c r="L67" s="55"/>
      <c r="M67" s="157" t="s">
        <v>27</v>
      </c>
      <c r="N67" s="28">
        <f>G18</f>
        <v>25140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B67*B69</f>
        <v>1759.8000000000002</v>
      </c>
      <c r="C70" s="158">
        <v>10000</v>
      </c>
      <c r="D70" s="28">
        <f>B70-A149</f>
        <v>1759.8000000000002</v>
      </c>
      <c r="E70" s="159">
        <f>D70/12</f>
        <v>146.65</v>
      </c>
      <c r="F70" s="55"/>
      <c r="G70" s="206" t="s">
        <v>102</v>
      </c>
      <c r="H70" s="57">
        <f>H67*H69</f>
        <v>1759.8000000000002</v>
      </c>
      <c r="I70" s="158"/>
      <c r="J70" s="28">
        <f>H70-G151</f>
        <v>1759.8000000000002</v>
      </c>
      <c r="K70" s="159"/>
      <c r="L70" s="55"/>
      <c r="M70" s="206" t="s">
        <v>102</v>
      </c>
      <c r="N70" s="57">
        <f>N67*N69</f>
        <v>1759.8000000000002</v>
      </c>
      <c r="O70" s="158"/>
      <c r="P70" s="28">
        <f>N70-M151</f>
        <v>1759.8000000000002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3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>
        <f>B71+(B71*0.5*(H29/12-1))</f>
        <v>100</v>
      </c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125.7</v>
      </c>
      <c r="I73" s="158"/>
      <c r="J73" s="28"/>
      <c r="K73" s="159"/>
      <c r="L73" s="55"/>
      <c r="M73" s="206" t="s">
        <v>105</v>
      </c>
      <c r="N73" s="57">
        <f>N67*N72</f>
        <v>125.7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((B80+B81)/12)*(H29-11)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3086.4666666666667</v>
      </c>
      <c r="C87" s="158"/>
      <c r="D87" s="158"/>
      <c r="E87" s="159"/>
      <c r="F87" s="55"/>
      <c r="G87" s="220" t="s">
        <v>114</v>
      </c>
      <c r="H87" s="221">
        <f>SUM(J70:J86)</f>
        <v>4886.3</v>
      </c>
      <c r="I87" s="158"/>
      <c r="J87" s="158"/>
      <c r="K87" s="159"/>
      <c r="L87" s="55"/>
      <c r="M87" s="220" t="s">
        <v>114</v>
      </c>
      <c r="N87" s="221">
        <f>SUM(P70:P86)</f>
        <v>4873.8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257.20555555555558</v>
      </c>
      <c r="C88" s="158"/>
      <c r="D88" s="158"/>
      <c r="E88" s="159"/>
      <c r="F88" s="55"/>
      <c r="G88" s="157" t="s">
        <v>115</v>
      </c>
      <c r="H88" s="29">
        <f>H87/H29</f>
        <v>407.19166666666666</v>
      </c>
      <c r="I88" s="158"/>
      <c r="J88" s="158"/>
      <c r="K88" s="159"/>
      <c r="L88" s="55"/>
      <c r="M88" s="157" t="s">
        <v>115</v>
      </c>
      <c r="N88" s="29">
        <f>N87/H29</f>
        <v>406.15000000000003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H50</f>
        <v>236.83333333333337</v>
      </c>
      <c r="C89" s="158"/>
      <c r="D89" s="158"/>
      <c r="E89" s="159"/>
      <c r="F89" s="55"/>
      <c r="G89" s="222" t="s">
        <v>116</v>
      </c>
      <c r="H89" s="52">
        <f>H46</f>
        <v>0</v>
      </c>
      <c r="I89" s="158"/>
      <c r="J89" s="158"/>
      <c r="K89" s="159"/>
      <c r="L89" s="55"/>
      <c r="M89" s="222" t="s">
        <v>116</v>
      </c>
      <c r="N89" s="52">
        <f>H46</f>
        <v>0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5928.4666666666672</v>
      </c>
      <c r="C91" s="158"/>
      <c r="D91" s="158"/>
      <c r="E91" s="159"/>
      <c r="F91" s="55"/>
      <c r="G91" s="209" t="s">
        <v>126</v>
      </c>
      <c r="H91" s="24">
        <f>((H89*H29)+H87)*1.2</f>
        <v>5863.56</v>
      </c>
      <c r="I91" s="158"/>
      <c r="J91" s="158"/>
      <c r="K91" s="159"/>
      <c r="L91" s="55"/>
      <c r="M91" s="209" t="s">
        <v>126</v>
      </c>
      <c r="N91" s="24">
        <f>((N89*H29)+N87)</f>
        <v>4873.8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50.220976200080685</v>
      </c>
      <c r="C92" s="158"/>
      <c r="D92" s="158"/>
      <c r="E92" s="283"/>
      <c r="F92" s="55"/>
      <c r="G92" s="157" t="s">
        <v>127</v>
      </c>
      <c r="H92" s="29">
        <f>(((H89*H29)+H87)/(1-H76))*H76</f>
        <v>41.392617991125455</v>
      </c>
      <c r="I92" s="158"/>
      <c r="J92" s="158"/>
      <c r="K92" s="159"/>
      <c r="L92" s="55"/>
      <c r="M92" s="157" t="s">
        <v>127</v>
      </c>
      <c r="N92" s="29">
        <f>(N91/(1-N76))*N76</f>
        <v>41.286728519564349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5978.6876428667474</v>
      </c>
      <c r="C93" s="158"/>
      <c r="D93" s="158"/>
      <c r="E93" s="159"/>
      <c r="F93" s="55"/>
      <c r="G93" s="206" t="s">
        <v>128</v>
      </c>
      <c r="H93" s="57">
        <f>IF(H116="YES",((H91+H92)-K120),(H91+H92))</f>
        <v>7904.9526179911254</v>
      </c>
      <c r="I93" s="158"/>
      <c r="J93" s="158"/>
      <c r="K93" s="159"/>
      <c r="L93" s="55"/>
      <c r="M93" s="206" t="s">
        <v>128</v>
      </c>
      <c r="N93" s="57">
        <f>IF(N116="YES",((N91+N92)-K120),(N91+N92))</f>
        <v>6915.0867285195645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IF(B105=Z104,(((H41*A32)+(H41*A32)*(B111/100))/(B64)),(((H41*A32)+(H41*A32)*(B111/100))/(B63+B64)))</f>
        <v>65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498.22397023889562</v>
      </c>
      <c r="C96" s="158" t="s">
        <v>10</v>
      </c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563.22397023889562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750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385</v>
      </c>
      <c r="B111" s="395">
        <v>30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750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498.22397023889562</v>
      </c>
      <c r="B134" s="232">
        <f>IF(A111="YES",B95,0)</f>
        <v>65</v>
      </c>
      <c r="C134" s="237"/>
      <c r="D134" s="232">
        <f>B97</f>
        <v>563.22397023889562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498.22397023889562</v>
      </c>
      <c r="C137" s="158"/>
      <c r="D137" s="34">
        <f>IF(A111="YES",B95*B63,0)</f>
        <v>65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563.22397023889562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0.15288000000000002</v>
      </c>
      <c r="H142" s="34">
        <f>IF(G111="YES",E15*0.000002,0)</f>
        <v>5.0959999999999998E-2</v>
      </c>
      <c r="I142" s="34"/>
      <c r="J142" s="34">
        <f>G142+H142</f>
        <v>0.20384000000000002</v>
      </c>
      <c r="K142" s="90"/>
      <c r="L142" s="55"/>
      <c r="M142" s="94">
        <f>E15*0.000006</f>
        <v>0.15288000000000002</v>
      </c>
      <c r="N142" s="34">
        <f>IF(M111="YES",E15*0.000002,0)</f>
        <v>5.0959999999999998E-2</v>
      </c>
      <c r="O142" s="34"/>
      <c r="P142" s="34">
        <f>M142+N142</f>
        <v>0.20384000000000002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498.22397023889562</v>
      </c>
      <c r="B143" s="34">
        <f>IF(A111="YES",B95,0)</f>
        <v>65</v>
      </c>
      <c r="C143" s="158"/>
      <c r="D143" s="34">
        <f>B97</f>
        <v>563.22397023889562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104.75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104.75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15.084</v>
      </c>
      <c r="B146" s="251">
        <f>G18*0.000002*100</f>
        <v>5.0279999999999996</v>
      </c>
      <c r="C146" s="252"/>
      <c r="D146" s="251">
        <f>A146+B146</f>
        <v>20.111999999999998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1440</v>
      </c>
      <c r="H148" s="34">
        <f>G108-100</f>
        <v>139.988</v>
      </c>
      <c r="I148" s="34"/>
      <c r="J148" s="34">
        <f>(H145+J145+G148+H148)-H151</f>
        <v>2764.7379999999998</v>
      </c>
      <c r="K148" s="90"/>
      <c r="L148" s="55"/>
      <c r="M148" s="94">
        <f>IF(M111="YES",((A41*N111)*0.1)*(M133),0)</f>
        <v>1440</v>
      </c>
      <c r="N148" s="34">
        <f>M108-100</f>
        <v>99.990000000000009</v>
      </c>
      <c r="O148" s="34"/>
      <c r="P148" s="34">
        <f>(N145+P145+M148+N148)-N151</f>
        <v>2724.74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750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IF(A111="YES",(A44/100*B111)*B131,0)*0.1</f>
        <v>18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4190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543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563.22397023889562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 t="b">
        <f>ISNUMBER(B183)</f>
        <v>1</v>
      </c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498.22397023889562</v>
      </c>
      <c r="B177" s="232">
        <f>IF(A111="YES",B95,0)</f>
        <v>65</v>
      </c>
      <c r="C177" s="237"/>
      <c r="D177" s="232">
        <f>B91</f>
        <v>5928.4666666666672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498.22397023889562</v>
      </c>
      <c r="C180" s="158"/>
      <c r="D180" s="34">
        <f>IF(A111="YES",B95*B63,0)</f>
        <v>65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563.22397023889562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498.22397023889562</v>
      </c>
      <c r="B186" s="34">
        <f>IF(A111="YES",B95,0)</f>
        <v>65</v>
      </c>
      <c r="C186" s="158"/>
      <c r="D186" s="34">
        <f>B97</f>
        <v>563.22397023889562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15.084</v>
      </c>
      <c r="B189" s="251">
        <f>G18*0.000002*100</f>
        <v>5.0279999999999996</v>
      </c>
      <c r="C189" s="252"/>
      <c r="D189" s="251">
        <f>A189+B189</f>
        <v>20.111999999999998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750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IF(A111="YES",(A44/100*B111)*B131,0)*0.1</f>
        <v>18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543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6.5000000000000002E-2</v>
      </c>
      <c r="C209" s="232" t="s">
        <v>227</v>
      </c>
      <c r="D209" s="261">
        <f>D70</f>
        <v>1759.8000000000002</v>
      </c>
      <c r="E209" s="233"/>
      <c r="F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645</v>
      </c>
      <c r="E211" s="233"/>
      <c r="F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2304.8000000000002</v>
      </c>
      <c r="C213" s="236"/>
      <c r="D213" s="232"/>
      <c r="E213" s="233"/>
      <c r="F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1759.8000000000002</v>
      </c>
      <c r="C217" s="178" t="s">
        <v>233</v>
      </c>
      <c r="D217" s="158"/>
      <c r="E217" s="214">
        <f>B72</f>
        <v>100</v>
      </c>
      <c r="F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2304.8000000000002</v>
      </c>
      <c r="F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180</v>
      </c>
      <c r="C225" s="34"/>
      <c r="D225" s="249"/>
      <c r="E225" s="127"/>
      <c r="F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50.220976200080685</v>
      </c>
      <c r="F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0</v>
      </c>
      <c r="F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157"/>
      <c r="B243" s="158"/>
      <c r="C243" s="158"/>
      <c r="D243" s="158"/>
      <c r="E243" s="159"/>
      <c r="F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94"/>
      <c r="B244" s="34"/>
      <c r="C244" s="34"/>
      <c r="D244" s="34"/>
      <c r="E244" s="90"/>
      <c r="F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157"/>
      <c r="B245" s="158"/>
      <c r="C245" s="158"/>
      <c r="D245" s="158"/>
      <c r="E245" s="159"/>
      <c r="F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157"/>
      <c r="B246" s="158"/>
      <c r="C246" s="158"/>
      <c r="D246" s="158"/>
      <c r="E246" s="159"/>
      <c r="F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94"/>
      <c r="B247" s="34"/>
      <c r="C247" s="158"/>
      <c r="D247" s="158"/>
      <c r="E247" s="159"/>
      <c r="F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206"/>
      <c r="B248" s="207"/>
      <c r="C248" s="207"/>
      <c r="D248" s="207"/>
      <c r="E248" s="208"/>
      <c r="F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2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G100:K100"/>
    <mergeCell ref="M100:Q100"/>
    <mergeCell ref="A102:E102"/>
    <mergeCell ref="G102:K102"/>
    <mergeCell ref="M102:Q102"/>
    <mergeCell ref="A56:A57"/>
    <mergeCell ref="B56:C56"/>
    <mergeCell ref="B57:C57"/>
    <mergeCell ref="B58:C58"/>
    <mergeCell ref="A100:E100"/>
    <mergeCell ref="B41:C41"/>
    <mergeCell ref="D41:E41"/>
    <mergeCell ref="B44:C44"/>
    <mergeCell ref="D44:E44"/>
    <mergeCell ref="B52:C52"/>
    <mergeCell ref="B35:C35"/>
    <mergeCell ref="D35:E35"/>
    <mergeCell ref="B38:C38"/>
    <mergeCell ref="D38:E38"/>
    <mergeCell ref="G38:H38"/>
    <mergeCell ref="A26:E26"/>
    <mergeCell ref="B29:C29"/>
    <mergeCell ref="D29:E29"/>
    <mergeCell ref="B30:C30"/>
    <mergeCell ref="B32:C32"/>
    <mergeCell ref="D32:E32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3">
    <dataValidation type="list" allowBlank="1" showErrorMessage="1" sqref="H105 N105" xr:uid="{00000000-0002-0000-3000-000001000000}">
      <formula1>$Y$103:$Y$112</formula1>
      <formula2>0</formula2>
    </dataValidation>
    <dataValidation type="list" allowBlank="1" showErrorMessage="1" sqref="D41 A111 G111 M111 O113 B116 H116 N116" xr:uid="{00000000-0002-0000-3000-000002000000}">
      <formula1>$Z$19:$Z$20</formula1>
      <formula2>0</formula2>
    </dataValidation>
    <dataValidation type="list" allowBlank="1" showErrorMessage="1" sqref="A18:A20" xr:uid="{00000000-0002-0000-3000-000003000000}">
      <formula1>$Y$16:$Y$18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3000-000000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AP281"/>
  <sheetViews>
    <sheetView topLeftCell="A258" zoomScale="110" zoomScaleNormal="110" workbookViewId="0">
      <selection activeCell="F270" sqref="F270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44" t="s">
        <v>382</v>
      </c>
      <c r="B1" s="344"/>
      <c r="C1" s="344"/>
      <c r="D1" s="344"/>
      <c r="E1" s="344"/>
      <c r="F1" s="344"/>
      <c r="G1" s="344"/>
      <c r="H1" s="344"/>
      <c r="I1" s="5"/>
      <c r="J1" s="5"/>
    </row>
    <row r="2" spans="1:25" ht="21">
      <c r="A2" s="68"/>
      <c r="B2" s="413" t="s">
        <v>154</v>
      </c>
      <c r="C2" s="413"/>
      <c r="D2" s="413" t="s">
        <v>155</v>
      </c>
      <c r="E2" s="413"/>
      <c r="F2" s="413" t="s">
        <v>156</v>
      </c>
      <c r="G2" s="413"/>
      <c r="H2" s="287" t="s">
        <v>157</v>
      </c>
      <c r="I2" s="5"/>
      <c r="J2" s="5"/>
    </row>
    <row r="3" spans="1:25">
      <c r="A3" s="27" t="s">
        <v>160</v>
      </c>
      <c r="B3" s="414">
        <v>56579.17</v>
      </c>
      <c r="C3" s="414"/>
      <c r="D3" s="414">
        <v>0</v>
      </c>
      <c r="E3" s="414"/>
      <c r="F3" s="414">
        <v>833.33</v>
      </c>
      <c r="G3" s="414"/>
      <c r="H3" s="289">
        <v>0</v>
      </c>
      <c r="I3" s="5"/>
      <c r="J3" s="5"/>
    </row>
    <row r="4" spans="1:25">
      <c r="A4" s="27" t="s">
        <v>161</v>
      </c>
      <c r="B4" s="415">
        <v>2</v>
      </c>
      <c r="C4" s="415"/>
      <c r="D4" s="416">
        <v>0</v>
      </c>
      <c r="E4" s="416"/>
      <c r="F4" s="416">
        <v>2</v>
      </c>
      <c r="G4" s="416"/>
      <c r="H4" s="105"/>
      <c r="I4" s="5"/>
      <c r="J4" s="5"/>
    </row>
    <row r="5" spans="1:25">
      <c r="A5" s="27" t="s">
        <v>162</v>
      </c>
      <c r="B5" s="414">
        <v>0</v>
      </c>
      <c r="C5" s="414"/>
      <c r="D5" s="414">
        <v>0</v>
      </c>
      <c r="E5" s="414"/>
      <c r="F5" s="414">
        <v>0</v>
      </c>
      <c r="G5" s="414"/>
      <c r="H5" s="29"/>
      <c r="I5" s="5"/>
      <c r="J5" s="5"/>
    </row>
    <row r="6" spans="1:25">
      <c r="A6" s="27" t="s">
        <v>163</v>
      </c>
      <c r="B6" s="380">
        <f>(B3*B4/100)+B5</f>
        <v>1131.5834</v>
      </c>
      <c r="C6" s="380"/>
      <c r="D6" s="380">
        <f>(D3*D4/100)+D5</f>
        <v>0</v>
      </c>
      <c r="E6" s="380"/>
      <c r="F6" s="380">
        <f>(F3*F4/100)+F5</f>
        <v>16.666600000000003</v>
      </c>
      <c r="G6" s="380"/>
      <c r="H6" s="29"/>
      <c r="I6" s="5"/>
      <c r="J6" s="5"/>
    </row>
    <row r="7" spans="1:25">
      <c r="A7" s="27" t="s">
        <v>164</v>
      </c>
      <c r="B7" s="380">
        <f>B3-B6</f>
        <v>55447.586599999995</v>
      </c>
      <c r="C7" s="380"/>
      <c r="D7" s="380">
        <f>D3-D6</f>
        <v>0</v>
      </c>
      <c r="E7" s="380"/>
      <c r="F7" s="380">
        <f>F3-F6</f>
        <v>816.66340000000002</v>
      </c>
      <c r="G7" s="380"/>
      <c r="H7" s="29"/>
      <c r="I7" s="5"/>
      <c r="J7" s="5"/>
    </row>
    <row r="8" spans="1:25">
      <c r="A8" s="27"/>
      <c r="B8" s="28"/>
      <c r="C8" s="28"/>
      <c r="D8" s="28"/>
      <c r="E8" s="28"/>
      <c r="F8" s="28"/>
      <c r="G8" s="28"/>
      <c r="H8" s="29"/>
      <c r="I8" s="5"/>
      <c r="J8" s="5"/>
      <c r="L8" s="14" t="s">
        <v>17</v>
      </c>
      <c r="M8" s="11">
        <f>H13+H14</f>
        <v>700</v>
      </c>
    </row>
    <row r="9" spans="1:25" ht="21">
      <c r="A9" s="356" t="s">
        <v>172</v>
      </c>
      <c r="B9" s="356"/>
      <c r="C9" s="356"/>
      <c r="D9" s="356"/>
      <c r="E9" s="356"/>
      <c r="F9" s="356"/>
      <c r="G9" s="109"/>
      <c r="H9" s="290">
        <f>B7+D7+F7+H3</f>
        <v>56264.249999999993</v>
      </c>
      <c r="I9" s="5"/>
      <c r="J9" s="5"/>
      <c r="L9" s="11"/>
      <c r="M9" s="11"/>
    </row>
    <row r="10" spans="1:25">
      <c r="A10" s="357" t="s">
        <v>173</v>
      </c>
      <c r="B10" s="357"/>
      <c r="C10" s="357"/>
      <c r="D10" s="357"/>
      <c r="E10" s="357"/>
      <c r="F10" s="357"/>
      <c r="G10" s="121"/>
      <c r="H10" s="289">
        <v>150</v>
      </c>
      <c r="I10" s="5"/>
      <c r="J10" s="5"/>
      <c r="L10" s="16" t="s">
        <v>15</v>
      </c>
      <c r="M10" s="11">
        <f>H15-H11-M8</f>
        <v>56414.249999999993</v>
      </c>
    </row>
    <row r="11" spans="1:25">
      <c r="A11" s="357" t="s">
        <v>174</v>
      </c>
      <c r="B11" s="357"/>
      <c r="C11" s="357"/>
      <c r="D11" s="357"/>
      <c r="E11" s="357"/>
      <c r="F11" s="357"/>
      <c r="G11" s="121"/>
      <c r="H11" s="29">
        <f>(H9+H10)*20%</f>
        <v>11282.849999999999</v>
      </c>
      <c r="I11" s="5"/>
      <c r="J11" s="5"/>
      <c r="L11" s="11"/>
      <c r="M11" s="11"/>
    </row>
    <row r="12" spans="1:25">
      <c r="A12" s="357" t="s">
        <v>175</v>
      </c>
      <c r="B12" s="357"/>
      <c r="C12" s="357"/>
      <c r="D12" s="357"/>
      <c r="E12" s="357"/>
      <c r="F12" s="357"/>
      <c r="G12" s="121"/>
      <c r="H12" s="289">
        <v>0</v>
      </c>
      <c r="I12" s="5"/>
      <c r="J12" s="5"/>
    </row>
    <row r="13" spans="1:25">
      <c r="A13" s="357" t="s">
        <v>176</v>
      </c>
      <c r="B13" s="357"/>
      <c r="C13" s="357"/>
      <c r="D13" s="357"/>
      <c r="E13" s="357"/>
      <c r="F13" s="357"/>
      <c r="G13" s="121"/>
      <c r="H13" s="289">
        <v>645</v>
      </c>
      <c r="I13" s="5"/>
      <c r="J13" s="5"/>
    </row>
    <row r="14" spans="1:25">
      <c r="A14" s="357" t="s">
        <v>177</v>
      </c>
      <c r="B14" s="357"/>
      <c r="C14" s="357"/>
      <c r="D14" s="357"/>
      <c r="E14" s="357"/>
      <c r="F14" s="357"/>
      <c r="G14" s="121"/>
      <c r="H14" s="289">
        <v>55</v>
      </c>
      <c r="I14" s="5"/>
      <c r="J14" s="5" t="s">
        <v>24</v>
      </c>
    </row>
    <row r="15" spans="1:25">
      <c r="A15" s="357" t="s">
        <v>178</v>
      </c>
      <c r="B15" s="357"/>
      <c r="C15" s="357"/>
      <c r="D15" s="357"/>
      <c r="E15" s="357"/>
      <c r="F15" s="357"/>
      <c r="G15" s="121"/>
      <c r="H15" s="291">
        <f>(H9+H10+H13+H14+H11)-H12</f>
        <v>68397.099999999991</v>
      </c>
      <c r="I15" s="5"/>
      <c r="J15" s="17">
        <f>H15</f>
        <v>68397.099999999991</v>
      </c>
    </row>
    <row r="16" spans="1:25">
      <c r="A16" s="357" t="s">
        <v>179</v>
      </c>
      <c r="B16" s="357"/>
      <c r="C16" s="357"/>
      <c r="D16" s="357"/>
      <c r="E16" s="357"/>
      <c r="F16" s="357"/>
      <c r="G16" s="121"/>
      <c r="H16" s="289">
        <v>0</v>
      </c>
      <c r="I16" s="5"/>
      <c r="J16" s="5"/>
      <c r="Y16" s="18" t="s">
        <v>26</v>
      </c>
    </row>
    <row r="17" spans="1:26">
      <c r="A17" s="358" t="s">
        <v>180</v>
      </c>
      <c r="B17" s="358"/>
      <c r="C17" s="358"/>
      <c r="D17" s="358"/>
      <c r="E17" s="358"/>
      <c r="F17" s="358"/>
      <c r="G17" s="34"/>
      <c r="H17" s="29"/>
      <c r="I17" s="5"/>
      <c r="J17" s="5" t="s">
        <v>27</v>
      </c>
      <c r="Y17" s="18" t="s">
        <v>28</v>
      </c>
    </row>
    <row r="18" spans="1:26">
      <c r="A18" s="124" t="s">
        <v>26</v>
      </c>
      <c r="B18" s="360" t="s">
        <v>181</v>
      </c>
      <c r="C18" s="360"/>
      <c r="D18" s="360"/>
      <c r="E18" s="360"/>
      <c r="F18" s="360"/>
      <c r="G18" s="35"/>
      <c r="H18" s="292">
        <v>0</v>
      </c>
      <c r="I18" s="5"/>
      <c r="J18" s="17">
        <f>(B3+D3+F3+H3+H10)*1.2</f>
        <v>69075</v>
      </c>
      <c r="Y18" s="18" t="s">
        <v>29</v>
      </c>
    </row>
    <row r="19" spans="1:26">
      <c r="A19" s="124" t="s">
        <v>28</v>
      </c>
      <c r="B19" s="360" t="s">
        <v>181</v>
      </c>
      <c r="C19" s="360"/>
      <c r="D19" s="360"/>
      <c r="E19" s="360"/>
      <c r="F19" s="360"/>
      <c r="G19" s="35"/>
      <c r="H19" s="292">
        <v>0</v>
      </c>
      <c r="I19" s="5"/>
      <c r="J19" s="5"/>
      <c r="Z19" s="5" t="s">
        <v>31</v>
      </c>
    </row>
    <row r="20" spans="1:26">
      <c r="A20" s="124" t="s">
        <v>29</v>
      </c>
      <c r="B20" s="360" t="s">
        <v>181</v>
      </c>
      <c r="C20" s="360"/>
      <c r="D20" s="360"/>
      <c r="E20" s="360"/>
      <c r="F20" s="360"/>
      <c r="G20" s="35"/>
      <c r="H20" s="292">
        <v>0</v>
      </c>
      <c r="I20" s="5"/>
      <c r="J20" s="5"/>
      <c r="Z20" s="5" t="s">
        <v>32</v>
      </c>
    </row>
    <row r="21" spans="1:26" ht="21">
      <c r="A21" s="417" t="s">
        <v>182</v>
      </c>
      <c r="B21" s="417"/>
      <c r="C21" s="417"/>
      <c r="D21" s="417"/>
      <c r="E21" s="417"/>
      <c r="F21" s="417"/>
      <c r="G21" s="293"/>
      <c r="H21" s="294">
        <f>H15-((H18*1.2)+(H19*1.2)+(H20*1.2)+(H16*1.2))</f>
        <v>68397.099999999991</v>
      </c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 ht="23.25">
      <c r="A26" s="335" t="s">
        <v>35</v>
      </c>
      <c r="B26" s="335"/>
      <c r="C26" s="335"/>
      <c r="D26" s="335"/>
      <c r="E26" s="335"/>
      <c r="F26" s="335"/>
      <c r="G26" s="335"/>
      <c r="H26" s="335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>
      <c r="A28" s="32" t="s">
        <v>36</v>
      </c>
      <c r="B28" s="28" t="s">
        <v>39</v>
      </c>
      <c r="C28" s="28"/>
      <c r="D28" s="28"/>
      <c r="E28" s="28"/>
      <c r="F28" s="28"/>
      <c r="G28" s="28"/>
      <c r="H28" s="29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/>
      <c r="I29" s="28"/>
      <c r="J29" s="25" t="s">
        <v>41</v>
      </c>
      <c r="K29" s="33" t="str">
        <f>A34</f>
        <v>33</v>
      </c>
    </row>
    <row r="30" spans="1:26">
      <c r="A30" s="32" t="s">
        <v>42</v>
      </c>
      <c r="B30" s="28"/>
      <c r="C30" s="34" t="s">
        <v>43</v>
      </c>
      <c r="D30" s="35"/>
      <c r="E30" s="28"/>
      <c r="F30" s="34" t="s">
        <v>44</v>
      </c>
      <c r="G30" s="35"/>
      <c r="H30" s="29"/>
      <c r="I30" s="28"/>
      <c r="J30" s="25" t="s">
        <v>45</v>
      </c>
      <c r="K30" s="33" t="str">
        <f>C34</f>
        <v>5000</v>
      </c>
    </row>
    <row r="31" spans="1:26">
      <c r="A31" s="36" t="s">
        <v>46</v>
      </c>
      <c r="B31" s="28"/>
      <c r="C31" s="336" t="s">
        <v>47</v>
      </c>
      <c r="D31" s="336"/>
      <c r="E31" s="28"/>
      <c r="F31" s="336"/>
      <c r="G31" s="336"/>
      <c r="H31" s="29"/>
      <c r="I31" s="28"/>
      <c r="J31" s="25" t="s">
        <v>48</v>
      </c>
      <c r="K31" s="37">
        <f>A43</f>
        <v>6000</v>
      </c>
    </row>
    <row r="32" spans="1:26" ht="36">
      <c r="A32" s="32"/>
      <c r="B32" s="38"/>
      <c r="C32" s="38"/>
      <c r="D32" s="38"/>
      <c r="E32" s="38"/>
      <c r="F32" s="38"/>
      <c r="G32" s="38"/>
      <c r="H32" s="29"/>
      <c r="I32" s="5"/>
      <c r="J32" s="25" t="s">
        <v>49</v>
      </c>
      <c r="K32" s="37">
        <f>A46</f>
        <v>20.2</v>
      </c>
    </row>
    <row r="33" spans="1:12">
      <c r="A33" s="32" t="s">
        <v>52</v>
      </c>
      <c r="B33" s="28"/>
      <c r="C33" s="41" t="s">
        <v>53</v>
      </c>
      <c r="D33" s="35"/>
      <c r="E33" s="28"/>
      <c r="F33" s="34" t="s">
        <v>54</v>
      </c>
      <c r="G33" s="35"/>
      <c r="H33" s="42"/>
      <c r="I33" s="5"/>
      <c r="J33" s="30"/>
      <c r="K33" s="43"/>
    </row>
    <row r="34" spans="1:12">
      <c r="A34" s="36" t="s">
        <v>403</v>
      </c>
      <c r="B34" s="28"/>
      <c r="C34" s="336" t="s">
        <v>397</v>
      </c>
      <c r="D34" s="336"/>
      <c r="E34" s="28"/>
      <c r="F34" s="336">
        <f>(A34/12)*C34</f>
        <v>13750</v>
      </c>
      <c r="G34" s="336"/>
      <c r="H34" s="42"/>
      <c r="I34" s="5"/>
      <c r="J34" s="5"/>
      <c r="K34" s="5"/>
    </row>
    <row r="35" spans="1:12">
      <c r="A35" s="27"/>
      <c r="B35" s="28"/>
      <c r="C35" s="28"/>
      <c r="E35" s="28"/>
      <c r="F35" s="38"/>
      <c r="G35" s="38"/>
      <c r="H35" s="42"/>
      <c r="I35" s="5"/>
      <c r="J35" s="45" t="s">
        <v>59</v>
      </c>
      <c r="K35" s="322">
        <v>6.5000000000000002E-2</v>
      </c>
    </row>
    <row r="36" spans="1:12">
      <c r="A36" s="32" t="s">
        <v>60</v>
      </c>
      <c r="B36" s="28"/>
      <c r="C36" s="34" t="s">
        <v>61</v>
      </c>
      <c r="D36" s="35"/>
      <c r="E36" s="28"/>
      <c r="F36" s="34" t="s">
        <v>62</v>
      </c>
      <c r="G36" s="35"/>
      <c r="H36" s="42"/>
      <c r="I36" s="5"/>
      <c r="J36" s="5" t="s">
        <v>63</v>
      </c>
      <c r="K36" s="5">
        <f>C40</f>
        <v>32</v>
      </c>
    </row>
    <row r="37" spans="1:12">
      <c r="A37" s="32">
        <f>H15</f>
        <v>68397.099999999991</v>
      </c>
      <c r="B37" s="28"/>
      <c r="C37" s="336" t="s">
        <v>398</v>
      </c>
      <c r="D37" s="336"/>
      <c r="E37" s="28"/>
      <c r="F37" s="38">
        <f>A37-C37</f>
        <v>67397.099999999991</v>
      </c>
      <c r="G37" s="38"/>
      <c r="H37" s="42"/>
      <c r="I37" s="5"/>
      <c r="J37" s="5"/>
      <c r="K37" s="5"/>
    </row>
    <row r="38" spans="1:12">
      <c r="A38" s="32"/>
      <c r="B38" s="38"/>
      <c r="C38" s="38"/>
      <c r="D38" s="38"/>
      <c r="E38" s="38"/>
      <c r="F38" s="38"/>
      <c r="G38" s="38"/>
      <c r="H38" s="42"/>
      <c r="J38" s="337" t="s">
        <v>65</v>
      </c>
      <c r="K38" s="337"/>
      <c r="L38" s="5"/>
    </row>
    <row r="39" spans="1:12">
      <c r="A39" s="32" t="s">
        <v>66</v>
      </c>
      <c r="B39" s="28"/>
      <c r="C39" s="35" t="s">
        <v>67</v>
      </c>
      <c r="D39" s="34"/>
      <c r="E39" s="28"/>
      <c r="F39" s="34" t="s">
        <v>68</v>
      </c>
      <c r="G39" s="35"/>
      <c r="H39" s="42"/>
      <c r="J39" s="5" t="s">
        <v>69</v>
      </c>
      <c r="K39" s="5" t="str">
        <f>F40</f>
        <v>500</v>
      </c>
      <c r="L39" s="5"/>
    </row>
    <row r="40" spans="1:12">
      <c r="A40" s="36" t="s">
        <v>393</v>
      </c>
      <c r="B40" s="28"/>
      <c r="C40" s="338">
        <f>A34-1</f>
        <v>32</v>
      </c>
      <c r="D40" s="338"/>
      <c r="E40" s="28"/>
      <c r="F40" s="336" t="s">
        <v>390</v>
      </c>
      <c r="G40" s="336"/>
      <c r="H40" s="42"/>
      <c r="J40" s="5" t="s">
        <v>71</v>
      </c>
      <c r="K40" s="5">
        <f>H11</f>
        <v>11282.849999999999</v>
      </c>
      <c r="L40" s="5"/>
    </row>
    <row r="41" spans="1:12">
      <c r="A41" s="32"/>
      <c r="B41" s="38"/>
      <c r="C41" s="38"/>
      <c r="D41" s="38"/>
      <c r="E41" s="38"/>
      <c r="F41" s="38"/>
      <c r="G41" s="38"/>
      <c r="H41" s="42"/>
      <c r="J41" s="5" t="s">
        <v>72</v>
      </c>
      <c r="K41" s="5">
        <f>IF(F43="Yes",A46,0)</f>
        <v>20.2</v>
      </c>
      <c r="L41" s="5"/>
    </row>
    <row r="42" spans="1:12">
      <c r="A42" s="32" t="s">
        <v>73</v>
      </c>
      <c r="B42" s="28"/>
      <c r="C42" s="34" t="s">
        <v>74</v>
      </c>
      <c r="D42" s="35"/>
      <c r="E42" s="28"/>
      <c r="F42" s="34" t="s">
        <v>75</v>
      </c>
      <c r="G42" s="35"/>
      <c r="H42" s="42"/>
      <c r="J42" s="5" t="s">
        <v>76</v>
      </c>
      <c r="K42" s="5">
        <f>A43</f>
        <v>6000</v>
      </c>
      <c r="L42" s="5"/>
    </row>
    <row r="43" spans="1:12">
      <c r="A43" s="36">
        <v>6000</v>
      </c>
      <c r="B43" s="28"/>
      <c r="C43" s="336">
        <v>20</v>
      </c>
      <c r="D43" s="336"/>
      <c r="E43" s="28"/>
      <c r="F43" s="336" t="s">
        <v>410</v>
      </c>
      <c r="G43" s="336"/>
      <c r="H43" s="42"/>
      <c r="J43" s="5" t="s">
        <v>77</v>
      </c>
      <c r="K43" s="5" t="str">
        <f>A34</f>
        <v>33</v>
      </c>
      <c r="L43" s="5"/>
    </row>
    <row r="44" spans="1:12">
      <c r="A44" s="32"/>
      <c r="B44" s="38"/>
      <c r="C44" s="38"/>
      <c r="D44" s="38"/>
      <c r="E44" s="38"/>
      <c r="F44" s="38"/>
      <c r="G44" s="38"/>
      <c r="H44" s="42"/>
      <c r="J44" s="5" t="s">
        <v>78</v>
      </c>
      <c r="K44" s="5">
        <f>((K40-(((K42/(1.2))*0.2)))/(K43))</f>
        <v>311.60151515151512</v>
      </c>
      <c r="L44" s="5"/>
    </row>
    <row r="45" spans="1:12">
      <c r="A45" s="32" t="s">
        <v>79</v>
      </c>
      <c r="B45" s="28"/>
      <c r="C45" s="34" t="s">
        <v>80</v>
      </c>
      <c r="D45" s="35"/>
      <c r="E45" s="28"/>
      <c r="F45" s="34" t="s">
        <v>81</v>
      </c>
      <c r="G45" s="35"/>
      <c r="H45" s="42"/>
      <c r="J45" s="5" t="s">
        <v>82</v>
      </c>
      <c r="K45" s="5">
        <f>(K39-K44)+K41</f>
        <v>208.59848484848487</v>
      </c>
      <c r="L45" s="5"/>
    </row>
    <row r="46" spans="1:12">
      <c r="A46" s="36">
        <v>20.2</v>
      </c>
      <c r="B46" s="28"/>
      <c r="C46" s="336">
        <v>1</v>
      </c>
      <c r="D46" s="336"/>
      <c r="E46" s="28"/>
      <c r="F46" s="336">
        <v>0</v>
      </c>
      <c r="G46" s="336"/>
      <c r="H46" s="42"/>
      <c r="J46" s="5" t="s">
        <v>83</v>
      </c>
      <c r="K46" s="5">
        <v>0</v>
      </c>
      <c r="L46" s="5"/>
    </row>
    <row r="47" spans="1:12">
      <c r="A47" s="32"/>
      <c r="B47" s="38"/>
      <c r="C47" s="38"/>
      <c r="D47" s="38"/>
      <c r="E47" s="38"/>
      <c r="F47" s="38"/>
      <c r="G47" s="38"/>
      <c r="H47" s="42"/>
      <c r="J47" s="5" t="s">
        <v>84</v>
      </c>
      <c r="K47" s="5">
        <f>A40/K29</f>
        <v>0.36363636363636365</v>
      </c>
      <c r="L47" s="5"/>
    </row>
    <row r="48" spans="1:12">
      <c r="A48" s="32" t="s">
        <v>85</v>
      </c>
      <c r="B48" s="38"/>
      <c r="C48" s="38"/>
      <c r="D48" s="38"/>
      <c r="E48" s="38"/>
      <c r="F48" s="38"/>
      <c r="G48" s="38"/>
      <c r="H48" s="42"/>
      <c r="J48" s="48" t="s">
        <v>86</v>
      </c>
      <c r="K48" s="5">
        <f>C43/A34</f>
        <v>0.60606060606060608</v>
      </c>
      <c r="L48" s="5"/>
    </row>
    <row r="49" spans="1:12">
      <c r="A49" s="32">
        <f>C46+F46</f>
        <v>1</v>
      </c>
      <c r="B49" s="38"/>
      <c r="C49" s="38"/>
      <c r="D49" s="38"/>
      <c r="E49" s="28"/>
      <c r="F49" s="38"/>
      <c r="G49" s="38"/>
      <c r="H49" s="42"/>
      <c r="J49" s="48" t="s">
        <v>87</v>
      </c>
      <c r="K49" s="5">
        <f>K45+K48+K47</f>
        <v>209.56818181818184</v>
      </c>
      <c r="L49" s="5"/>
    </row>
    <row r="50" spans="1:12">
      <c r="A50" s="49"/>
      <c r="B50" s="50"/>
      <c r="C50" s="50"/>
      <c r="D50" s="50"/>
      <c r="E50" s="50"/>
      <c r="F50" s="50"/>
      <c r="G50" s="51"/>
      <c r="H50" s="52"/>
      <c r="I50" s="5"/>
      <c r="J50" s="48" t="s">
        <v>88</v>
      </c>
      <c r="K50" s="5">
        <f>K49-A46</f>
        <v>189.36818181818185</v>
      </c>
    </row>
    <row r="51" spans="1:12" ht="19.5" customHeight="1">
      <c r="A51" s="22"/>
      <c r="B51" s="23"/>
      <c r="C51" s="23"/>
      <c r="D51" s="23"/>
      <c r="E51" s="23"/>
      <c r="F51" s="23"/>
      <c r="G51" s="23"/>
      <c r="H51" s="24"/>
      <c r="I51" s="5"/>
      <c r="J51" s="5"/>
      <c r="K51" s="5"/>
    </row>
    <row r="52" spans="1:12">
      <c r="A52" s="53" t="s">
        <v>89</v>
      </c>
      <c r="B52" s="28"/>
      <c r="C52" s="28" t="s">
        <v>90</v>
      </c>
      <c r="D52" s="28"/>
      <c r="E52" s="28"/>
      <c r="F52" s="28"/>
      <c r="G52" s="28"/>
      <c r="H52" s="29"/>
      <c r="I52" s="5"/>
      <c r="J52" s="5"/>
      <c r="K52" s="5"/>
    </row>
    <row r="53" spans="1:12">
      <c r="A53" s="54">
        <v>1</v>
      </c>
      <c r="B53" s="28"/>
      <c r="C53" s="339">
        <v>1</v>
      </c>
      <c r="D53" s="339"/>
      <c r="E53" s="339"/>
      <c r="F53" s="28"/>
      <c r="G53" s="28"/>
      <c r="H53" s="29"/>
      <c r="I53" s="5"/>
      <c r="J53" s="55" t="s">
        <v>91</v>
      </c>
      <c r="K53" s="56" t="s">
        <v>406</v>
      </c>
    </row>
    <row r="54" spans="1:12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12">
      <c r="A55" s="22"/>
      <c r="B55" s="23"/>
      <c r="C55" s="23"/>
      <c r="D55" s="23"/>
      <c r="E55" s="23"/>
      <c r="F55" s="23"/>
      <c r="G55" s="23"/>
      <c r="H55" s="24"/>
      <c r="I55" s="5"/>
      <c r="J55" s="5" t="s">
        <v>92</v>
      </c>
      <c r="K55" s="5">
        <f>A46*A34</f>
        <v>666.6</v>
      </c>
    </row>
    <row r="56" spans="1:12">
      <c r="A56" s="58" t="s">
        <v>93</v>
      </c>
      <c r="B56" s="28"/>
      <c r="C56" s="28"/>
      <c r="D56" s="59"/>
      <c r="E56" s="59"/>
      <c r="F56" s="59"/>
      <c r="G56" s="59"/>
      <c r="H56" s="60"/>
      <c r="I56" s="5"/>
      <c r="J56" s="5"/>
      <c r="K56" s="5"/>
    </row>
    <row r="57" spans="1:12" ht="19.5" customHeight="1">
      <c r="A57" s="27"/>
      <c r="B57" s="61"/>
      <c r="C57" s="61"/>
      <c r="D57" s="28"/>
      <c r="E57" s="28"/>
      <c r="F57" s="28"/>
      <c r="G57" s="28"/>
      <c r="H57" s="29"/>
      <c r="I57" s="5"/>
      <c r="J57" s="5"/>
      <c r="K57" s="5"/>
    </row>
    <row r="58" spans="1:12" ht="21">
      <c r="A58" s="340" t="s">
        <v>94</v>
      </c>
      <c r="B58" s="341" t="s">
        <v>95</v>
      </c>
      <c r="C58" s="341"/>
      <c r="D58" s="341"/>
      <c r="E58" s="28"/>
      <c r="F58" s="28"/>
      <c r="G58" s="28"/>
      <c r="H58" s="29"/>
      <c r="I58" s="5"/>
      <c r="J58" s="5"/>
      <c r="K58" s="5"/>
    </row>
    <row r="59" spans="1:12">
      <c r="A59" s="340"/>
      <c r="B59" s="342" t="str">
        <f>K30</f>
        <v>5000</v>
      </c>
      <c r="C59" s="342"/>
      <c r="D59" s="342"/>
      <c r="E59" s="28"/>
      <c r="F59" s="28"/>
      <c r="G59" s="28"/>
      <c r="H59" s="29"/>
      <c r="I59" s="5"/>
      <c r="J59" s="5"/>
      <c r="K59" s="5"/>
    </row>
    <row r="60" spans="1:12">
      <c r="A60" s="62" t="str">
        <f>K29</f>
        <v>33</v>
      </c>
      <c r="B60" s="343">
        <f>K49</f>
        <v>209.56818181818184</v>
      </c>
      <c r="C60" s="343"/>
      <c r="D60" s="343"/>
      <c r="E60" s="28"/>
      <c r="F60" s="28"/>
      <c r="G60" s="28"/>
      <c r="H60" s="29"/>
      <c r="I60" s="5"/>
      <c r="J60" s="5"/>
      <c r="K60" s="5"/>
    </row>
    <row r="61" spans="1:12">
      <c r="A61" s="27"/>
      <c r="B61" s="28"/>
      <c r="C61" s="28"/>
      <c r="D61" s="28"/>
      <c r="E61" s="28"/>
      <c r="F61" s="28"/>
      <c r="G61" s="28"/>
      <c r="H61" s="29"/>
      <c r="I61" s="5"/>
      <c r="J61" s="5"/>
      <c r="K61" s="5"/>
    </row>
    <row r="62" spans="1:12">
      <c r="A62" s="49"/>
      <c r="B62" s="50"/>
      <c r="C62" s="50"/>
      <c r="D62" s="50"/>
      <c r="E62" s="50"/>
      <c r="F62" s="50"/>
      <c r="G62" s="50"/>
      <c r="H62" s="57"/>
      <c r="I62" s="5"/>
      <c r="J62" s="5"/>
      <c r="K62" s="5"/>
    </row>
    <row r="63" spans="1:12">
      <c r="A63" s="28"/>
      <c r="B63" s="28"/>
      <c r="C63" s="28"/>
      <c r="D63" s="28"/>
      <c r="E63" s="28"/>
      <c r="F63" s="28"/>
      <c r="G63" s="28"/>
      <c r="H63" s="28"/>
      <c r="I63" s="5"/>
      <c r="J63" s="5"/>
      <c r="K63" s="5"/>
    </row>
    <row r="64" spans="1:12">
      <c r="A64" s="28"/>
      <c r="B64" s="28"/>
      <c r="C64" s="28"/>
      <c r="D64" s="28"/>
      <c r="E64" s="28"/>
      <c r="F64" s="28"/>
      <c r="G64" s="28"/>
      <c r="H64" s="28"/>
      <c r="I64" s="5"/>
      <c r="J64" s="5"/>
      <c r="K64" s="5"/>
    </row>
    <row r="65" spans="1:35">
      <c r="A65" s="21"/>
      <c r="B65" s="21"/>
      <c r="C65" s="21"/>
      <c r="D65" s="21"/>
      <c r="E65" s="21"/>
      <c r="F65" s="21"/>
      <c r="G65" s="21"/>
      <c r="H65" s="21"/>
      <c r="J65" s="5"/>
      <c r="K65" s="5"/>
    </row>
    <row r="66" spans="1:35">
      <c r="A66" s="22"/>
      <c r="B66" s="23"/>
      <c r="C66" s="23"/>
      <c r="D66" s="23"/>
      <c r="E66" s="63"/>
      <c r="F66" s="63"/>
      <c r="G66" s="63"/>
      <c r="H66" s="24"/>
      <c r="J66" s="22"/>
      <c r="K66" s="23"/>
      <c r="L66" s="23"/>
      <c r="M66" s="23"/>
      <c r="N66" s="63"/>
      <c r="O66" s="63"/>
      <c r="P66" s="63"/>
      <c r="Q66" s="24"/>
      <c r="S66" s="22"/>
      <c r="T66" s="23"/>
      <c r="U66" s="23"/>
      <c r="V66" s="23"/>
      <c r="W66" s="63"/>
      <c r="X66" s="63"/>
      <c r="Y66" s="63"/>
      <c r="Z66" s="24"/>
      <c r="AB66" s="22"/>
      <c r="AC66" s="23"/>
      <c r="AD66" s="23"/>
      <c r="AE66" s="23"/>
      <c r="AF66" s="63"/>
      <c r="AG66" s="63"/>
      <c r="AH66" s="63"/>
      <c r="AI66" s="24"/>
    </row>
    <row r="67" spans="1:35">
      <c r="A67" s="27" t="s">
        <v>96</v>
      </c>
      <c r="B67" s="28">
        <v>1</v>
      </c>
      <c r="C67" s="28"/>
      <c r="D67" s="28"/>
      <c r="E67" s="21"/>
      <c r="F67" s="21"/>
      <c r="G67" s="21"/>
      <c r="H67" s="29"/>
      <c r="J67" s="27" t="s">
        <v>96</v>
      </c>
      <c r="K67" s="28">
        <v>1</v>
      </c>
      <c r="L67" s="28"/>
      <c r="M67" s="28"/>
      <c r="N67" s="21"/>
      <c r="O67" s="21"/>
      <c r="P67" s="21"/>
      <c r="Q67" s="29"/>
      <c r="S67" s="27" t="s">
        <v>96</v>
      </c>
      <c r="T67" s="28">
        <v>1</v>
      </c>
      <c r="U67" s="28"/>
      <c r="V67" s="28"/>
      <c r="W67" s="21"/>
      <c r="X67" s="21"/>
      <c r="Y67" s="21"/>
      <c r="Z67" s="29"/>
      <c r="AB67" s="27" t="s">
        <v>96</v>
      </c>
      <c r="AC67" s="28">
        <v>1</v>
      </c>
      <c r="AD67" s="28"/>
      <c r="AE67" s="28"/>
      <c r="AF67" s="21"/>
      <c r="AG67" s="21"/>
      <c r="AH67" s="21"/>
      <c r="AI67" s="29"/>
    </row>
    <row r="68" spans="1:35">
      <c r="A68" s="27" t="s">
        <v>97</v>
      </c>
      <c r="B68" s="28">
        <f>K29-B67</f>
        <v>32</v>
      </c>
      <c r="C68" s="28"/>
      <c r="D68" s="28"/>
      <c r="E68" s="21"/>
      <c r="F68" s="21"/>
      <c r="G68" s="21"/>
      <c r="H68" s="29"/>
      <c r="J68" s="27" t="s">
        <v>97</v>
      </c>
      <c r="K68" s="28">
        <f>K29-K67</f>
        <v>32</v>
      </c>
      <c r="L68" s="28"/>
      <c r="M68" s="28"/>
      <c r="N68" s="21"/>
      <c r="O68" s="21"/>
      <c r="P68" s="21"/>
      <c r="Q68" s="29"/>
      <c r="S68" s="27" t="s">
        <v>97</v>
      </c>
      <c r="T68" s="28">
        <f>K29-T67</f>
        <v>32</v>
      </c>
      <c r="U68" s="28"/>
      <c r="V68" s="28"/>
      <c r="W68" s="21"/>
      <c r="X68" s="21"/>
      <c r="Y68" s="21"/>
      <c r="Z68" s="29"/>
      <c r="AB68" s="27" t="s">
        <v>97</v>
      </c>
      <c r="AC68" s="28">
        <f>K29-AC67</f>
        <v>32</v>
      </c>
      <c r="AD68" s="28"/>
      <c r="AE68" s="28"/>
      <c r="AF68" s="21"/>
      <c r="AG68" s="21"/>
      <c r="AH68" s="21"/>
      <c r="AI68" s="29"/>
    </row>
    <row r="69" spans="1:35">
      <c r="A69" s="64" t="s">
        <v>98</v>
      </c>
      <c r="B69" s="65">
        <v>10</v>
      </c>
      <c r="C69" s="28"/>
      <c r="D69" s="28"/>
      <c r="E69" s="21"/>
      <c r="F69" s="21"/>
      <c r="G69" s="21"/>
      <c r="H69" s="29"/>
      <c r="J69" s="64" t="s">
        <v>98</v>
      </c>
      <c r="K69" s="65">
        <v>20</v>
      </c>
      <c r="L69" s="28"/>
      <c r="M69" s="28"/>
      <c r="N69" s="21"/>
      <c r="O69" s="21"/>
      <c r="P69" s="21"/>
      <c r="Q69" s="29"/>
      <c r="S69" s="64" t="s">
        <v>98</v>
      </c>
      <c r="T69" s="65">
        <v>10</v>
      </c>
      <c r="U69" s="28"/>
      <c r="V69" s="28"/>
      <c r="W69" s="21"/>
      <c r="X69" s="21"/>
      <c r="Y69" s="21"/>
      <c r="Z69" s="29"/>
      <c r="AB69" s="64" t="s">
        <v>98</v>
      </c>
      <c r="AC69" s="65">
        <v>10</v>
      </c>
      <c r="AD69" s="28"/>
      <c r="AE69" s="28"/>
      <c r="AF69" s="21"/>
      <c r="AG69" s="21"/>
      <c r="AH69" s="21"/>
      <c r="AI69" s="29"/>
    </row>
    <row r="70" spans="1:35">
      <c r="A70" s="27" t="s">
        <v>27</v>
      </c>
      <c r="B70" s="28">
        <f>J18</f>
        <v>69075</v>
      </c>
      <c r="C70" s="28"/>
      <c r="D70" s="28"/>
      <c r="E70" s="21"/>
      <c r="F70" s="21"/>
      <c r="G70" s="21"/>
      <c r="H70" s="29"/>
      <c r="J70" s="27" t="s">
        <v>27</v>
      </c>
      <c r="K70" s="28">
        <f>J18</f>
        <v>69075</v>
      </c>
      <c r="L70" s="28"/>
      <c r="M70" s="28"/>
      <c r="N70" s="21"/>
      <c r="O70" s="21"/>
      <c r="P70" s="21"/>
      <c r="Q70" s="29"/>
      <c r="S70" s="27" t="s">
        <v>27</v>
      </c>
      <c r="T70" s="28">
        <f>J18</f>
        <v>69075</v>
      </c>
      <c r="U70" s="28"/>
      <c r="V70" s="28"/>
      <c r="W70" s="21"/>
      <c r="X70" s="21"/>
      <c r="Y70" s="21"/>
      <c r="Z70" s="29"/>
      <c r="AB70" s="27" t="s">
        <v>27</v>
      </c>
      <c r="AC70" s="28">
        <f>J18</f>
        <v>69075</v>
      </c>
      <c r="AD70" s="28"/>
      <c r="AE70" s="28"/>
      <c r="AF70" s="21"/>
      <c r="AG70" s="21"/>
      <c r="AH70" s="21"/>
      <c r="AI70" s="29"/>
    </row>
    <row r="71" spans="1:35">
      <c r="A71" s="66" t="s">
        <v>99</v>
      </c>
      <c r="B71" s="67">
        <v>0</v>
      </c>
      <c r="C71" s="28"/>
      <c r="D71" s="28"/>
      <c r="E71" s="21"/>
      <c r="F71" s="21"/>
      <c r="G71" s="21"/>
      <c r="H71" s="29"/>
      <c r="J71" s="66" t="s">
        <v>99</v>
      </c>
      <c r="K71" s="67">
        <v>0.06</v>
      </c>
      <c r="L71" s="28"/>
      <c r="M71" s="28"/>
      <c r="N71" s="21"/>
      <c r="O71" s="21"/>
      <c r="P71" s="21"/>
      <c r="Q71" s="29"/>
      <c r="S71" s="66" t="s">
        <v>99</v>
      </c>
      <c r="T71" s="67">
        <f>IF(AND(K29&gt;=12,K29&lt;=24),0.0105,IF(AND(K29&gt;=48),-0.0075,0))</f>
        <v>-7.4999999999999997E-3</v>
      </c>
      <c r="U71" s="28"/>
      <c r="V71" s="28"/>
      <c r="W71" s="21"/>
      <c r="X71" s="21"/>
      <c r="Y71" s="21"/>
      <c r="Z71" s="29"/>
      <c r="AB71" s="66" t="s">
        <v>99</v>
      </c>
      <c r="AC71" s="67">
        <f>IF(AND(K29&gt;=12,K29&lt;=24),0.0105,IF(AND(K29&gt;=48),-0.0075,0))</f>
        <v>-7.4999999999999997E-3</v>
      </c>
      <c r="AD71" s="28"/>
      <c r="AE71" s="28"/>
      <c r="AF71" s="21"/>
      <c r="AG71" s="21"/>
      <c r="AH71" s="21"/>
      <c r="AI71" s="29"/>
    </row>
    <row r="72" spans="1:35">
      <c r="A72" s="68" t="s">
        <v>100</v>
      </c>
      <c r="B72" s="69">
        <v>6.5000000000000002E-2</v>
      </c>
      <c r="C72" s="28"/>
      <c r="D72" s="28"/>
      <c r="E72" s="21"/>
      <c r="F72" s="21"/>
      <c r="G72" s="21"/>
      <c r="H72" s="29"/>
      <c r="J72" s="68" t="s">
        <v>100</v>
      </c>
      <c r="K72" s="69">
        <v>0.08</v>
      </c>
      <c r="L72" s="28"/>
      <c r="M72" s="28"/>
      <c r="N72" s="21"/>
      <c r="O72" s="21"/>
      <c r="P72" s="21"/>
      <c r="Q72" s="29"/>
      <c r="S72" s="68" t="s">
        <v>100</v>
      </c>
      <c r="T72" s="69">
        <v>5.8999999999999997E-2</v>
      </c>
      <c r="U72" s="28"/>
      <c r="V72" s="28"/>
      <c r="W72" s="21"/>
      <c r="X72" s="21"/>
      <c r="Y72" s="21"/>
      <c r="Z72" s="29"/>
      <c r="AB72" s="68" t="s">
        <v>100</v>
      </c>
      <c r="AC72" s="69">
        <v>5.8999999999999997E-2</v>
      </c>
      <c r="AD72" s="28"/>
      <c r="AE72" s="28"/>
      <c r="AF72" s="21"/>
      <c r="AG72" s="21"/>
      <c r="AH72" s="21"/>
      <c r="AI72" s="29"/>
    </row>
    <row r="73" spans="1:35">
      <c r="A73" s="70" t="s">
        <v>101</v>
      </c>
      <c r="B73" s="71">
        <v>0.05</v>
      </c>
      <c r="C73" s="28"/>
      <c r="D73" s="28"/>
      <c r="E73" s="21"/>
      <c r="F73" s="21"/>
      <c r="G73" s="21"/>
      <c r="H73" s="29"/>
      <c r="J73" s="70" t="s">
        <v>101</v>
      </c>
      <c r="K73" s="71">
        <v>0.1</v>
      </c>
      <c r="L73" s="28"/>
      <c r="M73" s="28"/>
      <c r="N73" s="21"/>
      <c r="O73" s="21"/>
      <c r="P73" s="21"/>
      <c r="Q73" s="29"/>
      <c r="S73" s="70" t="s">
        <v>101</v>
      </c>
      <c r="T73" s="71">
        <f>IF(T117=AP117,2.4%,7.2%)</f>
        <v>7.2000000000000008E-2</v>
      </c>
      <c r="U73" s="28"/>
      <c r="V73" s="28"/>
      <c r="W73" s="21"/>
      <c r="X73" s="21"/>
      <c r="Y73" s="21"/>
      <c r="Z73" s="29"/>
      <c r="AB73" s="70" t="s">
        <v>101</v>
      </c>
      <c r="AC73" s="71">
        <f>IF(AC117=AP117,2.4%,7.2%)</f>
        <v>7.2000000000000008E-2</v>
      </c>
      <c r="AD73" s="28"/>
      <c r="AE73" s="28"/>
      <c r="AF73" s="21"/>
      <c r="AG73" s="21"/>
      <c r="AH73" s="21"/>
      <c r="AI73" s="29"/>
    </row>
    <row r="74" spans="1:35">
      <c r="A74" s="49" t="s">
        <v>102</v>
      </c>
      <c r="B74" s="57">
        <f>(B98*B68)-(K47*K29)</f>
        <v>73460.12453968075</v>
      </c>
      <c r="C74" s="28"/>
      <c r="D74" s="28"/>
      <c r="E74" s="21"/>
      <c r="F74" s="21"/>
      <c r="G74" s="21"/>
      <c r="H74" s="29"/>
      <c r="J74" s="49" t="s">
        <v>102</v>
      </c>
      <c r="K74" s="57">
        <f>(K98*K68)-(K47*K29)</f>
        <v>46990.40818949214</v>
      </c>
      <c r="L74" s="28"/>
      <c r="M74" s="28"/>
      <c r="N74" s="21"/>
      <c r="O74" s="21"/>
      <c r="P74" s="21"/>
      <c r="Q74" s="29"/>
      <c r="S74" s="49" t="s">
        <v>102</v>
      </c>
      <c r="T74" s="57">
        <f>(T98*T68)-(K47*K29)</f>
        <v>61040.188306491917</v>
      </c>
      <c r="U74" s="28"/>
      <c r="V74" s="28"/>
      <c r="W74" s="21"/>
      <c r="X74" s="21"/>
      <c r="Y74" s="21"/>
      <c r="Z74" s="29"/>
      <c r="AB74" s="49" t="s">
        <v>102</v>
      </c>
      <c r="AC74" s="57">
        <f>(AC98*AC68)-(K47*K29)</f>
        <v>61040.188306491917</v>
      </c>
      <c r="AD74" s="28"/>
      <c r="AE74" s="28"/>
      <c r="AF74" s="21"/>
      <c r="AG74" s="21"/>
      <c r="AH74" s="21"/>
      <c r="AI74" s="29"/>
    </row>
    <row r="75" spans="1:35">
      <c r="A75" s="66" t="s">
        <v>103</v>
      </c>
      <c r="B75" s="67">
        <v>1.4999999999999999E-2</v>
      </c>
      <c r="C75" s="28"/>
      <c r="D75" s="28"/>
      <c r="E75" s="21"/>
      <c r="F75" s="21"/>
      <c r="G75" s="21"/>
      <c r="H75" s="29"/>
      <c r="J75" s="66" t="s">
        <v>103</v>
      </c>
      <c r="K75" s="67">
        <v>0.05</v>
      </c>
      <c r="L75" s="28"/>
      <c r="M75" s="28"/>
      <c r="N75" s="21"/>
      <c r="O75" s="21"/>
      <c r="P75" s="21"/>
      <c r="Q75" s="29"/>
      <c r="S75" s="66" t="s">
        <v>103</v>
      </c>
      <c r="T75" s="67">
        <v>5.0000000000000001E-3</v>
      </c>
      <c r="U75" s="28"/>
      <c r="V75" s="28"/>
      <c r="W75" s="21"/>
      <c r="X75" s="21"/>
      <c r="Y75" s="21"/>
      <c r="Z75" s="29"/>
      <c r="AB75" s="66" t="s">
        <v>103</v>
      </c>
      <c r="AC75" s="67">
        <v>5.0000000000000001E-3</v>
      </c>
      <c r="AD75" s="28"/>
      <c r="AE75" s="28"/>
      <c r="AF75" s="21"/>
      <c r="AG75" s="21"/>
      <c r="AH75" s="21"/>
      <c r="AI75" s="29"/>
    </row>
    <row r="76" spans="1:35">
      <c r="A76" s="27"/>
      <c r="B76" s="72">
        <f>B75</f>
        <v>1.4999999999999999E-2</v>
      </c>
      <c r="C76" s="28"/>
      <c r="D76" s="28"/>
      <c r="E76" s="21"/>
      <c r="F76" s="21"/>
      <c r="G76" s="21"/>
      <c r="H76" s="29"/>
      <c r="J76" s="27" t="s">
        <v>104</v>
      </c>
      <c r="K76" s="72">
        <f>K75+(K75*0.25*(K29/12-1))</f>
        <v>7.1875000000000008E-2</v>
      </c>
      <c r="L76" s="28"/>
      <c r="M76" s="28"/>
      <c r="N76" s="21"/>
      <c r="O76" s="21"/>
      <c r="P76" s="21"/>
      <c r="Q76" s="29"/>
      <c r="S76" s="27" t="s">
        <v>104</v>
      </c>
      <c r="T76" s="72">
        <f>T75+(T75*0.5*(K29/12-1))</f>
        <v>9.3750000000000014E-3</v>
      </c>
      <c r="U76" s="28"/>
      <c r="V76" s="28"/>
      <c r="W76" s="21"/>
      <c r="X76" s="21"/>
      <c r="Y76" s="21"/>
      <c r="Z76" s="29"/>
      <c r="AB76" s="27" t="s">
        <v>104</v>
      </c>
      <c r="AC76" s="72">
        <f>AC75+(AC75*0.5*(K29/12-1))</f>
        <v>9.3750000000000014E-3</v>
      </c>
      <c r="AD76" s="28"/>
      <c r="AE76" s="28"/>
      <c r="AF76" s="21"/>
      <c r="AG76" s="21"/>
      <c r="AH76" s="21"/>
      <c r="AI76" s="29"/>
    </row>
    <row r="77" spans="1:35">
      <c r="A77" s="49" t="s">
        <v>105</v>
      </c>
      <c r="B77" s="57">
        <f>(G167*B76)</f>
        <v>950.95649999999978</v>
      </c>
      <c r="C77" s="28"/>
      <c r="D77" s="28"/>
      <c r="E77" s="21"/>
      <c r="F77" s="21"/>
      <c r="G77" s="21"/>
      <c r="H77" s="29"/>
      <c r="J77" s="49" t="s">
        <v>105</v>
      </c>
      <c r="K77" s="57">
        <f>K70*K76</f>
        <v>4964.7656250000009</v>
      </c>
      <c r="L77" s="28"/>
      <c r="M77" s="28"/>
      <c r="N77" s="21"/>
      <c r="O77" s="21"/>
      <c r="P77" s="21"/>
      <c r="Q77" s="29"/>
      <c r="S77" s="49" t="s">
        <v>105</v>
      </c>
      <c r="T77" s="57">
        <f>T70*T76</f>
        <v>647.57812500000011</v>
      </c>
      <c r="U77" s="28"/>
      <c r="V77" s="28"/>
      <c r="W77" s="21"/>
      <c r="X77" s="21"/>
      <c r="Y77" s="21"/>
      <c r="Z77" s="29"/>
      <c r="AB77" s="49" t="s">
        <v>105</v>
      </c>
      <c r="AC77" s="57">
        <f>AH167*AC76</f>
        <v>485.63678437500005</v>
      </c>
      <c r="AD77" s="28"/>
      <c r="AE77" s="28"/>
      <c r="AF77" s="21"/>
      <c r="AG77" s="21"/>
      <c r="AH77" s="21"/>
      <c r="AI77" s="29"/>
    </row>
    <row r="78" spans="1:35">
      <c r="A78" s="66" t="s">
        <v>106</v>
      </c>
      <c r="B78" s="67">
        <v>0</v>
      </c>
      <c r="C78" s="28"/>
      <c r="D78" s="28"/>
      <c r="E78" s="21"/>
      <c r="F78" s="21"/>
      <c r="G78" s="21"/>
      <c r="H78" s="29"/>
      <c r="J78" s="66" t="s">
        <v>106</v>
      </c>
      <c r="K78" s="67">
        <v>0</v>
      </c>
      <c r="L78" s="28"/>
      <c r="M78" s="28"/>
      <c r="N78" s="21"/>
      <c r="O78" s="21"/>
      <c r="P78" s="21"/>
      <c r="Q78" s="29"/>
      <c r="S78" s="66" t="s">
        <v>106</v>
      </c>
      <c r="T78" s="67">
        <v>0</v>
      </c>
      <c r="U78" s="28"/>
      <c r="V78" s="28"/>
      <c r="W78" s="21"/>
      <c r="X78" s="21"/>
      <c r="Y78" s="21"/>
      <c r="Z78" s="29"/>
      <c r="AB78" s="66" t="s">
        <v>106</v>
      </c>
      <c r="AC78" s="67">
        <v>0</v>
      </c>
      <c r="AD78" s="28"/>
      <c r="AE78" s="28"/>
      <c r="AF78" s="21"/>
      <c r="AG78" s="21"/>
      <c r="AH78" s="21"/>
      <c r="AI78" s="29"/>
    </row>
    <row r="79" spans="1:35">
      <c r="A79" s="68" t="s">
        <v>107</v>
      </c>
      <c r="B79" s="69">
        <v>0</v>
      </c>
      <c r="C79" s="28"/>
      <c r="D79" s="28"/>
      <c r="E79" s="21"/>
      <c r="F79" s="21"/>
      <c r="G79" s="21"/>
      <c r="H79" s="29"/>
      <c r="J79" s="68" t="s">
        <v>107</v>
      </c>
      <c r="K79" s="69">
        <v>0</v>
      </c>
      <c r="L79" s="28"/>
      <c r="M79" s="28"/>
      <c r="N79" s="21"/>
      <c r="O79" s="21"/>
      <c r="P79" s="21"/>
      <c r="Q79" s="29"/>
      <c r="S79" s="68" t="s">
        <v>107</v>
      </c>
      <c r="T79" s="69">
        <v>0</v>
      </c>
      <c r="U79" s="28"/>
      <c r="V79" s="28"/>
      <c r="W79" s="21"/>
      <c r="X79" s="21"/>
      <c r="Y79" s="21"/>
      <c r="Z79" s="29"/>
      <c r="AB79" s="68" t="s">
        <v>107</v>
      </c>
      <c r="AC79" s="69">
        <v>0</v>
      </c>
      <c r="AD79" s="28"/>
      <c r="AE79" s="28"/>
      <c r="AF79" s="21"/>
      <c r="AG79" s="21"/>
      <c r="AH79" s="21"/>
      <c r="AI79" s="29"/>
    </row>
    <row r="80" spans="1:35">
      <c r="A80" s="49" t="s">
        <v>108</v>
      </c>
      <c r="B80" s="73">
        <f>B78*(1+B79)</f>
        <v>0</v>
      </c>
      <c r="C80" s="28"/>
      <c r="D80" s="28"/>
      <c r="E80" s="21"/>
      <c r="F80" s="21"/>
      <c r="G80" s="21"/>
      <c r="H80" s="29"/>
      <c r="J80" s="49" t="s">
        <v>108</v>
      </c>
      <c r="K80" s="73">
        <f>K78*(1+K79)</f>
        <v>0</v>
      </c>
      <c r="L80" s="28"/>
      <c r="M80" s="28"/>
      <c r="N80" s="21"/>
      <c r="O80" s="21"/>
      <c r="P80" s="21"/>
      <c r="Q80" s="29"/>
      <c r="S80" s="49" t="s">
        <v>108</v>
      </c>
      <c r="T80" s="73">
        <f>T78*(1+T79)</f>
        <v>0</v>
      </c>
      <c r="U80" s="28"/>
      <c r="V80" s="28"/>
      <c r="W80" s="21"/>
      <c r="X80" s="21"/>
      <c r="Y80" s="21"/>
      <c r="Z80" s="29"/>
      <c r="AB80" s="49" t="s">
        <v>108</v>
      </c>
      <c r="AC80" s="73">
        <f>AC78*(1+AC79)</f>
        <v>0</v>
      </c>
      <c r="AD80" s="28"/>
      <c r="AE80" s="28"/>
      <c r="AF80" s="21"/>
      <c r="AG80" s="21"/>
      <c r="AH80" s="21"/>
      <c r="AI80" s="29"/>
    </row>
    <row r="81" spans="1:35">
      <c r="A81" s="66" t="s">
        <v>109</v>
      </c>
      <c r="B81" s="74">
        <v>0</v>
      </c>
      <c r="C81" s="28"/>
      <c r="D81" s="28"/>
      <c r="E81" s="21"/>
      <c r="F81" s="21"/>
      <c r="G81" s="21"/>
      <c r="H81" s="29"/>
      <c r="J81" s="66" t="s">
        <v>109</v>
      </c>
      <c r="K81" s="74">
        <v>0</v>
      </c>
      <c r="L81" s="28"/>
      <c r="M81" s="28"/>
      <c r="N81" s="21"/>
      <c r="O81" s="21"/>
      <c r="P81" s="21"/>
      <c r="Q81" s="29"/>
      <c r="S81" s="66" t="s">
        <v>109</v>
      </c>
      <c r="T81" s="74">
        <v>0</v>
      </c>
      <c r="U81" s="28"/>
      <c r="V81" s="28"/>
      <c r="W81" s="21"/>
      <c r="X81" s="21"/>
      <c r="Y81" s="21"/>
      <c r="Z81" s="29"/>
      <c r="AB81" s="66" t="s">
        <v>109</v>
      </c>
      <c r="AC81" s="74">
        <v>0</v>
      </c>
      <c r="AD81" s="28"/>
      <c r="AE81" s="28"/>
      <c r="AF81" s="21"/>
      <c r="AG81" s="21"/>
      <c r="AH81" s="21"/>
      <c r="AI81" s="29"/>
    </row>
    <row r="82" spans="1:35">
      <c r="A82" s="68" t="s">
        <v>110</v>
      </c>
      <c r="B82" s="65">
        <v>0</v>
      </c>
      <c r="C82" s="28"/>
      <c r="D82" s="28"/>
      <c r="E82" s="21"/>
      <c r="F82" s="21"/>
      <c r="G82" s="21"/>
      <c r="H82" s="29"/>
      <c r="J82" s="68" t="s">
        <v>110</v>
      </c>
      <c r="K82" s="65">
        <v>0</v>
      </c>
      <c r="L82" s="28"/>
      <c r="M82" s="28"/>
      <c r="N82" s="21"/>
      <c r="O82" s="21"/>
      <c r="P82" s="21"/>
      <c r="Q82" s="29"/>
      <c r="S82" s="68" t="s">
        <v>110</v>
      </c>
      <c r="T82" s="65">
        <v>0</v>
      </c>
      <c r="U82" s="28"/>
      <c r="V82" s="28"/>
      <c r="W82" s="21"/>
      <c r="X82" s="21"/>
      <c r="Y82" s="21"/>
      <c r="Z82" s="29"/>
      <c r="AB82" s="68" t="s">
        <v>110</v>
      </c>
      <c r="AC82" s="65">
        <v>0</v>
      </c>
      <c r="AD82" s="28"/>
      <c r="AE82" s="28"/>
      <c r="AF82" s="21"/>
      <c r="AG82" s="21"/>
      <c r="AH82" s="21"/>
      <c r="AI82" s="29"/>
    </row>
    <row r="83" spans="1:35">
      <c r="A83" s="49" t="s">
        <v>111</v>
      </c>
      <c r="B83" s="57">
        <f>B82*K29</f>
        <v>0</v>
      </c>
      <c r="C83" s="28"/>
      <c r="D83" s="28">
        <f>B83+B81</f>
        <v>0</v>
      </c>
      <c r="E83" s="21"/>
      <c r="F83" s="21"/>
      <c r="G83" s="21"/>
      <c r="H83" s="29"/>
      <c r="J83" s="49" t="s">
        <v>111</v>
      </c>
      <c r="K83" s="57">
        <f>K82*K29</f>
        <v>0</v>
      </c>
      <c r="L83" s="28"/>
      <c r="M83" s="28">
        <f>K83+K81</f>
        <v>0</v>
      </c>
      <c r="N83" s="21"/>
      <c r="O83" s="21"/>
      <c r="P83" s="21"/>
      <c r="Q83" s="29"/>
      <c r="S83" s="49" t="s">
        <v>111</v>
      </c>
      <c r="T83" s="57">
        <f>T82*K29</f>
        <v>0</v>
      </c>
      <c r="U83" s="28"/>
      <c r="V83" s="28">
        <f>T83+T81</f>
        <v>0</v>
      </c>
      <c r="W83" s="21"/>
      <c r="X83" s="21"/>
      <c r="Y83" s="21"/>
      <c r="Z83" s="29"/>
      <c r="AB83" s="49" t="s">
        <v>111</v>
      </c>
      <c r="AC83" s="57">
        <f>AC82*K29</f>
        <v>0</v>
      </c>
      <c r="AD83" s="28"/>
      <c r="AE83" s="28">
        <f>AC83+AC81</f>
        <v>0</v>
      </c>
      <c r="AF83" s="21"/>
      <c r="AG83" s="21"/>
      <c r="AH83" s="21"/>
      <c r="AI83" s="29"/>
    </row>
    <row r="84" spans="1:35">
      <c r="A84" s="68" t="s">
        <v>112</v>
      </c>
      <c r="B84" s="65">
        <v>0</v>
      </c>
      <c r="C84" s="28"/>
      <c r="D84" s="28">
        <f>B84</f>
        <v>0</v>
      </c>
      <c r="E84" s="21"/>
      <c r="F84" s="21"/>
      <c r="G84" s="21"/>
      <c r="H84" s="29"/>
      <c r="J84" s="68" t="s">
        <v>112</v>
      </c>
      <c r="K84" s="65">
        <v>0</v>
      </c>
      <c r="L84" s="28"/>
      <c r="M84" s="28">
        <f>K84</f>
        <v>0</v>
      </c>
      <c r="N84" s="21"/>
      <c r="O84" s="21"/>
      <c r="P84" s="21"/>
      <c r="Q84" s="29"/>
      <c r="S84" s="68" t="s">
        <v>112</v>
      </c>
      <c r="T84" s="65">
        <v>0</v>
      </c>
      <c r="U84" s="28"/>
      <c r="V84" s="28">
        <f>T84</f>
        <v>0</v>
      </c>
      <c r="W84" s="21"/>
      <c r="X84" s="21"/>
      <c r="Y84" s="21"/>
      <c r="Z84" s="29"/>
      <c r="AB84" s="68" t="s">
        <v>112</v>
      </c>
      <c r="AC84" s="65">
        <v>0</v>
      </c>
      <c r="AD84" s="28"/>
      <c r="AE84" s="28">
        <f>AC84</f>
        <v>0</v>
      </c>
      <c r="AF84" s="21"/>
      <c r="AG84" s="21"/>
      <c r="AH84" s="21"/>
      <c r="AI84" s="29"/>
    </row>
    <row r="85" spans="1:35">
      <c r="A85" s="70" t="s">
        <v>113</v>
      </c>
      <c r="B85" s="75">
        <v>0</v>
      </c>
      <c r="C85" s="28"/>
      <c r="D85" s="28">
        <f>B85</f>
        <v>0</v>
      </c>
      <c r="E85" s="21"/>
      <c r="F85" s="28"/>
      <c r="G85" s="21"/>
      <c r="H85" s="29"/>
      <c r="J85" s="70" t="s">
        <v>113</v>
      </c>
      <c r="K85" s="75">
        <v>0</v>
      </c>
      <c r="L85" s="28"/>
      <c r="M85" s="28">
        <f>K85</f>
        <v>0</v>
      </c>
      <c r="N85" s="21"/>
      <c r="O85" s="21"/>
      <c r="P85" s="21"/>
      <c r="Q85" s="29"/>
      <c r="S85" s="70" t="s">
        <v>113</v>
      </c>
      <c r="T85" s="75">
        <v>0</v>
      </c>
      <c r="U85" s="28"/>
      <c r="V85" s="28">
        <f>T85</f>
        <v>0</v>
      </c>
      <c r="W85" s="21"/>
      <c r="X85" s="21"/>
      <c r="Y85" s="21"/>
      <c r="Z85" s="29"/>
      <c r="AB85" s="70" t="s">
        <v>113</v>
      </c>
      <c r="AC85" s="75">
        <v>0</v>
      </c>
      <c r="AD85" s="28"/>
      <c r="AE85" s="28">
        <f>AC85</f>
        <v>0</v>
      </c>
      <c r="AF85" s="21"/>
      <c r="AG85" s="21"/>
      <c r="AH85" s="21"/>
      <c r="AI85" s="29"/>
    </row>
    <row r="86" spans="1:35">
      <c r="A86" s="76" t="s">
        <v>114</v>
      </c>
      <c r="B86" s="77">
        <f>SUM(D74:D85)</f>
        <v>0</v>
      </c>
      <c r="C86" s="28"/>
      <c r="D86" s="28"/>
      <c r="E86" s="21"/>
      <c r="F86" s="28"/>
      <c r="G86" s="28"/>
      <c r="H86" s="29"/>
      <c r="J86" s="76" t="s">
        <v>114</v>
      </c>
      <c r="K86" s="77">
        <f>SUM(M74:M85)</f>
        <v>0</v>
      </c>
      <c r="L86" s="28"/>
      <c r="M86" s="28"/>
      <c r="N86" s="21"/>
      <c r="O86" s="21"/>
      <c r="P86" s="21"/>
      <c r="Q86" s="29"/>
      <c r="S86" s="76" t="s">
        <v>114</v>
      </c>
      <c r="T86" s="77">
        <f>SUM(V74:V85)</f>
        <v>0</v>
      </c>
      <c r="U86" s="28"/>
      <c r="V86" s="28"/>
      <c r="W86" s="21"/>
      <c r="X86" s="21"/>
      <c r="Y86" s="21"/>
      <c r="Z86" s="29"/>
      <c r="AB86" s="76" t="s">
        <v>114</v>
      </c>
      <c r="AC86" s="77">
        <f>SUM(AE74:AE85)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115</v>
      </c>
      <c r="B87" s="29">
        <f>B86/K29</f>
        <v>0</v>
      </c>
      <c r="C87" s="28"/>
      <c r="D87" s="28"/>
      <c r="E87" s="21"/>
      <c r="F87" s="21"/>
      <c r="G87" s="21"/>
      <c r="H87" s="29"/>
      <c r="J87" s="27" t="s">
        <v>115</v>
      </c>
      <c r="K87" s="29">
        <f>K86/K29</f>
        <v>0</v>
      </c>
      <c r="L87" s="28"/>
      <c r="M87" s="28"/>
      <c r="N87" s="21"/>
      <c r="O87" s="21"/>
      <c r="P87" s="21"/>
      <c r="Q87" s="29"/>
      <c r="S87" s="27" t="s">
        <v>115</v>
      </c>
      <c r="T87" s="29">
        <f>T86/K29</f>
        <v>0</v>
      </c>
      <c r="U87" s="28"/>
      <c r="V87" s="28"/>
      <c r="W87" s="21"/>
      <c r="X87" s="21"/>
      <c r="Y87" s="21"/>
      <c r="Z87" s="29"/>
      <c r="AB87" s="27" t="s">
        <v>115</v>
      </c>
      <c r="AC87" s="29">
        <f>AC86/K29</f>
        <v>0</v>
      </c>
      <c r="AD87" s="28"/>
      <c r="AE87" s="28"/>
      <c r="AF87" s="21"/>
      <c r="AG87" s="21"/>
      <c r="AH87" s="21"/>
      <c r="AI87" s="29"/>
    </row>
    <row r="88" spans="1:35">
      <c r="A88" s="78" t="s">
        <v>116</v>
      </c>
      <c r="B88" s="52">
        <f>K49</f>
        <v>209.56818181818184</v>
      </c>
      <c r="C88" s="28"/>
      <c r="D88" s="28"/>
      <c r="E88" s="21"/>
      <c r="F88" s="21"/>
      <c r="G88" s="21"/>
      <c r="H88" s="29"/>
      <c r="J88" s="78" t="s">
        <v>116</v>
      </c>
      <c r="K88" s="52">
        <f>K47</f>
        <v>0.36363636363636365</v>
      </c>
      <c r="L88" s="28"/>
      <c r="M88" s="28"/>
      <c r="N88" s="21"/>
      <c r="O88" s="21"/>
      <c r="P88" s="21"/>
      <c r="Q88" s="29"/>
      <c r="S88" s="78" t="s">
        <v>116</v>
      </c>
      <c r="T88" s="52">
        <f>B60</f>
        <v>209.56818181818184</v>
      </c>
      <c r="U88" s="28"/>
      <c r="V88" s="28"/>
      <c r="W88" s="21"/>
      <c r="X88" s="21"/>
      <c r="Y88" s="21"/>
      <c r="Z88" s="29"/>
      <c r="AB88" s="78" t="s">
        <v>116</v>
      </c>
      <c r="AC88" s="52">
        <f>B60</f>
        <v>209.56818181818184</v>
      </c>
      <c r="AD88" s="28"/>
      <c r="AE88" s="28"/>
      <c r="AF88" s="21"/>
      <c r="AG88" s="21"/>
      <c r="AH88" s="21"/>
      <c r="AI88" s="29"/>
    </row>
    <row r="89" spans="1:35">
      <c r="A89" s="27"/>
      <c r="B89" s="28"/>
      <c r="C89" s="28"/>
      <c r="D89" s="28"/>
      <c r="E89" s="21"/>
      <c r="F89" s="21"/>
      <c r="G89" s="21"/>
      <c r="H89" s="29"/>
      <c r="J89" s="27"/>
      <c r="K89" s="28"/>
      <c r="L89" s="28"/>
      <c r="M89" s="28"/>
      <c r="N89" s="21"/>
      <c r="O89" s="21"/>
      <c r="P89" s="21"/>
      <c r="Q89" s="29"/>
      <c r="S89" s="27"/>
      <c r="T89" s="28"/>
      <c r="U89" s="28"/>
      <c r="V89" s="28"/>
      <c r="W89" s="21"/>
      <c r="X89" s="21"/>
      <c r="Y89" s="21"/>
      <c r="Z89" s="29"/>
      <c r="AB89" s="27"/>
      <c r="AC89" s="28"/>
      <c r="AD89" s="28"/>
      <c r="AE89" s="28"/>
      <c r="AF89" s="21"/>
      <c r="AG89" s="21"/>
      <c r="AH89" s="21"/>
      <c r="AI89" s="29"/>
    </row>
    <row r="90" spans="1:35">
      <c r="A90" s="22" t="s">
        <v>117</v>
      </c>
      <c r="B90" s="24">
        <f>F37</f>
        <v>67397.099999999991</v>
      </c>
      <c r="C90" s="28"/>
      <c r="D90" s="28"/>
      <c r="E90" s="21"/>
      <c r="F90" s="22" t="s">
        <v>117</v>
      </c>
      <c r="G90" s="24">
        <f>F37</f>
        <v>67397.099999999991</v>
      </c>
      <c r="H90" s="29"/>
      <c r="J90" s="22" t="s">
        <v>117</v>
      </c>
      <c r="K90" s="24">
        <f>P167</f>
        <v>35235.007999999994</v>
      </c>
      <c r="L90" s="28"/>
      <c r="M90" s="28"/>
      <c r="N90" s="21"/>
      <c r="O90" s="21"/>
      <c r="P90" s="21"/>
      <c r="Q90" s="29"/>
      <c r="S90" s="22" t="s">
        <v>117</v>
      </c>
      <c r="T90" s="24">
        <f>Y167</f>
        <v>51801.256999999998</v>
      </c>
      <c r="U90" s="28"/>
      <c r="V90" s="28"/>
      <c r="W90" s="21"/>
      <c r="X90" s="21"/>
      <c r="Y90" s="21"/>
      <c r="Z90" s="29"/>
      <c r="AB90" s="22" t="s">
        <v>117</v>
      </c>
      <c r="AC90" s="24">
        <f>AH167</f>
        <v>51801.256999999998</v>
      </c>
      <c r="AD90" s="28"/>
      <c r="AE90" s="28"/>
      <c r="AF90" s="21"/>
      <c r="AG90" s="21"/>
      <c r="AH90" s="21"/>
      <c r="AI90" s="29"/>
    </row>
    <row r="91" spans="1:35">
      <c r="A91" s="27" t="s">
        <v>118</v>
      </c>
      <c r="B91" s="29">
        <f>IF(A111="YES",A43,0)</f>
        <v>6000</v>
      </c>
      <c r="C91" s="28"/>
      <c r="D91" s="28"/>
      <c r="E91" s="21"/>
      <c r="F91" s="27" t="s">
        <v>118</v>
      </c>
      <c r="G91" s="29">
        <f>IF(A111="YES",A43,0)</f>
        <v>6000</v>
      </c>
      <c r="H91" s="29"/>
      <c r="J91" s="27" t="s">
        <v>118</v>
      </c>
      <c r="K91" s="29">
        <f>IF(J120="YES",A40,0)</f>
        <v>0</v>
      </c>
      <c r="L91" s="28"/>
      <c r="M91" s="28"/>
      <c r="N91" s="21"/>
      <c r="O91" s="21"/>
      <c r="P91" s="21"/>
      <c r="Q91" s="29"/>
      <c r="S91" s="27" t="s">
        <v>118</v>
      </c>
      <c r="T91" s="29" t="str">
        <f>A40</f>
        <v>12</v>
      </c>
      <c r="U91" s="28"/>
      <c r="V91" s="28"/>
      <c r="W91" s="21"/>
      <c r="X91" s="21"/>
      <c r="Y91" s="21"/>
      <c r="Z91" s="29"/>
      <c r="AB91" s="27" t="s">
        <v>118</v>
      </c>
      <c r="AC91" s="29" t="str">
        <f>A40</f>
        <v>12</v>
      </c>
      <c r="AD91" s="28"/>
      <c r="AE91" s="28"/>
      <c r="AF91" s="21"/>
      <c r="AG91" s="21"/>
      <c r="AH91" s="21"/>
      <c r="AI91" s="29"/>
    </row>
    <row r="92" spans="1:35">
      <c r="A92" s="27" t="s">
        <v>119</v>
      </c>
      <c r="B92" s="72">
        <f>B71+B72+B73</f>
        <v>0.115</v>
      </c>
      <c r="C92" s="28"/>
      <c r="D92" s="28"/>
      <c r="E92" s="21"/>
      <c r="F92" s="27" t="s">
        <v>119</v>
      </c>
      <c r="G92" s="79">
        <f>B72</f>
        <v>6.5000000000000002E-2</v>
      </c>
      <c r="H92" s="29"/>
      <c r="J92" s="27" t="s">
        <v>119</v>
      </c>
      <c r="K92" s="72">
        <f>K71+K72+K73</f>
        <v>0.24000000000000002</v>
      </c>
      <c r="L92" s="28"/>
      <c r="M92" s="28"/>
      <c r="N92" s="21"/>
      <c r="O92" s="21"/>
      <c r="P92" s="21"/>
      <c r="Q92" s="29"/>
      <c r="S92" s="27" t="s">
        <v>119</v>
      </c>
      <c r="T92" s="72">
        <f>T71+T72+T73</f>
        <v>0.1235</v>
      </c>
      <c r="U92" s="28"/>
      <c r="V92" s="28"/>
      <c r="W92" s="21"/>
      <c r="X92" s="21"/>
      <c r="Y92" s="21"/>
      <c r="Z92" s="29"/>
      <c r="AB92" s="27" t="s">
        <v>119</v>
      </c>
      <c r="AC92" s="72">
        <f>AC71+AC72+AC73</f>
        <v>0.1235</v>
      </c>
      <c r="AD92" s="28"/>
      <c r="AE92" s="28"/>
      <c r="AF92" s="21"/>
      <c r="AG92" s="21"/>
      <c r="AH92" s="21"/>
      <c r="AI92" s="29"/>
    </row>
    <row r="93" spans="1:35">
      <c r="A93" s="27" t="s">
        <v>120</v>
      </c>
      <c r="B93" s="72">
        <f>B92/12</f>
        <v>9.5833333333333343E-3</v>
      </c>
      <c r="C93" s="28"/>
      <c r="D93" s="28"/>
      <c r="E93" s="21"/>
      <c r="F93" s="27" t="s">
        <v>120</v>
      </c>
      <c r="G93" s="72">
        <f>G92/12</f>
        <v>5.4166666666666669E-3</v>
      </c>
      <c r="H93" s="29"/>
      <c r="J93" s="27" t="s">
        <v>120</v>
      </c>
      <c r="K93" s="72">
        <f>K92/12</f>
        <v>0.02</v>
      </c>
      <c r="L93" s="28"/>
      <c r="M93" s="28"/>
      <c r="N93" s="21"/>
      <c r="O93" s="21"/>
      <c r="P93" s="21"/>
      <c r="Q93" s="29"/>
      <c r="S93" s="27" t="s">
        <v>120</v>
      </c>
      <c r="T93" s="72">
        <f>T92/12</f>
        <v>1.0291666666666666E-2</v>
      </c>
      <c r="U93" s="28"/>
      <c r="V93" s="28"/>
      <c r="W93" s="21"/>
      <c r="X93" s="21"/>
      <c r="Y93" s="21"/>
      <c r="Z93" s="29"/>
      <c r="AB93" s="27" t="s">
        <v>120</v>
      </c>
      <c r="AC93" s="72">
        <f>AC92/12</f>
        <v>1.0291666666666666E-2</v>
      </c>
      <c r="AD93" s="28"/>
      <c r="AE93" s="28"/>
      <c r="AF93" s="21"/>
      <c r="AG93" s="21"/>
      <c r="AH93" s="21"/>
      <c r="AI93" s="29"/>
    </row>
    <row r="94" spans="1:35">
      <c r="A94" s="27" t="s">
        <v>121</v>
      </c>
      <c r="B94" s="29">
        <f>IF(B91=0,(B68+B67),(B68))</f>
        <v>32</v>
      </c>
      <c r="C94" s="28"/>
      <c r="D94" s="28"/>
      <c r="E94" s="21"/>
      <c r="F94" s="27" t="s">
        <v>121</v>
      </c>
      <c r="G94" s="29">
        <f>IF(G91=0,(B68+B67),(B68))</f>
        <v>32</v>
      </c>
      <c r="H94" s="29"/>
      <c r="J94" s="27" t="s">
        <v>121</v>
      </c>
      <c r="K94" s="29">
        <f>IF(K91=0,(K68+K67),(K68))</f>
        <v>33</v>
      </c>
      <c r="L94" s="28"/>
      <c r="M94" s="28"/>
      <c r="N94" s="21"/>
      <c r="O94" s="21"/>
      <c r="P94" s="21"/>
      <c r="Q94" s="29"/>
      <c r="S94" s="27" t="s">
        <v>121</v>
      </c>
      <c r="T94" s="29">
        <f>T68</f>
        <v>32</v>
      </c>
      <c r="U94" s="28"/>
      <c r="V94" s="28"/>
      <c r="W94" s="21"/>
      <c r="X94" s="21"/>
      <c r="Y94" s="21"/>
      <c r="Z94" s="29"/>
      <c r="AB94" s="27" t="s">
        <v>121</v>
      </c>
      <c r="AC94" s="29">
        <f>AC68</f>
        <v>32</v>
      </c>
      <c r="AD94" s="28"/>
      <c r="AE94" s="28"/>
      <c r="AF94" s="21"/>
      <c r="AG94" s="21"/>
      <c r="AH94" s="21"/>
      <c r="AI94" s="29"/>
    </row>
    <row r="95" spans="1:35">
      <c r="A95" s="27" t="s">
        <v>122</v>
      </c>
      <c r="B95" s="29">
        <f>(B91/((1+B93)^(B94+1)))</f>
        <v>4379.8532592461879</v>
      </c>
      <c r="C95" s="28"/>
      <c r="D95" s="28"/>
      <c r="E95" s="21"/>
      <c r="F95" s="27" t="s">
        <v>122</v>
      </c>
      <c r="G95" s="29">
        <f>(G91/((1+G93)^(G94+1)))</f>
        <v>5020.3107927380479</v>
      </c>
      <c r="H95" s="29"/>
      <c r="J95" s="27" t="s">
        <v>122</v>
      </c>
      <c r="K95" s="29">
        <f>(K91/((1+K93)^(K94+1)))</f>
        <v>0</v>
      </c>
      <c r="L95" s="28"/>
      <c r="M95" s="28"/>
      <c r="N95" s="21"/>
      <c r="O95" s="21"/>
      <c r="P95" s="21"/>
      <c r="Q95" s="29"/>
      <c r="S95" s="27" t="s">
        <v>122</v>
      </c>
      <c r="T95" s="29">
        <f>(T91/((1+T93)^(T94+1)))</f>
        <v>8.5592913831676558</v>
      </c>
      <c r="U95" s="28"/>
      <c r="V95" s="28"/>
      <c r="W95" s="21"/>
      <c r="X95" s="21"/>
      <c r="Y95" s="21"/>
      <c r="Z95" s="29"/>
      <c r="AB95" s="27" t="s">
        <v>122</v>
      </c>
      <c r="AC95" s="29">
        <f>(AC91/((1+AC93)^(AC94+1)))</f>
        <v>8.5592913831676558</v>
      </c>
      <c r="AD95" s="28"/>
      <c r="AE95" s="28"/>
      <c r="AF95" s="21"/>
      <c r="AG95" s="21"/>
      <c r="AH95" s="21"/>
      <c r="AI95" s="29"/>
    </row>
    <row r="96" spans="1:35">
      <c r="A96" s="27" t="s">
        <v>123</v>
      </c>
      <c r="B96" s="29">
        <f>((1-(1/((1+B93)^B94)))/B93)</f>
        <v>27.446489513380339</v>
      </c>
      <c r="C96" s="28"/>
      <c r="D96" s="28"/>
      <c r="E96" s="21"/>
      <c r="F96" s="27" t="s">
        <v>123</v>
      </c>
      <c r="G96" s="29">
        <f>((1-(1/((1+G93)^G94)))/G93)</f>
        <v>29.307564834911432</v>
      </c>
      <c r="H96" s="29"/>
      <c r="J96" s="27" t="s">
        <v>123</v>
      </c>
      <c r="K96" s="29">
        <f>((1-(1/((1+K93)^K94)))/K93)</f>
        <v>23.988563553049357</v>
      </c>
      <c r="L96" s="28"/>
      <c r="M96" s="28"/>
      <c r="N96" s="21"/>
      <c r="O96" s="21"/>
      <c r="P96" s="21"/>
      <c r="Q96" s="29"/>
      <c r="S96" s="27" t="s">
        <v>123</v>
      </c>
      <c r="T96" s="29">
        <f>((1-(1/((1+T93)^T94)))/T93)</f>
        <v>27.146714518331269</v>
      </c>
      <c r="U96" s="28"/>
      <c r="V96" s="28"/>
      <c r="W96" s="21"/>
      <c r="X96" s="21"/>
      <c r="Y96" s="21"/>
      <c r="Z96" s="29"/>
      <c r="AB96" s="27" t="s">
        <v>123</v>
      </c>
      <c r="AC96" s="29">
        <f>((1-(1/((1+AC93)^AC94)))/AC93)</f>
        <v>27.146714518331269</v>
      </c>
      <c r="AD96" s="28"/>
      <c r="AE96" s="28"/>
      <c r="AF96" s="21"/>
      <c r="AG96" s="21"/>
      <c r="AH96" s="21"/>
      <c r="AI96" s="29"/>
    </row>
    <row r="97" spans="1:35">
      <c r="A97" s="27" t="s">
        <v>124</v>
      </c>
      <c r="B97" s="29">
        <f>B90-B95</f>
        <v>63017.246740753806</v>
      </c>
      <c r="C97" s="28"/>
      <c r="D97" s="28"/>
      <c r="E97" s="21"/>
      <c r="F97" s="27" t="s">
        <v>124</v>
      </c>
      <c r="G97" s="29">
        <f>G90-G95</f>
        <v>62376.789207261943</v>
      </c>
      <c r="H97" s="29"/>
      <c r="J97" s="27" t="s">
        <v>124</v>
      </c>
      <c r="K97" s="29">
        <f>K90-K95</f>
        <v>35235.007999999994</v>
      </c>
      <c r="L97" s="28"/>
      <c r="M97" s="28"/>
      <c r="N97" s="21"/>
      <c r="O97" s="21"/>
      <c r="P97" s="21"/>
      <c r="Q97" s="29"/>
      <c r="S97" s="27" t="s">
        <v>124</v>
      </c>
      <c r="T97" s="29">
        <f>T90-T95</f>
        <v>51792.697708616834</v>
      </c>
      <c r="U97" s="28"/>
      <c r="V97" s="28"/>
      <c r="W97" s="21"/>
      <c r="X97" s="21"/>
      <c r="Y97" s="21"/>
      <c r="Z97" s="29"/>
      <c r="AB97" s="27" t="s">
        <v>124</v>
      </c>
      <c r="AC97" s="29">
        <f>AC90-AC95</f>
        <v>51792.697708616834</v>
      </c>
      <c r="AD97" s="28"/>
      <c r="AE97" s="28"/>
      <c r="AF97" s="21"/>
      <c r="AG97" s="21"/>
      <c r="AH97" s="21"/>
      <c r="AI97" s="29"/>
    </row>
    <row r="98" spans="1:35">
      <c r="A98" s="27" t="s">
        <v>125</v>
      </c>
      <c r="B98" s="29">
        <f>(B97/B96)</f>
        <v>2296.0038918650234</v>
      </c>
      <c r="C98" s="28"/>
      <c r="D98" s="28"/>
      <c r="E98" s="21"/>
      <c r="F98" s="27" t="s">
        <v>125</v>
      </c>
      <c r="G98" s="29">
        <f>(G97/G96)</f>
        <v>2128.3511461504354</v>
      </c>
      <c r="H98" s="29"/>
      <c r="J98" s="27" t="s">
        <v>125</v>
      </c>
      <c r="K98" s="29">
        <f>(K97/K96)</f>
        <v>1468.8252559216294</v>
      </c>
      <c r="L98" s="28"/>
      <c r="M98" s="28"/>
      <c r="N98" s="21"/>
      <c r="O98" s="21"/>
      <c r="P98" s="21"/>
      <c r="Q98" s="29"/>
      <c r="S98" s="27" t="s">
        <v>125</v>
      </c>
      <c r="T98" s="29">
        <f>(T97/T96)</f>
        <v>1907.8808845778724</v>
      </c>
      <c r="U98" s="28"/>
      <c r="V98" s="28"/>
      <c r="W98" s="21"/>
      <c r="X98" s="21"/>
      <c r="Y98" s="21"/>
      <c r="Z98" s="29"/>
      <c r="AB98" s="27" t="s">
        <v>125</v>
      </c>
      <c r="AC98" s="29">
        <f>(AC97/AC96)</f>
        <v>1907.8808845778724</v>
      </c>
      <c r="AD98" s="28"/>
      <c r="AE98" s="28"/>
      <c r="AF98" s="21"/>
      <c r="AG98" s="21"/>
      <c r="AH98" s="21"/>
      <c r="AI98" s="29"/>
    </row>
    <row r="99" spans="1:35">
      <c r="A99" s="27" t="s">
        <v>126</v>
      </c>
      <c r="B99" s="29">
        <f>((B98*(B94))+B86)</f>
        <v>73472.12453968075</v>
      </c>
      <c r="C99" s="28"/>
      <c r="D99" s="28"/>
      <c r="E99" s="21"/>
      <c r="F99" s="27" t="s">
        <v>126</v>
      </c>
      <c r="G99" s="29">
        <f>((G98*(G94))+G86)</f>
        <v>68107.236676813933</v>
      </c>
      <c r="H99" s="29"/>
      <c r="J99" s="27" t="s">
        <v>126</v>
      </c>
      <c r="K99" s="29">
        <f>((K98*(K94))+K86)</f>
        <v>48471.233445413767</v>
      </c>
      <c r="L99" s="28"/>
      <c r="M99" s="28"/>
      <c r="N99" s="21"/>
      <c r="O99" s="21"/>
      <c r="P99" s="21"/>
      <c r="Q99" s="29"/>
      <c r="S99" s="27" t="s">
        <v>126</v>
      </c>
      <c r="T99" s="29">
        <f>(T98*(T94))+T86</f>
        <v>61052.188306491917</v>
      </c>
      <c r="U99" s="28"/>
      <c r="V99" s="28"/>
      <c r="W99" s="21"/>
      <c r="X99" s="21"/>
      <c r="Y99" s="21"/>
      <c r="Z99" s="29"/>
      <c r="AB99" s="27" t="s">
        <v>126</v>
      </c>
      <c r="AC99" s="29">
        <f>(AC98*(AC68))+AC86</f>
        <v>61052.188306491917</v>
      </c>
      <c r="AD99" s="28"/>
      <c r="AE99" s="28"/>
      <c r="AF99" s="21"/>
      <c r="AG99" s="21"/>
      <c r="AH99" s="21"/>
      <c r="AI99" s="29"/>
    </row>
    <row r="100" spans="1:35">
      <c r="A100" s="27" t="s">
        <v>127</v>
      </c>
      <c r="B100" s="29">
        <f>(((B98*(B94))+B86)/(1-B80))*B80</f>
        <v>0</v>
      </c>
      <c r="C100" s="28"/>
      <c r="D100" s="28"/>
      <c r="E100" s="21"/>
      <c r="F100" s="27" t="s">
        <v>127</v>
      </c>
      <c r="G100" s="29">
        <f>(((G98*(G94))+G86)/(1-G80))*G80</f>
        <v>0</v>
      </c>
      <c r="H100" s="29"/>
      <c r="J100" s="27" t="s">
        <v>127</v>
      </c>
      <c r="K100" s="29">
        <f>(K99/(1-K80))*K80</f>
        <v>0</v>
      </c>
      <c r="L100" s="28"/>
      <c r="M100" s="28"/>
      <c r="N100" s="21"/>
      <c r="O100" s="21"/>
      <c r="P100" s="21"/>
      <c r="Q100" s="29"/>
      <c r="S100" s="27" t="s">
        <v>127</v>
      </c>
      <c r="T100" s="29">
        <f>(T99/(1-T80))*T80</f>
        <v>0</v>
      </c>
      <c r="U100" s="28"/>
      <c r="V100" s="28"/>
      <c r="W100" s="21"/>
      <c r="X100" s="21"/>
      <c r="Y100" s="21"/>
      <c r="Z100" s="29"/>
      <c r="AB100" s="27" t="s">
        <v>127</v>
      </c>
      <c r="AC100" s="29">
        <f>(AC99/(1-AC80))*AC80</f>
        <v>0</v>
      </c>
      <c r="AD100" s="28"/>
      <c r="AE100" s="28"/>
      <c r="AF100" s="21"/>
      <c r="AG100" s="21"/>
      <c r="AH100" s="21"/>
      <c r="AI100" s="29"/>
    </row>
    <row r="101" spans="1:35">
      <c r="A101" s="49" t="s">
        <v>128</v>
      </c>
      <c r="B101" s="57">
        <f>(B99+B100)</f>
        <v>73472.12453968075</v>
      </c>
      <c r="C101" s="28"/>
      <c r="D101" s="28"/>
      <c r="E101" s="21"/>
      <c r="F101" s="49" t="s">
        <v>128</v>
      </c>
      <c r="G101" s="57">
        <f>(G99+G100)</f>
        <v>68107.236676813933</v>
      </c>
      <c r="H101" s="29"/>
      <c r="J101" s="49" t="s">
        <v>128</v>
      </c>
      <c r="K101" s="57">
        <f>(K99+K100)</f>
        <v>48471.233445413767</v>
      </c>
      <c r="L101" s="28"/>
      <c r="M101" s="28"/>
      <c r="N101" s="21"/>
      <c r="O101" s="21"/>
      <c r="P101" s="21"/>
      <c r="Q101" s="29"/>
      <c r="S101" s="49" t="s">
        <v>128</v>
      </c>
      <c r="T101" s="57">
        <f>(T99+T100)</f>
        <v>61052.188306491917</v>
      </c>
      <c r="U101" s="28"/>
      <c r="V101" s="28"/>
      <c r="W101" s="21"/>
      <c r="X101" s="21"/>
      <c r="Y101" s="21"/>
      <c r="Z101" s="29"/>
      <c r="AB101" s="49" t="s">
        <v>128</v>
      </c>
      <c r="AC101" s="57">
        <f>(AC99+AC100)</f>
        <v>61052.188306491917</v>
      </c>
      <c r="AD101" s="28"/>
      <c r="AE101" s="28"/>
      <c r="AF101" s="21"/>
      <c r="AG101" s="21"/>
      <c r="AH101" s="21"/>
      <c r="AI101" s="29"/>
    </row>
    <row r="102" spans="1:35">
      <c r="A102" s="27"/>
      <c r="B102" s="28"/>
      <c r="C102" s="28"/>
      <c r="D102" s="28"/>
      <c r="E102" s="21"/>
      <c r="F102" s="27"/>
      <c r="G102" s="28"/>
      <c r="H102" s="29"/>
      <c r="J102" s="27"/>
      <c r="K102" s="28"/>
      <c r="L102" s="28"/>
      <c r="M102" s="28"/>
      <c r="N102" s="21"/>
      <c r="O102" s="21"/>
      <c r="P102" s="21"/>
      <c r="Q102" s="29"/>
      <c r="S102" s="27"/>
      <c r="T102" s="28"/>
      <c r="U102" s="28"/>
      <c r="V102" s="28"/>
      <c r="W102" s="21"/>
      <c r="X102" s="21"/>
      <c r="Y102" s="21"/>
      <c r="Z102" s="29"/>
      <c r="AB102" s="27"/>
      <c r="AC102" s="28"/>
      <c r="AD102" s="28"/>
      <c r="AE102" s="28"/>
      <c r="AF102" s="21"/>
      <c r="AG102" s="21"/>
      <c r="AH102" s="21"/>
      <c r="AI102" s="29"/>
    </row>
    <row r="103" spans="1:35">
      <c r="A103" s="76" t="s">
        <v>129</v>
      </c>
      <c r="B103" s="77">
        <f>((A46*A34)+((A46*A34)*A117))/(B68)</f>
        <v>24.997500000000002</v>
      </c>
      <c r="C103" s="28"/>
      <c r="D103" s="28"/>
      <c r="E103" s="21"/>
      <c r="F103" s="76" t="s">
        <v>129</v>
      </c>
      <c r="G103" s="80" t="str">
        <f>IF(B35="YES",((E49/B94)*(1+A117)*(C54/100)),"0")</f>
        <v>0</v>
      </c>
      <c r="H103" s="29"/>
      <c r="J103" s="76" t="s">
        <v>129</v>
      </c>
      <c r="K103" s="77">
        <f>((E40/K94)*(1+J117))*1.2</f>
        <v>0</v>
      </c>
      <c r="L103" s="28"/>
      <c r="M103" s="28"/>
      <c r="N103" s="21"/>
      <c r="O103" s="21"/>
      <c r="P103" s="21"/>
      <c r="Q103" s="29"/>
      <c r="S103" s="76" t="s">
        <v>129</v>
      </c>
      <c r="T103" s="77">
        <f>((E40/T94)*(1+S117))</f>
        <v>0</v>
      </c>
      <c r="U103" s="28"/>
      <c r="V103" s="28"/>
      <c r="W103" s="21"/>
      <c r="X103" s="21"/>
      <c r="Y103" s="21"/>
      <c r="Z103" s="29"/>
      <c r="AB103" s="76" t="s">
        <v>129</v>
      </c>
      <c r="AC103" s="77">
        <f>((E40/AC94)*(1+AB117))*1.2</f>
        <v>0</v>
      </c>
      <c r="AD103" s="28"/>
      <c r="AE103" s="28"/>
      <c r="AF103" s="21"/>
      <c r="AG103" s="21"/>
      <c r="AH103" s="21"/>
      <c r="AI103" s="29"/>
    </row>
    <row r="104" spans="1:35">
      <c r="A104" s="81" t="s">
        <v>130</v>
      </c>
      <c r="B104" s="82">
        <f>B101/(B94)</f>
        <v>2296.0038918650234</v>
      </c>
      <c r="C104" s="28"/>
      <c r="D104" s="28"/>
      <c r="E104" s="21"/>
      <c r="F104" s="81" t="s">
        <v>130</v>
      </c>
      <c r="G104" s="82">
        <f>G101/(G94)</f>
        <v>2128.3511461504354</v>
      </c>
      <c r="H104" s="29"/>
      <c r="J104" s="81" t="s">
        <v>130</v>
      </c>
      <c r="K104" s="82">
        <f>K101/(K94)</f>
        <v>1468.8252559216294</v>
      </c>
      <c r="L104" s="28"/>
      <c r="M104" s="28"/>
      <c r="N104" s="21"/>
      <c r="O104" s="21"/>
      <c r="P104" s="21"/>
      <c r="Q104" s="29"/>
      <c r="S104" s="81" t="s">
        <v>130</v>
      </c>
      <c r="T104" s="82">
        <f>T101/(T94)</f>
        <v>1907.8808845778724</v>
      </c>
      <c r="U104" s="28"/>
      <c r="V104" s="28"/>
      <c r="W104" s="21"/>
      <c r="X104" s="21"/>
      <c r="Y104" s="21"/>
      <c r="Z104" s="29"/>
      <c r="AB104" s="81" t="s">
        <v>130</v>
      </c>
      <c r="AC104" s="82">
        <f>AC101/(AC68)</f>
        <v>1907.8808845778724</v>
      </c>
      <c r="AD104" s="28"/>
      <c r="AE104" s="28"/>
      <c r="AF104" s="21"/>
      <c r="AG104" s="21"/>
      <c r="AH104" s="21"/>
      <c r="AI104" s="29"/>
    </row>
    <row r="105" spans="1:35">
      <c r="A105" s="83" t="s">
        <v>131</v>
      </c>
      <c r="B105" s="84">
        <f>B103+B104</f>
        <v>2321.0013918650234</v>
      </c>
      <c r="C105" s="28"/>
      <c r="D105" s="28"/>
      <c r="E105" s="21" t="s">
        <v>31</v>
      </c>
      <c r="F105" s="83" t="s">
        <v>131</v>
      </c>
      <c r="G105" s="84">
        <f>G103+G104</f>
        <v>2128.3511461504354</v>
      </c>
      <c r="H105" s="29"/>
      <c r="J105" s="83" t="s">
        <v>131</v>
      </c>
      <c r="K105" s="84">
        <f>(K103+K104)</f>
        <v>1468.8252559216294</v>
      </c>
      <c r="L105" s="28"/>
      <c r="M105" s="28"/>
      <c r="N105" s="21"/>
      <c r="O105" s="21"/>
      <c r="P105" s="21"/>
      <c r="Q105" s="29"/>
      <c r="S105" s="83" t="s">
        <v>131</v>
      </c>
      <c r="T105" s="84">
        <f>T103+T104</f>
        <v>1907.8808845778724</v>
      </c>
      <c r="U105" s="28"/>
      <c r="V105" s="28"/>
      <c r="W105" s="21"/>
      <c r="X105" s="21"/>
      <c r="Y105" s="21"/>
      <c r="Z105" s="29"/>
      <c r="AB105" s="83" t="s">
        <v>131</v>
      </c>
      <c r="AC105" s="84">
        <f>AC103+AC104</f>
        <v>1907.8808845778724</v>
      </c>
      <c r="AD105" s="28"/>
      <c r="AE105" s="28"/>
      <c r="AF105" s="21"/>
      <c r="AG105" s="21"/>
      <c r="AH105" s="21"/>
      <c r="AI105" s="29"/>
    </row>
    <row r="106" spans="1:35">
      <c r="A106" s="49"/>
      <c r="B106" s="50"/>
      <c r="C106" s="50"/>
      <c r="D106" s="50"/>
      <c r="E106" s="85"/>
      <c r="F106" s="85"/>
      <c r="G106" s="85"/>
      <c r="H106" s="57"/>
      <c r="J106" s="49"/>
      <c r="K106" s="50"/>
      <c r="L106" s="50"/>
      <c r="M106" s="50"/>
      <c r="N106" s="85"/>
      <c r="O106" s="85"/>
      <c r="P106" s="85"/>
      <c r="Q106" s="57"/>
      <c r="S106" s="49"/>
      <c r="T106" s="50"/>
      <c r="U106" s="50"/>
      <c r="V106" s="50"/>
      <c r="W106" s="85"/>
      <c r="X106" s="85"/>
      <c r="Y106" s="85"/>
      <c r="Z106" s="57"/>
      <c r="AB106" s="49"/>
      <c r="AC106" s="50"/>
      <c r="AD106" s="50"/>
      <c r="AE106" s="50"/>
      <c r="AF106" s="85"/>
      <c r="AG106" s="85"/>
      <c r="AH106" s="85"/>
      <c r="AI106" s="57"/>
    </row>
    <row r="107" spans="1:35" ht="14.25">
      <c r="A107" s="21"/>
      <c r="B107" s="21"/>
      <c r="C107" s="21"/>
      <c r="D107" s="21"/>
      <c r="E107" s="21"/>
      <c r="F107" s="21"/>
      <c r="G107" s="21"/>
      <c r="H107" s="21"/>
      <c r="J107" s="21"/>
      <c r="K107" s="21"/>
      <c r="L107" s="21"/>
      <c r="M107" s="21"/>
      <c r="N107" s="21"/>
      <c r="O107" s="21"/>
      <c r="P107" s="21"/>
      <c r="Q107" s="21"/>
      <c r="S107" s="21"/>
      <c r="T107" s="21"/>
      <c r="U107" s="21"/>
      <c r="V107" s="21"/>
      <c r="W107" s="21"/>
      <c r="X107" s="21"/>
      <c r="Y107" s="21"/>
      <c r="Z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4.25">
      <c r="A108" s="21">
        <v>0.2</v>
      </c>
      <c r="B108" s="21" t="s">
        <v>12</v>
      </c>
      <c r="C108" s="21"/>
      <c r="D108" s="21"/>
      <c r="E108" s="21"/>
      <c r="F108" s="21"/>
      <c r="G108" s="21"/>
      <c r="H108" s="21"/>
      <c r="J108" s="21"/>
      <c r="K108" s="21"/>
      <c r="L108" s="21"/>
      <c r="M108" s="21"/>
      <c r="N108" s="21"/>
      <c r="O108" s="21"/>
      <c r="P108" s="21"/>
      <c r="Q108" s="21"/>
      <c r="S108" s="21"/>
      <c r="T108" s="21"/>
      <c r="U108" s="21"/>
      <c r="V108" s="21"/>
      <c r="W108" s="21"/>
      <c r="X108" s="21"/>
      <c r="Y108" s="21"/>
      <c r="Z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47.25" customHeight="1">
      <c r="A109" s="344" t="s">
        <v>132</v>
      </c>
      <c r="B109" s="344"/>
      <c r="C109" s="344"/>
      <c r="D109" s="344"/>
      <c r="E109" s="344"/>
      <c r="F109" s="344"/>
      <c r="G109" s="344"/>
      <c r="H109" s="344"/>
      <c r="J109" s="334" t="s">
        <v>133</v>
      </c>
      <c r="K109" s="334"/>
      <c r="L109" s="334"/>
      <c r="M109" s="334"/>
      <c r="N109" s="334"/>
      <c r="O109" s="334"/>
      <c r="P109" s="334"/>
      <c r="Q109" s="334"/>
      <c r="S109" s="344" t="s">
        <v>134</v>
      </c>
      <c r="T109" s="344"/>
      <c r="U109" s="344"/>
      <c r="V109" s="344"/>
      <c r="W109" s="344"/>
      <c r="X109" s="344"/>
      <c r="Y109" s="344"/>
      <c r="Z109" s="344"/>
      <c r="AB109" s="344" t="s">
        <v>135</v>
      </c>
      <c r="AC109" s="344"/>
      <c r="AD109" s="344"/>
      <c r="AE109" s="344"/>
      <c r="AF109" s="344"/>
      <c r="AG109" s="344"/>
      <c r="AH109" s="344"/>
      <c r="AI109" s="344"/>
    </row>
    <row r="110" spans="1:35">
      <c r="A110" s="22"/>
      <c r="B110" s="23"/>
      <c r="C110" s="23"/>
      <c r="D110" s="23"/>
      <c r="E110" s="63"/>
      <c r="F110" s="63"/>
      <c r="G110" s="63"/>
      <c r="H110" s="87"/>
      <c r="J110" s="22"/>
      <c r="K110" s="23"/>
      <c r="L110" s="23"/>
      <c r="M110" s="23"/>
      <c r="N110" s="63"/>
      <c r="O110" s="63"/>
      <c r="P110" s="63"/>
      <c r="Q110" s="87"/>
      <c r="S110" s="22"/>
      <c r="T110" s="23"/>
      <c r="U110" s="23"/>
      <c r="V110" s="23"/>
      <c r="W110" s="63"/>
      <c r="X110" s="63"/>
      <c r="Y110" s="63"/>
      <c r="Z110" s="87"/>
      <c r="AB110" s="22"/>
      <c r="AC110" s="23"/>
      <c r="AD110" s="23"/>
      <c r="AE110" s="23"/>
      <c r="AF110" s="63"/>
      <c r="AG110" s="63"/>
      <c r="AH110" s="63"/>
      <c r="AI110" s="87"/>
    </row>
    <row r="111" spans="1:35" ht="23.25">
      <c r="A111" s="335" t="s">
        <v>31</v>
      </c>
      <c r="B111" s="335">
        <v>0</v>
      </c>
      <c r="C111" s="335"/>
      <c r="D111" s="335"/>
      <c r="E111" s="335">
        <v>0</v>
      </c>
      <c r="F111" s="335"/>
      <c r="G111" s="335"/>
      <c r="H111" s="335"/>
      <c r="J111" s="335" t="s">
        <v>136</v>
      </c>
      <c r="K111" s="335"/>
      <c r="L111" s="335"/>
      <c r="M111" s="335"/>
      <c r="N111" s="335"/>
      <c r="O111" s="335"/>
      <c r="P111" s="335"/>
      <c r="Q111" s="335"/>
      <c r="S111" s="335" t="s">
        <v>136</v>
      </c>
      <c r="T111" s="335"/>
      <c r="U111" s="335"/>
      <c r="V111" s="335"/>
      <c r="W111" s="335"/>
      <c r="X111" s="335"/>
      <c r="Y111" s="335"/>
      <c r="Z111" s="335"/>
      <c r="AB111" s="335" t="s">
        <v>136</v>
      </c>
      <c r="AC111" s="335"/>
      <c r="AD111" s="335"/>
      <c r="AE111" s="335"/>
      <c r="AF111" s="335"/>
      <c r="AG111" s="335"/>
      <c r="AH111" s="335"/>
      <c r="AI111" s="335"/>
    </row>
    <row r="112" spans="1:35">
      <c r="A112" s="27"/>
      <c r="B112" s="28"/>
      <c r="C112" s="28"/>
      <c r="D112" s="28"/>
      <c r="E112" s="21"/>
      <c r="F112" s="21"/>
      <c r="G112" s="21"/>
      <c r="H112" s="88"/>
      <c r="J112" s="27"/>
      <c r="K112" s="28"/>
      <c r="L112" s="28"/>
      <c r="M112" s="28"/>
      <c r="N112" s="21"/>
      <c r="O112" s="21"/>
      <c r="P112" s="21"/>
      <c r="Q112" s="88"/>
      <c r="S112" s="27"/>
      <c r="T112" s="28"/>
      <c r="U112" s="28"/>
      <c r="V112" s="28"/>
      <c r="W112" s="21"/>
      <c r="X112" s="21"/>
      <c r="Y112" s="21"/>
      <c r="Z112" s="88"/>
      <c r="AB112" s="27"/>
      <c r="AC112" s="28"/>
      <c r="AD112" s="28"/>
      <c r="AE112" s="28"/>
      <c r="AF112" s="21"/>
      <c r="AG112" s="21"/>
      <c r="AH112" s="21"/>
      <c r="AI112" s="88"/>
    </row>
    <row r="113" spans="1:42">
      <c r="A113" s="27" t="s">
        <v>137</v>
      </c>
      <c r="B113" s="28" t="s">
        <v>36</v>
      </c>
      <c r="C113" s="28"/>
      <c r="D113" s="28"/>
      <c r="E113" s="28" t="s">
        <v>138</v>
      </c>
      <c r="F113" s="28"/>
      <c r="G113" s="28"/>
      <c r="H113" s="29"/>
      <c r="J113" s="27" t="s">
        <v>137</v>
      </c>
      <c r="K113" s="28" t="s">
        <v>36</v>
      </c>
      <c r="L113" s="28"/>
      <c r="M113" s="28"/>
      <c r="N113" s="28" t="s">
        <v>138</v>
      </c>
      <c r="O113" s="28"/>
      <c r="P113" s="28"/>
      <c r="Q113" s="29"/>
      <c r="S113" s="27" t="s">
        <v>137</v>
      </c>
      <c r="T113" s="28" t="s">
        <v>36</v>
      </c>
      <c r="U113" s="28"/>
      <c r="V113" s="28"/>
      <c r="W113" s="28" t="s">
        <v>138</v>
      </c>
      <c r="X113" s="28"/>
      <c r="Y113" s="28"/>
      <c r="Z113" s="29"/>
      <c r="AB113" s="27" t="s">
        <v>137</v>
      </c>
      <c r="AC113" s="28" t="s">
        <v>36</v>
      </c>
      <c r="AD113" s="28"/>
      <c r="AE113" s="28"/>
      <c r="AF113" s="28" t="s">
        <v>138</v>
      </c>
      <c r="AG113" s="28"/>
      <c r="AH113" s="28"/>
      <c r="AI113" s="29"/>
    </row>
    <row r="114" spans="1:42">
      <c r="A114" s="32" t="s">
        <v>139</v>
      </c>
      <c r="B114" s="345"/>
      <c r="C114" s="345"/>
      <c r="D114" s="345"/>
      <c r="E114" s="346" t="s">
        <v>410</v>
      </c>
      <c r="F114" s="346"/>
      <c r="G114" s="346"/>
      <c r="H114" s="88"/>
      <c r="J114" s="32" t="s">
        <v>139</v>
      </c>
      <c r="K114" s="347" t="s">
        <v>140</v>
      </c>
      <c r="L114" s="347"/>
      <c r="M114" s="347"/>
      <c r="N114" s="346" t="s">
        <v>31</v>
      </c>
      <c r="O114" s="346"/>
      <c r="P114" s="346"/>
      <c r="Q114" s="88"/>
      <c r="S114" s="32" t="s">
        <v>139</v>
      </c>
      <c r="T114" s="345" t="s">
        <v>140</v>
      </c>
      <c r="U114" s="345"/>
      <c r="V114" s="345"/>
      <c r="W114" s="346" t="s">
        <v>31</v>
      </c>
      <c r="X114" s="346"/>
      <c r="Y114" s="346"/>
      <c r="Z114" s="88"/>
      <c r="AB114" s="32" t="s">
        <v>139</v>
      </c>
      <c r="AC114" s="345" t="s">
        <v>140</v>
      </c>
      <c r="AD114" s="345"/>
      <c r="AE114" s="345"/>
      <c r="AF114" s="346" t="s">
        <v>31</v>
      </c>
      <c r="AG114" s="346"/>
      <c r="AH114" s="346"/>
      <c r="AI114" s="88"/>
    </row>
    <row r="115" spans="1:42">
      <c r="A115" s="27"/>
      <c r="B115" s="28"/>
      <c r="C115" s="28"/>
      <c r="D115" s="21"/>
      <c r="E115" s="28"/>
      <c r="F115" s="28"/>
      <c r="G115" s="21"/>
      <c r="H115" s="29"/>
      <c r="J115" s="27"/>
      <c r="K115" s="28"/>
      <c r="L115" s="28"/>
      <c r="M115" s="21"/>
      <c r="N115" s="28"/>
      <c r="O115" s="28"/>
      <c r="P115" s="21"/>
      <c r="Q115" s="29"/>
      <c r="S115" s="27"/>
      <c r="T115" s="28"/>
      <c r="U115" s="28"/>
      <c r="V115" s="21"/>
      <c r="W115" s="28"/>
      <c r="X115" s="28"/>
      <c r="Y115" s="21"/>
      <c r="Z115" s="29"/>
      <c r="AB115" s="27"/>
      <c r="AC115" s="28"/>
      <c r="AD115" s="28"/>
      <c r="AE115" s="21"/>
      <c r="AF115" s="28"/>
      <c r="AG115" s="28"/>
      <c r="AH115" s="21"/>
      <c r="AI115" s="29"/>
    </row>
    <row r="116" spans="1:42">
      <c r="A116" s="27" t="s">
        <v>141</v>
      </c>
      <c r="B116" s="28" t="s">
        <v>142</v>
      </c>
      <c r="C116" s="28"/>
      <c r="D116" s="21"/>
      <c r="E116" s="28" t="s">
        <v>143</v>
      </c>
      <c r="F116" s="28"/>
      <c r="G116" s="21"/>
      <c r="H116" s="88"/>
      <c r="J116" s="27" t="s">
        <v>141</v>
      </c>
      <c r="K116" s="28" t="s">
        <v>142</v>
      </c>
      <c r="L116" s="28"/>
      <c r="M116" s="21"/>
      <c r="N116" s="28" t="s">
        <v>143</v>
      </c>
      <c r="O116" s="28"/>
      <c r="P116" s="21"/>
      <c r="Q116" s="88"/>
      <c r="S116" s="27" t="s">
        <v>141</v>
      </c>
      <c r="T116" s="28" t="s">
        <v>142</v>
      </c>
      <c r="U116" s="28"/>
      <c r="V116" s="21"/>
      <c r="W116" s="28" t="s">
        <v>143</v>
      </c>
      <c r="X116" s="28"/>
      <c r="Y116" s="21"/>
      <c r="Z116" s="88"/>
      <c r="AB116" s="27" t="s">
        <v>141</v>
      </c>
      <c r="AC116" s="28" t="s">
        <v>142</v>
      </c>
      <c r="AD116" s="28"/>
      <c r="AE116" s="21"/>
      <c r="AF116" s="28" t="s">
        <v>143</v>
      </c>
      <c r="AG116" s="28"/>
      <c r="AH116" s="21"/>
      <c r="AI116" s="88"/>
    </row>
    <row r="117" spans="1:42">
      <c r="A117" s="91">
        <v>0.2</v>
      </c>
      <c r="B117" s="348" t="s">
        <v>144</v>
      </c>
      <c r="C117" s="348"/>
      <c r="D117" s="348"/>
      <c r="E117" s="349">
        <f>B92</f>
        <v>0.115</v>
      </c>
      <c r="F117" s="349"/>
      <c r="G117" s="349"/>
      <c r="H117" s="42"/>
      <c r="J117" s="91">
        <v>0.3</v>
      </c>
      <c r="K117" s="348" t="s">
        <v>144</v>
      </c>
      <c r="L117" s="348"/>
      <c r="M117" s="348"/>
      <c r="N117" s="349">
        <f>K92</f>
        <v>0.24000000000000002</v>
      </c>
      <c r="O117" s="349"/>
      <c r="P117" s="349"/>
      <c r="Q117" s="42"/>
      <c r="S117" s="91">
        <v>0.2</v>
      </c>
      <c r="T117" s="348" t="s">
        <v>145</v>
      </c>
      <c r="U117" s="348"/>
      <c r="V117" s="348"/>
      <c r="W117" s="349">
        <f>T92</f>
        <v>0.1235</v>
      </c>
      <c r="X117" s="349"/>
      <c r="Y117" s="349"/>
      <c r="Z117" s="42"/>
      <c r="AB117" s="91">
        <v>0.2</v>
      </c>
      <c r="AC117" s="348" t="s">
        <v>145</v>
      </c>
      <c r="AD117" s="348"/>
      <c r="AE117" s="348"/>
      <c r="AF117" s="350">
        <f>AC92</f>
        <v>0.1235</v>
      </c>
      <c r="AG117" s="350"/>
      <c r="AH117" s="350"/>
      <c r="AI117" s="42"/>
      <c r="AP117" s="4" t="s">
        <v>146</v>
      </c>
    </row>
    <row r="118" spans="1:42">
      <c r="A118" s="27"/>
      <c r="B118" s="28"/>
      <c r="C118" s="28"/>
      <c r="D118" s="28"/>
      <c r="E118" s="28"/>
      <c r="F118" s="28"/>
      <c r="G118" s="28"/>
      <c r="H118" s="29"/>
      <c r="J118" s="27"/>
      <c r="K118" s="28"/>
      <c r="L118" s="28"/>
      <c r="M118" s="28"/>
      <c r="N118" s="28"/>
      <c r="O118" s="28"/>
      <c r="P118" s="28"/>
      <c r="Q118" s="29"/>
      <c r="S118" s="27"/>
      <c r="T118" s="28"/>
      <c r="U118" s="28"/>
      <c r="V118" s="28"/>
      <c r="W118" s="28"/>
      <c r="X118" s="28"/>
      <c r="Y118" s="28"/>
      <c r="Z118" s="29"/>
      <c r="AB118" s="27"/>
      <c r="AC118" s="28"/>
      <c r="AD118" s="28"/>
      <c r="AE118" s="28"/>
      <c r="AF118" s="28"/>
      <c r="AG118" s="28"/>
      <c r="AH118" s="28"/>
      <c r="AI118" s="29"/>
      <c r="AP118" s="4" t="s">
        <v>144</v>
      </c>
    </row>
    <row r="119" spans="1:42">
      <c r="A119" s="27" t="s">
        <v>147</v>
      </c>
      <c r="B119" s="28" t="s">
        <v>148</v>
      </c>
      <c r="C119" s="28"/>
      <c r="D119" s="28"/>
      <c r="E119" s="28" t="s">
        <v>149</v>
      </c>
      <c r="F119" s="28"/>
      <c r="G119" s="28"/>
      <c r="H119" s="29"/>
      <c r="J119" s="27" t="s">
        <v>147</v>
      </c>
      <c r="K119" s="28" t="s">
        <v>148</v>
      </c>
      <c r="L119" s="28"/>
      <c r="M119" s="28"/>
      <c r="N119" s="28" t="s">
        <v>149</v>
      </c>
      <c r="O119" s="28"/>
      <c r="P119" s="28"/>
      <c r="Q119" s="29"/>
      <c r="S119" s="27" t="s">
        <v>147</v>
      </c>
      <c r="T119" s="28" t="s">
        <v>148</v>
      </c>
      <c r="U119" s="28"/>
      <c r="V119" s="28"/>
      <c r="W119" s="28" t="s">
        <v>149</v>
      </c>
      <c r="X119" s="28"/>
      <c r="Y119" s="28"/>
      <c r="Z119" s="29"/>
      <c r="AB119" s="27" t="s">
        <v>147</v>
      </c>
      <c r="AC119" s="28" t="s">
        <v>148</v>
      </c>
      <c r="AD119" s="28"/>
      <c r="AE119" s="28"/>
      <c r="AF119" s="28" t="s">
        <v>149</v>
      </c>
      <c r="AG119" s="28"/>
      <c r="AH119" s="28"/>
      <c r="AI119" s="29"/>
    </row>
    <row r="120" spans="1:42">
      <c r="A120" s="36" t="s">
        <v>385</v>
      </c>
      <c r="B120" s="348">
        <v>5000</v>
      </c>
      <c r="C120" s="348"/>
      <c r="D120" s="348"/>
      <c r="E120" s="348">
        <v>4000</v>
      </c>
      <c r="F120" s="348"/>
      <c r="G120" s="348"/>
      <c r="H120" s="88"/>
      <c r="J120" s="36" t="s">
        <v>32</v>
      </c>
      <c r="K120" s="348">
        <v>1000</v>
      </c>
      <c r="L120" s="348"/>
      <c r="M120" s="348"/>
      <c r="N120" s="348">
        <v>0</v>
      </c>
      <c r="O120" s="348"/>
      <c r="P120" s="348"/>
      <c r="Q120" s="88"/>
      <c r="S120" s="36" t="s">
        <v>31</v>
      </c>
      <c r="T120" s="348">
        <v>1000</v>
      </c>
      <c r="U120" s="348"/>
      <c r="V120" s="348"/>
      <c r="W120" s="348">
        <v>0</v>
      </c>
      <c r="X120" s="348"/>
      <c r="Y120" s="348"/>
      <c r="Z120" s="88"/>
      <c r="AB120" s="36" t="s">
        <v>31</v>
      </c>
      <c r="AC120" s="348">
        <v>1000</v>
      </c>
      <c r="AD120" s="348"/>
      <c r="AE120" s="348"/>
      <c r="AF120" s="348">
        <v>0</v>
      </c>
      <c r="AG120" s="348"/>
      <c r="AH120" s="348"/>
      <c r="AI120" s="88"/>
    </row>
    <row r="121" spans="1:42">
      <c r="A121" s="27"/>
      <c r="B121" s="28"/>
      <c r="C121" s="28"/>
      <c r="D121" s="28"/>
      <c r="E121" s="28"/>
      <c r="F121" s="28"/>
      <c r="G121" s="21"/>
      <c r="H121" s="88"/>
      <c r="J121" s="27"/>
      <c r="K121" s="28"/>
      <c r="L121" s="28"/>
      <c r="M121" s="28"/>
      <c r="N121" s="28"/>
      <c r="O121" s="28"/>
      <c r="P121" s="21"/>
      <c r="Q121" s="88"/>
      <c r="S121" s="27"/>
      <c r="T121" s="28"/>
      <c r="U121" s="28"/>
      <c r="V121" s="28"/>
      <c r="W121" s="28"/>
      <c r="X121" s="28"/>
      <c r="Y121" s="21"/>
      <c r="Z121" s="88"/>
      <c r="AB121" s="27"/>
      <c r="AC121" s="28"/>
      <c r="AD121" s="28"/>
      <c r="AE121" s="28"/>
      <c r="AF121" s="28"/>
      <c r="AG121" s="28"/>
      <c r="AH121" s="21"/>
      <c r="AI121" s="88"/>
    </row>
    <row r="122" spans="1:42">
      <c r="A122" s="93" t="s">
        <v>150</v>
      </c>
      <c r="B122" s="28" t="s">
        <v>151</v>
      </c>
      <c r="C122" s="28"/>
      <c r="D122" s="28"/>
      <c r="E122" s="28" t="s">
        <v>152</v>
      </c>
      <c r="F122" s="28"/>
      <c r="G122" s="21"/>
      <c r="H122" s="88"/>
      <c r="J122" s="93" t="s">
        <v>150</v>
      </c>
      <c r="K122" s="28" t="s">
        <v>151</v>
      </c>
      <c r="L122" s="28"/>
      <c r="M122" s="28"/>
      <c r="N122" s="28" t="s">
        <v>152</v>
      </c>
      <c r="O122" s="28"/>
      <c r="P122" s="21"/>
      <c r="Q122" s="88"/>
      <c r="S122" s="93" t="s">
        <v>150</v>
      </c>
      <c r="T122" s="28" t="s">
        <v>151</v>
      </c>
      <c r="U122" s="28"/>
      <c r="V122" s="28"/>
      <c r="W122" s="28" t="s">
        <v>152</v>
      </c>
      <c r="X122" s="28"/>
      <c r="Y122" s="21"/>
      <c r="Z122" s="88"/>
      <c r="AB122" s="93" t="s">
        <v>150</v>
      </c>
      <c r="AC122" s="28" t="s">
        <v>151</v>
      </c>
      <c r="AD122" s="28"/>
      <c r="AE122" s="28"/>
      <c r="AF122" s="28" t="s">
        <v>152</v>
      </c>
      <c r="AG122" s="28"/>
      <c r="AH122" s="21"/>
      <c r="AI122" s="88"/>
    </row>
    <row r="123" spans="1:42">
      <c r="A123" s="94">
        <f>B120+E120</f>
        <v>9000</v>
      </c>
      <c r="B123" s="348">
        <v>199.99166666666667</v>
      </c>
      <c r="C123" s="348"/>
      <c r="D123" s="348"/>
      <c r="E123" s="348">
        <v>0</v>
      </c>
      <c r="F123" s="348"/>
      <c r="G123" s="348"/>
      <c r="H123" s="88"/>
      <c r="J123" s="94">
        <f>K120+N120</f>
        <v>1000</v>
      </c>
      <c r="K123" s="348">
        <v>239.99</v>
      </c>
      <c r="L123" s="348"/>
      <c r="M123" s="348"/>
      <c r="N123" s="348">
        <v>0</v>
      </c>
      <c r="O123" s="348"/>
      <c r="P123" s="348"/>
      <c r="Q123" s="88"/>
      <c r="S123" s="94">
        <f>T120+W120</f>
        <v>1000</v>
      </c>
      <c r="T123" s="348">
        <v>199.99</v>
      </c>
      <c r="U123" s="348"/>
      <c r="V123" s="348"/>
      <c r="W123" s="348">
        <v>0</v>
      </c>
      <c r="X123" s="348"/>
      <c r="Y123" s="348"/>
      <c r="Z123" s="88"/>
      <c r="AB123" s="94">
        <f>AC120+AF120</f>
        <v>1000</v>
      </c>
      <c r="AC123" s="348">
        <v>239.99</v>
      </c>
      <c r="AD123" s="348"/>
      <c r="AE123" s="348"/>
      <c r="AF123" s="348">
        <v>0</v>
      </c>
      <c r="AG123" s="348"/>
      <c r="AH123" s="348"/>
      <c r="AI123" s="88"/>
    </row>
    <row r="124" spans="1:42" ht="14.25">
      <c r="A124" s="95"/>
      <c r="B124" s="21"/>
      <c r="C124" s="21"/>
      <c r="D124" s="21"/>
      <c r="E124" s="21"/>
      <c r="F124" s="21"/>
      <c r="G124" s="21"/>
      <c r="H124" s="88"/>
      <c r="J124" s="95"/>
      <c r="K124" s="21"/>
      <c r="L124" s="21"/>
      <c r="M124" s="21"/>
      <c r="N124" s="21"/>
      <c r="O124" s="21"/>
      <c r="P124" s="21"/>
      <c r="Q124" s="88"/>
      <c r="S124" s="95"/>
      <c r="T124" s="21"/>
      <c r="U124" s="21"/>
      <c r="V124" s="21"/>
      <c r="W124" s="21"/>
      <c r="X124" s="21"/>
      <c r="Y124" s="21"/>
      <c r="Z124" s="88"/>
      <c r="AB124" s="95"/>
      <c r="AC124" s="21"/>
      <c r="AD124" s="21"/>
      <c r="AE124" s="21"/>
      <c r="AF124" s="21"/>
      <c r="AG124" s="21"/>
      <c r="AH124" s="21"/>
      <c r="AI124" s="88"/>
    </row>
    <row r="125" spans="1:42" ht="14.25">
      <c r="A125" s="95"/>
      <c r="B125" s="21"/>
      <c r="C125" s="21"/>
      <c r="D125" s="21"/>
      <c r="E125" s="21"/>
      <c r="F125" s="21"/>
      <c r="G125" s="21"/>
      <c r="H125" s="88"/>
      <c r="J125" s="95"/>
      <c r="K125" s="21"/>
      <c r="L125" s="21"/>
      <c r="M125" s="21"/>
      <c r="N125" s="21"/>
      <c r="O125" s="21"/>
      <c r="P125" s="21"/>
      <c r="Q125" s="88"/>
      <c r="S125" s="95"/>
      <c r="T125" s="21"/>
      <c r="U125" s="21"/>
      <c r="V125" s="21"/>
      <c r="W125" s="21"/>
      <c r="X125" s="21"/>
      <c r="Y125" s="21"/>
      <c r="Z125" s="88"/>
      <c r="AB125" s="95"/>
      <c r="AC125" s="21"/>
      <c r="AD125" s="21"/>
      <c r="AE125" s="21"/>
      <c r="AF125" s="21"/>
      <c r="AG125" s="21"/>
      <c r="AH125" s="21"/>
      <c r="AI125" s="88"/>
    </row>
    <row r="126" spans="1:42" ht="23.25">
      <c r="A126" s="335" t="s">
        <v>153</v>
      </c>
      <c r="B126" s="335"/>
      <c r="C126" s="335"/>
      <c r="D126" s="335"/>
      <c r="E126" s="335"/>
      <c r="F126" s="335"/>
      <c r="G126" s="335"/>
      <c r="H126" s="335"/>
      <c r="J126" s="335" t="s">
        <v>153</v>
      </c>
      <c r="K126" s="335"/>
      <c r="L126" s="335"/>
      <c r="M126" s="335"/>
      <c r="N126" s="335"/>
      <c r="O126" s="335"/>
      <c r="P126" s="335"/>
      <c r="Q126" s="335"/>
      <c r="S126" s="335" t="s">
        <v>153</v>
      </c>
      <c r="T126" s="335"/>
      <c r="U126" s="335"/>
      <c r="V126" s="335"/>
      <c r="W126" s="335"/>
      <c r="X126" s="335"/>
      <c r="Y126" s="335"/>
      <c r="Z126" s="335"/>
      <c r="AB126" s="335" t="s">
        <v>153</v>
      </c>
      <c r="AC126" s="335"/>
      <c r="AD126" s="335"/>
      <c r="AE126" s="335"/>
      <c r="AF126" s="335"/>
      <c r="AG126" s="335"/>
      <c r="AH126" s="335"/>
      <c r="AI126" s="335"/>
    </row>
    <row r="127" spans="1:42" ht="14.25">
      <c r="A127" s="95"/>
      <c r="B127" s="21"/>
      <c r="C127" s="21"/>
      <c r="D127" s="21"/>
      <c r="E127" s="21"/>
      <c r="F127" s="21"/>
      <c r="G127" s="21"/>
      <c r="H127" s="88"/>
      <c r="J127" s="95"/>
      <c r="K127" s="21"/>
      <c r="L127" s="21"/>
      <c r="M127" s="21"/>
      <c r="N127" s="21"/>
      <c r="O127" s="21"/>
      <c r="P127" s="21"/>
      <c r="Q127" s="88"/>
      <c r="S127" s="95"/>
      <c r="T127" s="21"/>
      <c r="U127" s="21"/>
      <c r="V127" s="21"/>
      <c r="W127" s="21"/>
      <c r="X127" s="21"/>
      <c r="Y127" s="21"/>
      <c r="Z127" s="88"/>
      <c r="AB127" s="95"/>
      <c r="AC127" s="21"/>
      <c r="AD127" s="21"/>
      <c r="AE127" s="21"/>
      <c r="AF127" s="21"/>
      <c r="AG127" s="21"/>
      <c r="AH127" s="21"/>
      <c r="AI127" s="88"/>
    </row>
    <row r="128" spans="1:42" ht="21">
      <c r="A128" s="66"/>
      <c r="B128" s="351" t="s">
        <v>154</v>
      </c>
      <c r="C128" s="351"/>
      <c r="D128" s="351" t="s">
        <v>155</v>
      </c>
      <c r="E128" s="351"/>
      <c r="F128" s="351" t="s">
        <v>156</v>
      </c>
      <c r="G128" s="351"/>
      <c r="H128" s="96" t="s">
        <v>157</v>
      </c>
      <c r="J128" s="66"/>
      <c r="K128" s="351" t="s">
        <v>154</v>
      </c>
      <c r="L128" s="351"/>
      <c r="M128" s="351" t="s">
        <v>155</v>
      </c>
      <c r="N128" s="351"/>
      <c r="O128" s="351" t="s">
        <v>156</v>
      </c>
      <c r="P128" s="351"/>
      <c r="Q128" s="96" t="s">
        <v>157</v>
      </c>
      <c r="S128" s="66"/>
      <c r="T128" s="351" t="s">
        <v>154</v>
      </c>
      <c r="U128" s="351"/>
      <c r="V128" s="351" t="s">
        <v>155</v>
      </c>
      <c r="W128" s="351"/>
      <c r="X128" s="351" t="s">
        <v>156</v>
      </c>
      <c r="Y128" s="351"/>
      <c r="Z128" s="96" t="s">
        <v>157</v>
      </c>
      <c r="AB128" s="66"/>
      <c r="AC128" s="351" t="s">
        <v>154</v>
      </c>
      <c r="AD128" s="351"/>
      <c r="AE128" s="351" t="s">
        <v>155</v>
      </c>
      <c r="AF128" s="351"/>
      <c r="AG128" s="351" t="s">
        <v>156</v>
      </c>
      <c r="AH128" s="351"/>
      <c r="AI128" s="96" t="s">
        <v>157</v>
      </c>
    </row>
    <row r="129" spans="1:35" ht="21">
      <c r="A129" s="68"/>
      <c r="B129" s="97" t="s">
        <v>158</v>
      </c>
      <c r="C129" s="98" t="s">
        <v>159</v>
      </c>
      <c r="D129" s="97" t="s">
        <v>158</v>
      </c>
      <c r="E129" s="99" t="s">
        <v>159</v>
      </c>
      <c r="F129" s="97" t="s">
        <v>158</v>
      </c>
      <c r="G129" s="99" t="s">
        <v>159</v>
      </c>
      <c r="H129" s="100"/>
      <c r="J129" s="68"/>
      <c r="K129" s="97" t="s">
        <v>158</v>
      </c>
      <c r="L129" s="98" t="s">
        <v>159</v>
      </c>
      <c r="M129" s="97" t="s">
        <v>158</v>
      </c>
      <c r="N129" s="99" t="s">
        <v>159</v>
      </c>
      <c r="O129" s="97" t="s">
        <v>158</v>
      </c>
      <c r="P129" s="99" t="s">
        <v>159</v>
      </c>
      <c r="Q129" s="100"/>
      <c r="S129" s="68"/>
      <c r="T129" s="97" t="s">
        <v>158</v>
      </c>
      <c r="U129" s="98" t="s">
        <v>159</v>
      </c>
      <c r="V129" s="97" t="s">
        <v>158</v>
      </c>
      <c r="W129" s="99" t="s">
        <v>159</v>
      </c>
      <c r="X129" s="97" t="s">
        <v>158</v>
      </c>
      <c r="Y129" s="99" t="s">
        <v>159</v>
      </c>
      <c r="Z129" s="100"/>
      <c r="AB129" s="68"/>
      <c r="AC129" s="97" t="s">
        <v>158</v>
      </c>
      <c r="AD129" s="98" t="s">
        <v>159</v>
      </c>
      <c r="AE129" s="97" t="s">
        <v>158</v>
      </c>
      <c r="AF129" s="99" t="s">
        <v>159</v>
      </c>
      <c r="AG129" s="97" t="s">
        <v>158</v>
      </c>
      <c r="AH129" s="99" t="s">
        <v>159</v>
      </c>
      <c r="AI129" s="100"/>
    </row>
    <row r="130" spans="1:35">
      <c r="A130" s="22" t="s">
        <v>160</v>
      </c>
      <c r="B130" s="22">
        <f>B3</f>
        <v>56579.17</v>
      </c>
      <c r="C130" s="36">
        <f>B130</f>
        <v>56579.17</v>
      </c>
      <c r="D130" s="22">
        <f>D3</f>
        <v>0</v>
      </c>
      <c r="E130" s="36">
        <f>D130</f>
        <v>0</v>
      </c>
      <c r="F130" s="22">
        <f>F3</f>
        <v>833.33</v>
      </c>
      <c r="G130" s="36">
        <f>F130</f>
        <v>833.33</v>
      </c>
      <c r="H130" s="101">
        <f>H3</f>
        <v>0</v>
      </c>
      <c r="J130" s="22" t="s">
        <v>160</v>
      </c>
      <c r="K130" s="22">
        <f>B3</f>
        <v>56579.17</v>
      </c>
      <c r="L130" s="36">
        <v>28629.17</v>
      </c>
      <c r="M130" s="22">
        <f>D3</f>
        <v>0</v>
      </c>
      <c r="N130" s="36">
        <f>M130</f>
        <v>0</v>
      </c>
      <c r="O130" s="22">
        <f>F3</f>
        <v>833.33</v>
      </c>
      <c r="P130" s="36">
        <f>O130</f>
        <v>833.33</v>
      </c>
      <c r="Q130" s="101">
        <f>H3</f>
        <v>0</v>
      </c>
      <c r="S130" s="22" t="s">
        <v>160</v>
      </c>
      <c r="T130" s="22">
        <f>B3</f>
        <v>56579.17</v>
      </c>
      <c r="U130" s="36">
        <f>T130</f>
        <v>56579.17</v>
      </c>
      <c r="V130" s="22">
        <f>D3</f>
        <v>0</v>
      </c>
      <c r="W130" s="36">
        <f>V130</f>
        <v>0</v>
      </c>
      <c r="X130" s="22">
        <f>F3</f>
        <v>833.33</v>
      </c>
      <c r="Y130" s="36">
        <f>X130</f>
        <v>833.33</v>
      </c>
      <c r="Z130" s="101">
        <f>H3</f>
        <v>0</v>
      </c>
      <c r="AB130" s="22" t="s">
        <v>160</v>
      </c>
      <c r="AC130" s="22">
        <f>B3</f>
        <v>56579.17</v>
      </c>
      <c r="AD130" s="36">
        <f>AC130</f>
        <v>56579.17</v>
      </c>
      <c r="AE130" s="22">
        <f>D3</f>
        <v>0</v>
      </c>
      <c r="AF130" s="36">
        <f>AE130</f>
        <v>0</v>
      </c>
      <c r="AG130" s="22">
        <f>F3</f>
        <v>833.33</v>
      </c>
      <c r="AH130" s="36">
        <f>AG130</f>
        <v>833.33</v>
      </c>
      <c r="AI130" s="101">
        <f>H3</f>
        <v>0</v>
      </c>
    </row>
    <row r="131" spans="1:35">
      <c r="A131" s="27" t="s">
        <v>161</v>
      </c>
      <c r="B131" s="102">
        <f>B4</f>
        <v>2</v>
      </c>
      <c r="C131" s="323">
        <f>B131</f>
        <v>2</v>
      </c>
      <c r="D131" s="102">
        <f>D4</f>
        <v>0</v>
      </c>
      <c r="E131" s="106">
        <f>D131</f>
        <v>0</v>
      </c>
      <c r="F131" s="102">
        <f>F4</f>
        <v>2</v>
      </c>
      <c r="G131" s="106">
        <f>F131</f>
        <v>2</v>
      </c>
      <c r="H131" s="105"/>
      <c r="J131" s="27" t="s">
        <v>161</v>
      </c>
      <c r="K131" s="102">
        <f>B4</f>
        <v>2</v>
      </c>
      <c r="L131" s="106">
        <v>0</v>
      </c>
      <c r="M131" s="102">
        <f>D4</f>
        <v>0</v>
      </c>
      <c r="N131" s="106">
        <f>M131</f>
        <v>0</v>
      </c>
      <c r="O131" s="102">
        <f>F4</f>
        <v>2</v>
      </c>
      <c r="P131" s="106">
        <f>O131</f>
        <v>2</v>
      </c>
      <c r="Q131" s="105"/>
      <c r="S131" s="27" t="s">
        <v>161</v>
      </c>
      <c r="T131" s="102">
        <f>B4</f>
        <v>2</v>
      </c>
      <c r="U131" s="106">
        <v>0.25</v>
      </c>
      <c r="V131" s="102">
        <f>D4</f>
        <v>0</v>
      </c>
      <c r="W131" s="106">
        <f>V131</f>
        <v>0</v>
      </c>
      <c r="X131" s="102">
        <f>F4</f>
        <v>2</v>
      </c>
      <c r="Y131" s="106">
        <f>X131</f>
        <v>2</v>
      </c>
      <c r="Z131" s="105"/>
      <c r="AB131" s="27" t="s">
        <v>161</v>
      </c>
      <c r="AC131" s="102">
        <f>B4</f>
        <v>2</v>
      </c>
      <c r="AD131" s="106">
        <v>0.25</v>
      </c>
      <c r="AE131" s="102">
        <f>D4</f>
        <v>0</v>
      </c>
      <c r="AF131" s="106">
        <f>AE131</f>
        <v>0</v>
      </c>
      <c r="AG131" s="102">
        <f>F4</f>
        <v>2</v>
      </c>
      <c r="AH131" s="106">
        <f>AG131</f>
        <v>2</v>
      </c>
      <c r="AI131" s="105"/>
    </row>
    <row r="132" spans="1:35">
      <c r="A132" s="27" t="s">
        <v>162</v>
      </c>
      <c r="B132" s="27">
        <f>B5</f>
        <v>0</v>
      </c>
      <c r="C132" s="36">
        <f>B132</f>
        <v>0</v>
      </c>
      <c r="D132" s="27">
        <f>D5</f>
        <v>0</v>
      </c>
      <c r="E132" s="36">
        <f>D132</f>
        <v>0</v>
      </c>
      <c r="F132" s="27">
        <f>F5</f>
        <v>0</v>
      </c>
      <c r="G132" s="36">
        <f>F132</f>
        <v>0</v>
      </c>
      <c r="H132" s="29"/>
      <c r="J132" s="27" t="s">
        <v>162</v>
      </c>
      <c r="K132" s="27">
        <f>B5</f>
        <v>0</v>
      </c>
      <c r="L132" s="36">
        <v>0</v>
      </c>
      <c r="M132" s="27">
        <f>D5</f>
        <v>0</v>
      </c>
      <c r="N132" s="36">
        <f>M132</f>
        <v>0</v>
      </c>
      <c r="O132" s="27">
        <f>F5</f>
        <v>0</v>
      </c>
      <c r="P132" s="36">
        <f>O132</f>
        <v>0</v>
      </c>
      <c r="Q132" s="29"/>
      <c r="S132" s="27" t="s">
        <v>162</v>
      </c>
      <c r="T132" s="27">
        <f>B5</f>
        <v>0</v>
      </c>
      <c r="U132" s="36">
        <v>0</v>
      </c>
      <c r="V132" s="27">
        <f>D5</f>
        <v>0</v>
      </c>
      <c r="W132" s="36">
        <f>V132</f>
        <v>0</v>
      </c>
      <c r="X132" s="27">
        <f>F5</f>
        <v>0</v>
      </c>
      <c r="Y132" s="36">
        <f>X132</f>
        <v>0</v>
      </c>
      <c r="Z132" s="29"/>
      <c r="AB132" s="27" t="s">
        <v>162</v>
      </c>
      <c r="AC132" s="27">
        <f>B5</f>
        <v>0</v>
      </c>
      <c r="AD132" s="36">
        <v>0</v>
      </c>
      <c r="AE132" s="27">
        <f>D5</f>
        <v>0</v>
      </c>
      <c r="AF132" s="36">
        <f>AE132</f>
        <v>0</v>
      </c>
      <c r="AG132" s="27">
        <f>F5</f>
        <v>0</v>
      </c>
      <c r="AH132" s="36">
        <f>AG132</f>
        <v>0</v>
      </c>
      <c r="AI132" s="29"/>
    </row>
    <row r="133" spans="1:35">
      <c r="A133" s="27" t="s">
        <v>163</v>
      </c>
      <c r="B133" s="27">
        <f>(B130*B131)+B132</f>
        <v>113158.34</v>
      </c>
      <c r="C133" s="24">
        <f>(C130*C131/100)+C132</f>
        <v>1131.5834</v>
      </c>
      <c r="D133" s="27">
        <f>(D130*D131)+D132</f>
        <v>0</v>
      </c>
      <c r="E133" s="24">
        <f>(E130*E131/100)+E132</f>
        <v>0</v>
      </c>
      <c r="F133" s="27">
        <f>(F130*F131)+F132</f>
        <v>1666.66</v>
      </c>
      <c r="G133" s="24">
        <f>(G130*G131/100)+G132</f>
        <v>16.666600000000003</v>
      </c>
      <c r="H133" s="29"/>
      <c r="J133" s="27" t="s">
        <v>163</v>
      </c>
      <c r="K133" s="27">
        <f t="shared" ref="K133:P133" si="0">(K130*K131)+K132</f>
        <v>113158.34</v>
      </c>
      <c r="L133" s="24">
        <f t="shared" si="0"/>
        <v>0</v>
      </c>
      <c r="M133" s="27">
        <f t="shared" si="0"/>
        <v>0</v>
      </c>
      <c r="N133" s="24">
        <f t="shared" si="0"/>
        <v>0</v>
      </c>
      <c r="O133" s="27">
        <f t="shared" si="0"/>
        <v>1666.66</v>
      </c>
      <c r="P133" s="24">
        <f t="shared" si="0"/>
        <v>1666.66</v>
      </c>
      <c r="Q133" s="29"/>
      <c r="S133" s="27" t="s">
        <v>163</v>
      </c>
      <c r="T133" s="27">
        <f t="shared" ref="T133:Y133" si="1">(T130*T131)+T132</f>
        <v>113158.34</v>
      </c>
      <c r="U133" s="24">
        <f t="shared" si="1"/>
        <v>14144.7925</v>
      </c>
      <c r="V133" s="27">
        <f t="shared" si="1"/>
        <v>0</v>
      </c>
      <c r="W133" s="24">
        <f t="shared" si="1"/>
        <v>0</v>
      </c>
      <c r="X133" s="27">
        <f t="shared" si="1"/>
        <v>1666.66</v>
      </c>
      <c r="Y133" s="24">
        <f t="shared" si="1"/>
        <v>1666.66</v>
      </c>
      <c r="Z133" s="29"/>
      <c r="AB133" s="27" t="s">
        <v>163</v>
      </c>
      <c r="AC133" s="27">
        <f t="shared" ref="AC133:AH133" si="2">(AC130*AC131)+AC132</f>
        <v>113158.34</v>
      </c>
      <c r="AD133" s="24">
        <f t="shared" si="2"/>
        <v>14144.7925</v>
      </c>
      <c r="AE133" s="27">
        <f t="shared" si="2"/>
        <v>0</v>
      </c>
      <c r="AF133" s="24">
        <f t="shared" si="2"/>
        <v>0</v>
      </c>
      <c r="AG133" s="27">
        <f t="shared" si="2"/>
        <v>1666.66</v>
      </c>
      <c r="AH133" s="24">
        <f t="shared" si="2"/>
        <v>1666.66</v>
      </c>
      <c r="AI133" s="29"/>
    </row>
    <row r="134" spans="1:35">
      <c r="A134" s="49" t="s">
        <v>164</v>
      </c>
      <c r="B134" s="49">
        <f t="shared" ref="B134:G134" si="3">B130-B133</f>
        <v>-56579.17</v>
      </c>
      <c r="C134" s="57">
        <f t="shared" si="3"/>
        <v>55447.586599999995</v>
      </c>
      <c r="D134" s="49">
        <f t="shared" si="3"/>
        <v>0</v>
      </c>
      <c r="E134" s="57">
        <f t="shared" si="3"/>
        <v>0</v>
      </c>
      <c r="F134" s="49">
        <f t="shared" si="3"/>
        <v>-833.33</v>
      </c>
      <c r="G134" s="57">
        <f t="shared" si="3"/>
        <v>816.66340000000002</v>
      </c>
      <c r="H134" s="57"/>
      <c r="J134" s="49" t="s">
        <v>164</v>
      </c>
      <c r="K134" s="49">
        <f t="shared" ref="K134:P134" si="4">K130-K133</f>
        <v>-56579.17</v>
      </c>
      <c r="L134" s="57">
        <f t="shared" si="4"/>
        <v>28629.17</v>
      </c>
      <c r="M134" s="49">
        <f t="shared" si="4"/>
        <v>0</v>
      </c>
      <c r="N134" s="57">
        <f t="shared" si="4"/>
        <v>0</v>
      </c>
      <c r="O134" s="49">
        <f t="shared" si="4"/>
        <v>-833.33</v>
      </c>
      <c r="P134" s="57">
        <f t="shared" si="4"/>
        <v>-833.33</v>
      </c>
      <c r="Q134" s="57"/>
      <c r="S134" s="49" t="s">
        <v>164</v>
      </c>
      <c r="T134" s="49">
        <f t="shared" ref="T134:Y134" si="5">T130-T133</f>
        <v>-56579.17</v>
      </c>
      <c r="U134" s="57">
        <f t="shared" si="5"/>
        <v>42434.377500000002</v>
      </c>
      <c r="V134" s="49">
        <f t="shared" si="5"/>
        <v>0</v>
      </c>
      <c r="W134" s="57">
        <f t="shared" si="5"/>
        <v>0</v>
      </c>
      <c r="X134" s="49">
        <f t="shared" si="5"/>
        <v>-833.33</v>
      </c>
      <c r="Y134" s="57">
        <f t="shared" si="5"/>
        <v>-833.33</v>
      </c>
      <c r="Z134" s="57"/>
      <c r="AB134" s="49" t="s">
        <v>164</v>
      </c>
      <c r="AC134" s="49">
        <f t="shared" ref="AC134:AH134" si="6">AC130-AC133</f>
        <v>-56579.17</v>
      </c>
      <c r="AD134" s="57">
        <f t="shared" si="6"/>
        <v>42434.377500000002</v>
      </c>
      <c r="AE134" s="49">
        <f t="shared" si="6"/>
        <v>0</v>
      </c>
      <c r="AF134" s="57">
        <f t="shared" si="6"/>
        <v>0</v>
      </c>
      <c r="AG134" s="49">
        <f t="shared" si="6"/>
        <v>-833.33</v>
      </c>
      <c r="AH134" s="57">
        <f t="shared" si="6"/>
        <v>-833.33</v>
      </c>
      <c r="AI134" s="57"/>
    </row>
    <row r="135" spans="1:35">
      <c r="A135" s="27"/>
      <c r="B135" s="28"/>
      <c r="C135" s="28"/>
      <c r="D135" s="28"/>
      <c r="E135" s="28"/>
      <c r="F135" s="28"/>
      <c r="G135" s="28"/>
      <c r="H135" s="29"/>
      <c r="J135" s="27"/>
      <c r="K135" s="28"/>
      <c r="L135" s="28"/>
      <c r="M135" s="28"/>
      <c r="N135" s="28"/>
      <c r="O135" s="28"/>
      <c r="P135" s="28"/>
      <c r="Q135" s="29"/>
      <c r="S135" s="27"/>
      <c r="T135" s="28"/>
      <c r="U135" s="28"/>
      <c r="V135" s="28"/>
      <c r="W135" s="28"/>
      <c r="X135" s="28"/>
      <c r="Y135" s="28"/>
      <c r="Z135" s="29"/>
      <c r="AB135" s="27"/>
      <c r="AC135" s="28"/>
      <c r="AD135" s="28"/>
      <c r="AE135" s="28"/>
      <c r="AF135" s="28"/>
      <c r="AG135" s="28"/>
      <c r="AH135" s="28"/>
      <c r="AI135" s="29"/>
    </row>
    <row r="136" spans="1:35" ht="21">
      <c r="A136" s="107"/>
      <c r="B136" s="108"/>
      <c r="C136" s="108"/>
      <c r="D136" s="108"/>
      <c r="E136" s="108"/>
      <c r="F136" s="108"/>
      <c r="G136" s="109" t="s">
        <v>158</v>
      </c>
      <c r="H136" s="110" t="s">
        <v>159</v>
      </c>
      <c r="J136" s="107"/>
      <c r="K136" s="108"/>
      <c r="L136" s="108"/>
      <c r="M136" s="108"/>
      <c r="N136" s="108"/>
      <c r="O136" s="108"/>
      <c r="P136" s="109" t="s">
        <v>158</v>
      </c>
      <c r="Q136" s="110" t="s">
        <v>159</v>
      </c>
      <c r="S136" s="107"/>
      <c r="T136" s="108"/>
      <c r="U136" s="108"/>
      <c r="V136" s="108"/>
      <c r="W136" s="108"/>
      <c r="X136" s="108"/>
      <c r="Y136" s="109" t="s">
        <v>158</v>
      </c>
      <c r="Z136" s="110" t="s">
        <v>159</v>
      </c>
      <c r="AB136" s="107"/>
      <c r="AC136" s="108"/>
      <c r="AD136" s="108"/>
      <c r="AE136" s="108"/>
      <c r="AF136" s="108"/>
      <c r="AG136" s="108"/>
      <c r="AH136" s="109" t="s">
        <v>158</v>
      </c>
      <c r="AI136" s="110" t="s">
        <v>159</v>
      </c>
    </row>
    <row r="137" spans="1:35">
      <c r="A137" s="111" t="s">
        <v>165</v>
      </c>
      <c r="B137" s="112"/>
      <c r="C137" s="112"/>
      <c r="D137" s="112"/>
      <c r="E137" s="112"/>
      <c r="F137" s="112"/>
      <c r="G137" s="113">
        <f>H130</f>
        <v>0</v>
      </c>
      <c r="H137" s="114">
        <f>SUM(H140:H142)</f>
        <v>0</v>
      </c>
      <c r="J137" s="111" t="s">
        <v>165</v>
      </c>
      <c r="K137" s="112"/>
      <c r="L137" s="112"/>
      <c r="M137" s="112"/>
      <c r="N137" s="112"/>
      <c r="O137" s="112"/>
      <c r="P137" s="113">
        <f>Q130</f>
        <v>0</v>
      </c>
      <c r="Q137" s="114">
        <f>SUM(Q140:Q142)</f>
        <v>0</v>
      </c>
      <c r="S137" s="111" t="s">
        <v>165</v>
      </c>
      <c r="T137" s="112"/>
      <c r="U137" s="112"/>
      <c r="V137" s="112"/>
      <c r="W137" s="112"/>
      <c r="X137" s="112"/>
      <c r="Y137" s="113">
        <f>Z130</f>
        <v>0</v>
      </c>
      <c r="Z137" s="114">
        <f>SUM(Z140:Z142)</f>
        <v>0</v>
      </c>
      <c r="AB137" s="111" t="s">
        <v>165</v>
      </c>
      <c r="AC137" s="112"/>
      <c r="AD137" s="112"/>
      <c r="AE137" s="112"/>
      <c r="AF137" s="112"/>
      <c r="AG137" s="112"/>
      <c r="AH137" s="113">
        <f>AI130</f>
        <v>0</v>
      </c>
      <c r="AI137" s="114">
        <f>SUM(AI140:AI142)</f>
        <v>0</v>
      </c>
    </row>
    <row r="138" spans="1:35">
      <c r="A138" s="27"/>
      <c r="B138" s="28"/>
      <c r="C138" s="28"/>
      <c r="D138" s="28"/>
      <c r="E138" s="28"/>
      <c r="F138" s="28"/>
      <c r="G138" s="115"/>
      <c r="H138" s="116"/>
      <c r="J138" s="27"/>
      <c r="K138" s="28"/>
      <c r="L138" s="28"/>
      <c r="M138" s="28"/>
      <c r="N138" s="28"/>
      <c r="O138" s="28"/>
      <c r="P138" s="115"/>
      <c r="Q138" s="116"/>
      <c r="S138" s="27"/>
      <c r="T138" s="28"/>
      <c r="U138" s="28"/>
      <c r="V138" s="28"/>
      <c r="W138" s="28"/>
      <c r="X138" s="28"/>
      <c r="Y138" s="115"/>
      <c r="Z138" s="116"/>
      <c r="AB138" s="27"/>
      <c r="AC138" s="28"/>
      <c r="AD138" s="28"/>
      <c r="AE138" s="28"/>
      <c r="AF138" s="28"/>
      <c r="AG138" s="28"/>
      <c r="AH138" s="115"/>
      <c r="AI138" s="116"/>
    </row>
    <row r="139" spans="1:35">
      <c r="A139" s="117" t="s">
        <v>166</v>
      </c>
      <c r="B139" s="352" t="s">
        <v>167</v>
      </c>
      <c r="C139" s="352"/>
      <c r="D139" s="352" t="s">
        <v>168</v>
      </c>
      <c r="E139" s="352"/>
      <c r="F139" s="352" t="s">
        <v>162</v>
      </c>
      <c r="G139" s="352"/>
      <c r="H139" s="116" t="s">
        <v>159</v>
      </c>
      <c r="J139" s="117" t="s">
        <v>166</v>
      </c>
      <c r="K139" s="353" t="s">
        <v>167</v>
      </c>
      <c r="L139" s="353"/>
      <c r="M139" s="352" t="s">
        <v>168</v>
      </c>
      <c r="N139" s="352"/>
      <c r="O139" s="352" t="s">
        <v>162</v>
      </c>
      <c r="P139" s="352"/>
      <c r="Q139" s="116" t="s">
        <v>159</v>
      </c>
      <c r="S139" s="117" t="s">
        <v>166</v>
      </c>
      <c r="T139" s="352" t="s">
        <v>167</v>
      </c>
      <c r="U139" s="352"/>
      <c r="V139" s="352" t="s">
        <v>168</v>
      </c>
      <c r="W139" s="352"/>
      <c r="X139" s="352" t="s">
        <v>162</v>
      </c>
      <c r="Y139" s="352"/>
      <c r="Z139" s="116" t="s">
        <v>159</v>
      </c>
      <c r="AB139" s="117" t="s">
        <v>166</v>
      </c>
      <c r="AC139" s="352" t="s">
        <v>167</v>
      </c>
      <c r="AD139" s="352"/>
      <c r="AE139" s="352" t="s">
        <v>168</v>
      </c>
      <c r="AF139" s="352"/>
      <c r="AG139" s="352" t="s">
        <v>162</v>
      </c>
      <c r="AH139" s="352"/>
      <c r="AI139" s="116" t="s">
        <v>159</v>
      </c>
    </row>
    <row r="140" spans="1:35">
      <c r="A140" s="27" t="s">
        <v>169</v>
      </c>
      <c r="B140" s="354">
        <f>G137</f>
        <v>0</v>
      </c>
      <c r="C140" s="354"/>
      <c r="D140" s="355">
        <v>0</v>
      </c>
      <c r="E140" s="355"/>
      <c r="F140" s="354">
        <v>0</v>
      </c>
      <c r="G140" s="354"/>
      <c r="H140" s="119">
        <f>(B140-(B140*D140))-F140</f>
        <v>0</v>
      </c>
      <c r="J140" s="27" t="s">
        <v>169</v>
      </c>
      <c r="K140" s="354">
        <f>P137</f>
        <v>0</v>
      </c>
      <c r="L140" s="354"/>
      <c r="M140" s="355">
        <v>0</v>
      </c>
      <c r="N140" s="355"/>
      <c r="O140" s="354">
        <v>0</v>
      </c>
      <c r="P140" s="354"/>
      <c r="Q140" s="119">
        <f>(K140-(K140*M140))-O140</f>
        <v>0</v>
      </c>
      <c r="S140" s="27" t="s">
        <v>169</v>
      </c>
      <c r="T140" s="354">
        <f>Y137</f>
        <v>0</v>
      </c>
      <c r="U140" s="354"/>
      <c r="V140" s="355">
        <v>0</v>
      </c>
      <c r="W140" s="355"/>
      <c r="X140" s="354">
        <v>0</v>
      </c>
      <c r="Y140" s="354"/>
      <c r="Z140" s="119">
        <f>(T140-(T140*V140))-X140</f>
        <v>0</v>
      </c>
      <c r="AB140" s="27" t="s">
        <v>169</v>
      </c>
      <c r="AC140" s="354">
        <f>AH137</f>
        <v>0</v>
      </c>
      <c r="AD140" s="354"/>
      <c r="AE140" s="355">
        <v>0</v>
      </c>
      <c r="AF140" s="355"/>
      <c r="AG140" s="354">
        <v>0</v>
      </c>
      <c r="AH140" s="354"/>
      <c r="AI140" s="119">
        <f>(AC140-(AC140*AE140))-AG140</f>
        <v>0</v>
      </c>
    </row>
    <row r="141" spans="1:35">
      <c r="A141" s="27" t="s">
        <v>170</v>
      </c>
      <c r="B141" s="354">
        <v>0</v>
      </c>
      <c r="C141" s="354"/>
      <c r="D141" s="355">
        <v>0</v>
      </c>
      <c r="E141" s="355"/>
      <c r="F141" s="354">
        <v>0</v>
      </c>
      <c r="G141" s="354"/>
      <c r="H141" s="119">
        <f>(B141-(B141*D141))-F141</f>
        <v>0</v>
      </c>
      <c r="J141" s="27" t="s">
        <v>170</v>
      </c>
      <c r="K141" s="354">
        <v>0</v>
      </c>
      <c r="L141" s="354"/>
      <c r="M141" s="355">
        <v>0</v>
      </c>
      <c r="N141" s="355"/>
      <c r="O141" s="354">
        <v>0</v>
      </c>
      <c r="P141" s="354"/>
      <c r="Q141" s="119">
        <f>(K141-(K141*M141))-O141</f>
        <v>0</v>
      </c>
      <c r="S141" s="27" t="s">
        <v>170</v>
      </c>
      <c r="T141" s="354">
        <v>0</v>
      </c>
      <c r="U141" s="354"/>
      <c r="V141" s="355">
        <v>0</v>
      </c>
      <c r="W141" s="355"/>
      <c r="X141" s="354">
        <v>0</v>
      </c>
      <c r="Y141" s="354"/>
      <c r="Z141" s="119">
        <f>(T141-(T141*V141))-X141</f>
        <v>0</v>
      </c>
      <c r="AB141" s="27" t="s">
        <v>170</v>
      </c>
      <c r="AC141" s="354">
        <v>0</v>
      </c>
      <c r="AD141" s="354"/>
      <c r="AE141" s="355">
        <v>0</v>
      </c>
      <c r="AF141" s="355"/>
      <c r="AG141" s="354">
        <v>0</v>
      </c>
      <c r="AH141" s="354"/>
      <c r="AI141" s="119">
        <f>(AC141-(AC141*AE141))-AG141</f>
        <v>0</v>
      </c>
    </row>
    <row r="142" spans="1:35">
      <c r="A142" s="27" t="s">
        <v>171</v>
      </c>
      <c r="B142" s="354">
        <v>0</v>
      </c>
      <c r="C142" s="354"/>
      <c r="D142" s="355">
        <v>0</v>
      </c>
      <c r="E142" s="355"/>
      <c r="F142" s="354">
        <v>0</v>
      </c>
      <c r="G142" s="354"/>
      <c r="H142" s="119">
        <f>(B142-(B142*D142))-F142</f>
        <v>0</v>
      </c>
      <c r="J142" s="27" t="s">
        <v>171</v>
      </c>
      <c r="K142" s="354">
        <v>0</v>
      </c>
      <c r="L142" s="354"/>
      <c r="M142" s="355">
        <v>0</v>
      </c>
      <c r="N142" s="355"/>
      <c r="O142" s="354">
        <v>0</v>
      </c>
      <c r="P142" s="354"/>
      <c r="Q142" s="119">
        <f>(K142-(K142*M142))-O142</f>
        <v>0</v>
      </c>
      <c r="S142" s="27" t="s">
        <v>171</v>
      </c>
      <c r="T142" s="354">
        <v>0</v>
      </c>
      <c r="U142" s="354"/>
      <c r="V142" s="355">
        <v>0</v>
      </c>
      <c r="W142" s="355"/>
      <c r="X142" s="354">
        <v>0</v>
      </c>
      <c r="Y142" s="354"/>
      <c r="Z142" s="119">
        <f>(T142-(T142*V142))-X142</f>
        <v>0</v>
      </c>
      <c r="AB142" s="27" t="s">
        <v>171</v>
      </c>
      <c r="AC142" s="354">
        <v>0</v>
      </c>
      <c r="AD142" s="354"/>
      <c r="AE142" s="355">
        <v>0</v>
      </c>
      <c r="AF142" s="355"/>
      <c r="AG142" s="354">
        <v>0</v>
      </c>
      <c r="AH142" s="354"/>
      <c r="AI142" s="119">
        <f>(AC142-(AC142*AE142))-AG142</f>
        <v>0</v>
      </c>
    </row>
    <row r="143" spans="1:35">
      <c r="A143" s="27"/>
      <c r="B143" s="28"/>
      <c r="C143" s="28"/>
      <c r="D143" s="28"/>
      <c r="E143" s="28"/>
      <c r="F143" s="28"/>
      <c r="G143" s="115"/>
      <c r="H143" s="116"/>
      <c r="J143" s="27"/>
      <c r="K143" s="28"/>
      <c r="L143" s="28"/>
      <c r="M143" s="28"/>
      <c r="N143" s="28"/>
      <c r="O143" s="28"/>
      <c r="P143" s="115"/>
      <c r="Q143" s="116"/>
      <c r="S143" s="27"/>
      <c r="T143" s="28"/>
      <c r="U143" s="28"/>
      <c r="V143" s="28"/>
      <c r="W143" s="28"/>
      <c r="X143" s="28"/>
      <c r="Y143" s="115"/>
      <c r="Z143" s="116"/>
      <c r="AB143" s="27"/>
      <c r="AC143" s="28"/>
      <c r="AD143" s="28"/>
      <c r="AE143" s="28"/>
      <c r="AF143" s="28"/>
      <c r="AG143" s="28"/>
      <c r="AH143" s="115"/>
      <c r="AI143" s="116"/>
    </row>
    <row r="144" spans="1:35" ht="21">
      <c r="A144" s="356" t="s">
        <v>172</v>
      </c>
      <c r="B144" s="356"/>
      <c r="C144" s="356"/>
      <c r="D144" s="356"/>
      <c r="E144" s="356"/>
      <c r="F144" s="356"/>
      <c r="G144" s="109">
        <f t="shared" ref="G144:G151" si="7">H9</f>
        <v>56264.249999999993</v>
      </c>
      <c r="H144" s="120">
        <f>C134+E134+G134+H137</f>
        <v>56264.249999999993</v>
      </c>
      <c r="J144" s="356" t="s">
        <v>172</v>
      </c>
      <c r="K144" s="356"/>
      <c r="L144" s="356"/>
      <c r="M144" s="356"/>
      <c r="N144" s="356"/>
      <c r="O144" s="356"/>
      <c r="P144" s="109">
        <f t="shared" ref="P144:P151" si="8">H9</f>
        <v>56264.249999999993</v>
      </c>
      <c r="Q144" s="120">
        <f>L134+N134+P134+Q137</f>
        <v>27795.839999999997</v>
      </c>
      <c r="S144" s="356" t="s">
        <v>172</v>
      </c>
      <c r="T144" s="356"/>
      <c r="U144" s="356"/>
      <c r="V144" s="356"/>
      <c r="W144" s="356"/>
      <c r="X144" s="356"/>
      <c r="Y144" s="109">
        <f t="shared" ref="Y144:Y151" si="9">H9</f>
        <v>56264.249999999993</v>
      </c>
      <c r="Z144" s="120">
        <f>U134+W134+Y134+Z137</f>
        <v>41601.047500000001</v>
      </c>
      <c r="AB144" s="356" t="s">
        <v>172</v>
      </c>
      <c r="AC144" s="356"/>
      <c r="AD144" s="356"/>
      <c r="AE144" s="356"/>
      <c r="AF144" s="356"/>
      <c r="AG144" s="356"/>
      <c r="AH144" s="109">
        <f t="shared" ref="AH144:AH151" si="10">H9</f>
        <v>56264.249999999993</v>
      </c>
      <c r="AI144" s="120">
        <f>AD134+AF134+AH134+AI137</f>
        <v>41601.047500000001</v>
      </c>
    </row>
    <row r="145" spans="1:35">
      <c r="A145" s="357" t="s">
        <v>173</v>
      </c>
      <c r="B145" s="357"/>
      <c r="C145" s="357"/>
      <c r="D145" s="357"/>
      <c r="E145" s="357"/>
      <c r="F145" s="357"/>
      <c r="G145" s="121">
        <f t="shared" si="7"/>
        <v>150</v>
      </c>
      <c r="H145" s="29">
        <f>G145</f>
        <v>150</v>
      </c>
      <c r="J145" s="357" t="s">
        <v>173</v>
      </c>
      <c r="K145" s="357"/>
      <c r="L145" s="357"/>
      <c r="M145" s="357"/>
      <c r="N145" s="357"/>
      <c r="O145" s="357"/>
      <c r="P145" s="121">
        <f t="shared" si="8"/>
        <v>150</v>
      </c>
      <c r="Q145" s="29">
        <f>P145</f>
        <v>150</v>
      </c>
      <c r="S145" s="357" t="s">
        <v>173</v>
      </c>
      <c r="T145" s="357"/>
      <c r="U145" s="357"/>
      <c r="V145" s="357"/>
      <c r="W145" s="357"/>
      <c r="X145" s="357"/>
      <c r="Y145" s="121">
        <f t="shared" si="9"/>
        <v>150</v>
      </c>
      <c r="Z145" s="29">
        <f>Y145</f>
        <v>150</v>
      </c>
      <c r="AB145" s="357" t="s">
        <v>173</v>
      </c>
      <c r="AC145" s="357"/>
      <c r="AD145" s="357"/>
      <c r="AE145" s="357"/>
      <c r="AF145" s="357"/>
      <c r="AG145" s="357"/>
      <c r="AH145" s="121">
        <f t="shared" si="10"/>
        <v>150</v>
      </c>
      <c r="AI145" s="29">
        <f>AH145</f>
        <v>150</v>
      </c>
    </row>
    <row r="146" spans="1:35">
      <c r="A146" s="357" t="s">
        <v>174</v>
      </c>
      <c r="B146" s="357"/>
      <c r="C146" s="357"/>
      <c r="D146" s="357"/>
      <c r="E146" s="357"/>
      <c r="F146" s="357"/>
      <c r="G146" s="121">
        <f t="shared" si="7"/>
        <v>11282.849999999999</v>
      </c>
      <c r="H146" s="29">
        <f>(H144+H145)*20%</f>
        <v>11282.849999999999</v>
      </c>
      <c r="J146" s="357" t="s">
        <v>174</v>
      </c>
      <c r="K146" s="357"/>
      <c r="L146" s="357"/>
      <c r="M146" s="357"/>
      <c r="N146" s="357"/>
      <c r="O146" s="357"/>
      <c r="P146" s="121">
        <f t="shared" si="8"/>
        <v>11282.849999999999</v>
      </c>
      <c r="Q146" s="29">
        <f>(Q144+Q145)*20%</f>
        <v>5589.1679999999997</v>
      </c>
      <c r="S146" s="357" t="s">
        <v>174</v>
      </c>
      <c r="T146" s="357"/>
      <c r="U146" s="357"/>
      <c r="V146" s="357"/>
      <c r="W146" s="357"/>
      <c r="X146" s="357"/>
      <c r="Y146" s="121">
        <f t="shared" si="9"/>
        <v>11282.849999999999</v>
      </c>
      <c r="Z146" s="29">
        <f>(Z144+Z145)*20%</f>
        <v>8350.2095000000008</v>
      </c>
      <c r="AB146" s="357" t="s">
        <v>174</v>
      </c>
      <c r="AC146" s="357"/>
      <c r="AD146" s="357"/>
      <c r="AE146" s="357"/>
      <c r="AF146" s="357"/>
      <c r="AG146" s="357"/>
      <c r="AH146" s="121">
        <f t="shared" si="10"/>
        <v>11282.849999999999</v>
      </c>
      <c r="AI146" s="29">
        <f>(AI144+AI145)*20%</f>
        <v>8350.2095000000008</v>
      </c>
    </row>
    <row r="147" spans="1:35">
      <c r="A147" s="357" t="s">
        <v>175</v>
      </c>
      <c r="B147" s="357"/>
      <c r="C147" s="357"/>
      <c r="D147" s="357"/>
      <c r="E147" s="357"/>
      <c r="F147" s="357"/>
      <c r="G147" s="121">
        <f t="shared" si="7"/>
        <v>0</v>
      </c>
      <c r="H147" s="29">
        <v>0</v>
      </c>
      <c r="J147" s="357" t="s">
        <v>175</v>
      </c>
      <c r="K147" s="357"/>
      <c r="L147" s="357"/>
      <c r="M147" s="357"/>
      <c r="N147" s="357"/>
      <c r="O147" s="357"/>
      <c r="P147" s="121">
        <f t="shared" si="8"/>
        <v>0</v>
      </c>
      <c r="Q147" s="29">
        <f>P147</f>
        <v>0</v>
      </c>
      <c r="S147" s="357" t="s">
        <v>175</v>
      </c>
      <c r="T147" s="357"/>
      <c r="U147" s="357"/>
      <c r="V147" s="357"/>
      <c r="W147" s="357"/>
      <c r="X147" s="357"/>
      <c r="Y147" s="121">
        <f t="shared" si="9"/>
        <v>0</v>
      </c>
      <c r="Z147" s="29">
        <f>Y147</f>
        <v>0</v>
      </c>
      <c r="AB147" s="357" t="s">
        <v>175</v>
      </c>
      <c r="AC147" s="357"/>
      <c r="AD147" s="357"/>
      <c r="AE147" s="357"/>
      <c r="AF147" s="357"/>
      <c r="AG147" s="357"/>
      <c r="AH147" s="121">
        <f t="shared" si="10"/>
        <v>0</v>
      </c>
      <c r="AI147" s="29">
        <f>AH147</f>
        <v>0</v>
      </c>
    </row>
    <row r="148" spans="1:35">
      <c r="A148" s="357" t="s">
        <v>176</v>
      </c>
      <c r="B148" s="357"/>
      <c r="C148" s="357"/>
      <c r="D148" s="357"/>
      <c r="E148" s="357"/>
      <c r="F148" s="357"/>
      <c r="G148" s="121">
        <f t="shared" si="7"/>
        <v>645</v>
      </c>
      <c r="H148" s="29">
        <f>G148</f>
        <v>645</v>
      </c>
      <c r="J148" s="357" t="s">
        <v>176</v>
      </c>
      <c r="K148" s="357"/>
      <c r="L148" s="357"/>
      <c r="M148" s="357"/>
      <c r="N148" s="357"/>
      <c r="O148" s="357"/>
      <c r="P148" s="121">
        <f t="shared" si="8"/>
        <v>645</v>
      </c>
      <c r="Q148" s="29">
        <f>P148</f>
        <v>645</v>
      </c>
      <c r="S148" s="357" t="s">
        <v>176</v>
      </c>
      <c r="T148" s="357"/>
      <c r="U148" s="357"/>
      <c r="V148" s="357"/>
      <c r="W148" s="357"/>
      <c r="X148" s="357"/>
      <c r="Y148" s="121">
        <f t="shared" si="9"/>
        <v>645</v>
      </c>
      <c r="Z148" s="29">
        <f>Y148</f>
        <v>645</v>
      </c>
      <c r="AB148" s="357" t="s">
        <v>176</v>
      </c>
      <c r="AC148" s="357"/>
      <c r="AD148" s="357"/>
      <c r="AE148" s="357"/>
      <c r="AF148" s="357"/>
      <c r="AG148" s="357"/>
      <c r="AH148" s="121">
        <f t="shared" si="10"/>
        <v>645</v>
      </c>
      <c r="AI148" s="29">
        <f>AH148</f>
        <v>645</v>
      </c>
    </row>
    <row r="149" spans="1:35">
      <c r="A149" s="357" t="s">
        <v>177</v>
      </c>
      <c r="B149" s="357"/>
      <c r="C149" s="357"/>
      <c r="D149" s="357"/>
      <c r="E149" s="357"/>
      <c r="F149" s="357"/>
      <c r="G149" s="121">
        <f t="shared" si="7"/>
        <v>55</v>
      </c>
      <c r="H149" s="29">
        <f>G149</f>
        <v>55</v>
      </c>
      <c r="J149" s="357" t="s">
        <v>177</v>
      </c>
      <c r="K149" s="357"/>
      <c r="L149" s="357"/>
      <c r="M149" s="357"/>
      <c r="N149" s="357"/>
      <c r="O149" s="357"/>
      <c r="P149" s="121">
        <f t="shared" si="8"/>
        <v>55</v>
      </c>
      <c r="Q149" s="29">
        <v>55</v>
      </c>
      <c r="S149" s="357" t="s">
        <v>177</v>
      </c>
      <c r="T149" s="357"/>
      <c r="U149" s="357"/>
      <c r="V149" s="357"/>
      <c r="W149" s="357"/>
      <c r="X149" s="357"/>
      <c r="Y149" s="121">
        <f t="shared" si="9"/>
        <v>55</v>
      </c>
      <c r="Z149" s="29">
        <v>55</v>
      </c>
      <c r="AB149" s="357" t="s">
        <v>177</v>
      </c>
      <c r="AC149" s="357"/>
      <c r="AD149" s="357"/>
      <c r="AE149" s="357"/>
      <c r="AF149" s="357"/>
      <c r="AG149" s="357"/>
      <c r="AH149" s="121">
        <f t="shared" si="10"/>
        <v>55</v>
      </c>
      <c r="AI149" s="29">
        <v>55</v>
      </c>
    </row>
    <row r="150" spans="1:35" ht="21">
      <c r="A150" s="357" t="s">
        <v>178</v>
      </c>
      <c r="B150" s="357"/>
      <c r="C150" s="357"/>
      <c r="D150" s="357"/>
      <c r="E150" s="357"/>
      <c r="F150" s="357"/>
      <c r="G150" s="123">
        <f t="shared" si="7"/>
        <v>68397.099999999991</v>
      </c>
      <c r="H150" s="122">
        <f>(H144+H145+H148+H149+H146)-H147</f>
        <v>68397.099999999991</v>
      </c>
      <c r="J150" s="357" t="s">
        <v>178</v>
      </c>
      <c r="K150" s="357"/>
      <c r="L150" s="357"/>
      <c r="M150" s="357"/>
      <c r="N150" s="357"/>
      <c r="O150" s="357"/>
      <c r="P150" s="123">
        <f t="shared" si="8"/>
        <v>68397.099999999991</v>
      </c>
      <c r="Q150" s="122">
        <f>(Q144+Q145+Q148+Q149+Q146)-Q147</f>
        <v>34235.007999999994</v>
      </c>
      <c r="S150" s="357" t="s">
        <v>178</v>
      </c>
      <c r="T150" s="357"/>
      <c r="U150" s="357"/>
      <c r="V150" s="357"/>
      <c r="W150" s="357"/>
      <c r="X150" s="357"/>
      <c r="Y150" s="123">
        <f t="shared" si="9"/>
        <v>68397.099999999991</v>
      </c>
      <c r="Z150" s="122">
        <f>(Z144+Z145+Z148+Z149+Z146)-Z147</f>
        <v>50801.256999999998</v>
      </c>
      <c r="AB150" s="357" t="s">
        <v>178</v>
      </c>
      <c r="AC150" s="357"/>
      <c r="AD150" s="357"/>
      <c r="AE150" s="357"/>
      <c r="AF150" s="357"/>
      <c r="AG150" s="357"/>
      <c r="AH150" s="123">
        <f t="shared" si="10"/>
        <v>68397.099999999991</v>
      </c>
      <c r="AI150" s="122">
        <f>(AI144+AI145+AI148+AI149+AI146)-AI147</f>
        <v>50801.256999999998</v>
      </c>
    </row>
    <row r="151" spans="1:35">
      <c r="A151" s="357" t="s">
        <v>179</v>
      </c>
      <c r="B151" s="357"/>
      <c r="C151" s="357"/>
      <c r="D151" s="357"/>
      <c r="E151" s="357"/>
      <c r="F151" s="357"/>
      <c r="G151" s="121">
        <f t="shared" si="7"/>
        <v>0</v>
      </c>
      <c r="H151" s="36">
        <f>G151</f>
        <v>0</v>
      </c>
      <c r="J151" s="357" t="s">
        <v>179</v>
      </c>
      <c r="K151" s="357"/>
      <c r="L151" s="357"/>
      <c r="M151" s="357"/>
      <c r="N151" s="357"/>
      <c r="O151" s="357"/>
      <c r="P151" s="121">
        <f t="shared" si="8"/>
        <v>0</v>
      </c>
      <c r="Q151" s="36">
        <f>P151</f>
        <v>0</v>
      </c>
      <c r="S151" s="357" t="s">
        <v>179</v>
      </c>
      <c r="T151" s="357"/>
      <c r="U151" s="357"/>
      <c r="V151" s="357"/>
      <c r="W151" s="357"/>
      <c r="X151" s="357"/>
      <c r="Y151" s="121">
        <f t="shared" si="9"/>
        <v>0</v>
      </c>
      <c r="Z151" s="36">
        <f>Y151</f>
        <v>0</v>
      </c>
      <c r="AB151" s="357" t="s">
        <v>179</v>
      </c>
      <c r="AC151" s="357"/>
      <c r="AD151" s="357"/>
      <c r="AE151" s="357"/>
      <c r="AF151" s="357"/>
      <c r="AG151" s="357"/>
      <c r="AH151" s="121">
        <f t="shared" si="10"/>
        <v>0</v>
      </c>
      <c r="AI151" s="36">
        <f>AH151</f>
        <v>0</v>
      </c>
    </row>
    <row r="152" spans="1:35">
      <c r="A152" s="358" t="s">
        <v>180</v>
      </c>
      <c r="B152" s="358"/>
      <c r="C152" s="358"/>
      <c r="D152" s="358"/>
      <c r="E152" s="358">
        <v>0</v>
      </c>
      <c r="F152" s="358"/>
      <c r="G152" s="34">
        <v>0</v>
      </c>
      <c r="H152" s="29"/>
      <c r="J152" s="359" t="s">
        <v>180</v>
      </c>
      <c r="K152" s="359"/>
      <c r="L152" s="359"/>
      <c r="M152" s="359"/>
      <c r="N152" s="359"/>
      <c r="O152" s="359"/>
      <c r="P152" s="34"/>
      <c r="Q152" s="29"/>
      <c r="S152" s="358" t="s">
        <v>180</v>
      </c>
      <c r="T152" s="358"/>
      <c r="U152" s="358"/>
      <c r="V152" s="358"/>
      <c r="W152" s="358"/>
      <c r="X152" s="358"/>
      <c r="Y152" s="34"/>
      <c r="Z152" s="29"/>
      <c r="AB152" s="358" t="s">
        <v>180</v>
      </c>
      <c r="AC152" s="358"/>
      <c r="AD152" s="358"/>
      <c r="AE152" s="358"/>
      <c r="AF152" s="358"/>
      <c r="AG152" s="358"/>
      <c r="AH152" s="34"/>
      <c r="AI152" s="29"/>
    </row>
    <row r="153" spans="1:35">
      <c r="A153" s="124" t="s">
        <v>26</v>
      </c>
      <c r="B153" s="360" t="s">
        <v>181</v>
      </c>
      <c r="C153" s="360"/>
      <c r="D153" s="360"/>
      <c r="E153" s="360"/>
      <c r="F153" s="360"/>
      <c r="G153" s="121">
        <f>H18</f>
        <v>0</v>
      </c>
      <c r="H153" s="36">
        <f>G153</f>
        <v>0</v>
      </c>
      <c r="J153" s="124" t="s">
        <v>26</v>
      </c>
      <c r="K153" s="360" t="s">
        <v>181</v>
      </c>
      <c r="L153" s="360"/>
      <c r="M153" s="360"/>
      <c r="N153" s="360"/>
      <c r="O153" s="360"/>
      <c r="P153" s="121">
        <f>H18</f>
        <v>0</v>
      </c>
      <c r="Q153" s="36">
        <f>P153</f>
        <v>0</v>
      </c>
      <c r="S153" s="124" t="s">
        <v>26</v>
      </c>
      <c r="T153" s="360" t="s">
        <v>181</v>
      </c>
      <c r="U153" s="360"/>
      <c r="V153" s="360"/>
      <c r="W153" s="360"/>
      <c r="X153" s="360"/>
      <c r="Y153" s="121">
        <f>H18</f>
        <v>0</v>
      </c>
      <c r="Z153" s="36">
        <f>Y153</f>
        <v>0</v>
      </c>
      <c r="AB153" s="124" t="s">
        <v>26</v>
      </c>
      <c r="AC153" s="360" t="s">
        <v>181</v>
      </c>
      <c r="AD153" s="360"/>
      <c r="AE153" s="360"/>
      <c r="AF153" s="360"/>
      <c r="AG153" s="360"/>
      <c r="AH153" s="121">
        <f>H18</f>
        <v>0</v>
      </c>
      <c r="AI153" s="36">
        <f>AH153</f>
        <v>0</v>
      </c>
    </row>
    <row r="154" spans="1:35">
      <c r="A154" s="124" t="s">
        <v>28</v>
      </c>
      <c r="B154" s="360" t="s">
        <v>181</v>
      </c>
      <c r="C154" s="360"/>
      <c r="D154" s="360"/>
      <c r="E154" s="360"/>
      <c r="F154" s="360"/>
      <c r="G154" s="121">
        <f>H19</f>
        <v>0</v>
      </c>
      <c r="H154" s="36">
        <v>0</v>
      </c>
      <c r="I154" s="4">
        <f>(G151+G154+G155+G153)</f>
        <v>0</v>
      </c>
      <c r="J154" s="124" t="s">
        <v>28</v>
      </c>
      <c r="K154" s="360" t="s">
        <v>181</v>
      </c>
      <c r="L154" s="360"/>
      <c r="M154" s="360"/>
      <c r="N154" s="360"/>
      <c r="O154" s="360"/>
      <c r="P154" s="121">
        <f>H19</f>
        <v>0</v>
      </c>
      <c r="Q154" s="36">
        <f>P154</f>
        <v>0</v>
      </c>
      <c r="S154" s="124" t="s">
        <v>28</v>
      </c>
      <c r="T154" s="360" t="s">
        <v>181</v>
      </c>
      <c r="U154" s="360"/>
      <c r="V154" s="360"/>
      <c r="W154" s="360"/>
      <c r="X154" s="360"/>
      <c r="Y154" s="121">
        <f>H19</f>
        <v>0</v>
      </c>
      <c r="Z154" s="36">
        <f>Y154</f>
        <v>0</v>
      </c>
      <c r="AB154" s="124" t="s">
        <v>28</v>
      </c>
      <c r="AC154" s="360" t="s">
        <v>181</v>
      </c>
      <c r="AD154" s="360"/>
      <c r="AE154" s="360"/>
      <c r="AF154" s="360"/>
      <c r="AG154" s="360"/>
      <c r="AH154" s="121">
        <f>H19</f>
        <v>0</v>
      </c>
      <c r="AI154" s="36">
        <f>AH154</f>
        <v>0</v>
      </c>
    </row>
    <row r="155" spans="1:35">
      <c r="A155" s="125" t="s">
        <v>29</v>
      </c>
      <c r="B155" s="361" t="s">
        <v>181</v>
      </c>
      <c r="C155" s="361"/>
      <c r="D155" s="361"/>
      <c r="E155" s="361"/>
      <c r="F155" s="361"/>
      <c r="G155" s="121">
        <f>H20</f>
        <v>0</v>
      </c>
      <c r="H155" s="36">
        <v>0</v>
      </c>
      <c r="I155" s="4">
        <f>(H151+H153+H154+H155)</f>
        <v>0</v>
      </c>
      <c r="J155" s="125" t="s">
        <v>29</v>
      </c>
      <c r="K155" s="361" t="s">
        <v>181</v>
      </c>
      <c r="L155" s="361"/>
      <c r="M155" s="361"/>
      <c r="N155" s="361"/>
      <c r="O155" s="361"/>
      <c r="P155" s="121">
        <f>H20</f>
        <v>0</v>
      </c>
      <c r="Q155" s="36">
        <f>P155</f>
        <v>0</v>
      </c>
      <c r="S155" s="125" t="s">
        <v>29</v>
      </c>
      <c r="T155" s="361" t="s">
        <v>181</v>
      </c>
      <c r="U155" s="361"/>
      <c r="V155" s="361"/>
      <c r="W155" s="361"/>
      <c r="X155" s="361"/>
      <c r="Y155" s="121">
        <f>H20</f>
        <v>0</v>
      </c>
      <c r="Z155" s="36">
        <f>Y155</f>
        <v>0</v>
      </c>
      <c r="AB155" s="125" t="s">
        <v>29</v>
      </c>
      <c r="AC155" s="361" t="s">
        <v>181</v>
      </c>
      <c r="AD155" s="361"/>
      <c r="AE155" s="361"/>
      <c r="AF155" s="361"/>
      <c r="AG155" s="361"/>
      <c r="AH155" s="121">
        <f>H20</f>
        <v>0</v>
      </c>
      <c r="AI155" s="36">
        <f>AH155</f>
        <v>0</v>
      </c>
    </row>
    <row r="156" spans="1:35" ht="21">
      <c r="A156" s="357" t="s">
        <v>182</v>
      </c>
      <c r="B156" s="357"/>
      <c r="C156" s="357"/>
      <c r="D156" s="357"/>
      <c r="E156" s="357"/>
      <c r="F156" s="357"/>
      <c r="G156" s="123">
        <f>G150-((G153*1.2)+(G154*1.2)+(G155*1.2)+(G151*1.2))</f>
        <v>68397.099999999991</v>
      </c>
      <c r="H156" s="126">
        <f>H150-((H153*1.2)+(H154*1.2)+(H155*1.2)+(H151*1.2))</f>
        <v>68397.099999999991</v>
      </c>
      <c r="J156" s="362" t="s">
        <v>182</v>
      </c>
      <c r="K156" s="362"/>
      <c r="L156" s="362"/>
      <c r="M156" s="362"/>
      <c r="N156" s="362"/>
      <c r="O156" s="362"/>
      <c r="P156" s="123">
        <f>P150-((P153*1.2)+(P154*1.2)+(P155*1.2)+(P151*1.2))</f>
        <v>68397.099999999991</v>
      </c>
      <c r="Q156" s="126">
        <f>Q150-((Q153*1.2)+(Q154*1.2)+(Q155*1.2)+(Q151*1.2))</f>
        <v>34235.007999999994</v>
      </c>
      <c r="S156" s="357" t="s">
        <v>182</v>
      </c>
      <c r="T156" s="357"/>
      <c r="U156" s="357"/>
      <c r="V156" s="357"/>
      <c r="W156" s="357"/>
      <c r="X156" s="357"/>
      <c r="Y156" s="123">
        <f>Y150-((Y153*1.2)+(Y154*1.2)+(Y155*1.2)+(Y151*1.2))</f>
        <v>68397.099999999991</v>
      </c>
      <c r="Z156" s="126">
        <f>Z150-((Z153*1.2)+(Z154*1.2)+(Z155*1.2)+(Z151*1.2))</f>
        <v>50801.256999999998</v>
      </c>
      <c r="AB156" s="357" t="s">
        <v>182</v>
      </c>
      <c r="AC156" s="357"/>
      <c r="AD156" s="357"/>
      <c r="AE156" s="357"/>
      <c r="AF156" s="357"/>
      <c r="AG156" s="357"/>
      <c r="AH156" s="123">
        <f>AH150-((AH153*1.2)+(AH154*1.2)+(AH155*1.2)+(AH151*1.2))</f>
        <v>68397.099999999991</v>
      </c>
      <c r="AI156" s="126">
        <f>AI150-((AI153*1.2)+(AI154*1.2)+(AI155*1.2)+(AI151*1.2))</f>
        <v>50801.256999999998</v>
      </c>
    </row>
    <row r="157" spans="1:35">
      <c r="A157" s="357" t="s">
        <v>183</v>
      </c>
      <c r="B157" s="357"/>
      <c r="C157" s="357"/>
      <c r="D157" s="357"/>
      <c r="E157" s="357"/>
      <c r="F157" s="357"/>
      <c r="G157" s="121"/>
      <c r="H157" s="36">
        <f>((H156-G156)-(H146-G146))+((I155-I154)*0.2)</f>
        <v>0</v>
      </c>
      <c r="I157" s="4">
        <f>(H157-G90)/1.2</f>
        <v>-56164.249999999993</v>
      </c>
      <c r="J157" s="357" t="s">
        <v>183</v>
      </c>
      <c r="K157" s="357"/>
      <c r="L157" s="357"/>
      <c r="M157" s="357"/>
      <c r="N157" s="357"/>
      <c r="O157" s="357"/>
      <c r="P157" s="121"/>
      <c r="Q157" s="36">
        <f>Q156-P156</f>
        <v>-34162.091999999997</v>
      </c>
      <c r="S157" s="357" t="s">
        <v>183</v>
      </c>
      <c r="T157" s="357"/>
      <c r="U157" s="357"/>
      <c r="V157" s="357"/>
      <c r="W157" s="357"/>
      <c r="X157" s="357"/>
      <c r="Y157" s="121"/>
      <c r="Z157" s="36">
        <f>Z156-Y156</f>
        <v>-17595.842999999993</v>
      </c>
      <c r="AB157" s="357" t="s">
        <v>183</v>
      </c>
      <c r="AC157" s="357"/>
      <c r="AD157" s="357"/>
      <c r="AE157" s="357"/>
      <c r="AF157" s="357"/>
      <c r="AG157" s="357"/>
      <c r="AH157" s="121"/>
      <c r="AI157" s="36">
        <f>AI156-AH156</f>
        <v>-17595.842999999993</v>
      </c>
    </row>
    <row r="158" spans="1:35">
      <c r="A158" s="27"/>
      <c r="B158" s="28"/>
      <c r="C158" s="28"/>
      <c r="D158" s="28"/>
      <c r="E158" s="21"/>
      <c r="F158" s="21"/>
      <c r="G158" s="21"/>
      <c r="H158" s="29"/>
      <c r="J158" s="27"/>
      <c r="K158" s="28"/>
      <c r="L158" s="28"/>
      <c r="M158" s="28"/>
      <c r="N158" s="21"/>
      <c r="O158" s="21"/>
      <c r="P158" s="21"/>
      <c r="Q158" s="29"/>
      <c r="S158" s="27"/>
      <c r="T158" s="28"/>
      <c r="U158" s="28"/>
      <c r="V158" s="28"/>
      <c r="W158" s="21"/>
      <c r="X158" s="21"/>
      <c r="Y158" s="21"/>
      <c r="Z158" s="29"/>
      <c r="AB158" s="27"/>
      <c r="AC158" s="28"/>
      <c r="AD158" s="28"/>
      <c r="AE158" s="28"/>
      <c r="AF158" s="21"/>
      <c r="AG158" s="21"/>
      <c r="AH158" s="21"/>
      <c r="AI158" s="29"/>
    </row>
    <row r="159" spans="1:35" ht="23.25">
      <c r="A159" s="335" t="s">
        <v>184</v>
      </c>
      <c r="B159" s="335"/>
      <c r="C159" s="335"/>
      <c r="D159" s="335"/>
      <c r="E159" s="335"/>
      <c r="F159" s="335"/>
      <c r="G159" s="335"/>
      <c r="H159" s="335"/>
      <c r="J159" s="335" t="s">
        <v>184</v>
      </c>
      <c r="K159" s="335"/>
      <c r="L159" s="335"/>
      <c r="M159" s="335"/>
      <c r="N159" s="335"/>
      <c r="O159" s="335"/>
      <c r="P159" s="335"/>
      <c r="Q159" s="335"/>
      <c r="S159" s="335" t="s">
        <v>184</v>
      </c>
      <c r="T159" s="335"/>
      <c r="U159" s="335"/>
      <c r="V159" s="335"/>
      <c r="W159" s="335"/>
      <c r="X159" s="335"/>
      <c r="Y159" s="335"/>
      <c r="Z159" s="335"/>
      <c r="AB159" s="335" t="s">
        <v>184</v>
      </c>
      <c r="AC159" s="335"/>
      <c r="AD159" s="335"/>
      <c r="AE159" s="335"/>
      <c r="AF159" s="335"/>
      <c r="AG159" s="335"/>
      <c r="AH159" s="335"/>
      <c r="AI159" s="335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 t="s">
        <v>185</v>
      </c>
      <c r="B161" s="28"/>
      <c r="C161" s="28"/>
      <c r="D161" s="21"/>
      <c r="E161" s="348">
        <v>0</v>
      </c>
      <c r="F161" s="348"/>
      <c r="G161" s="348">
        <v>0</v>
      </c>
      <c r="H161" s="348"/>
      <c r="J161" s="27" t="s">
        <v>185</v>
      </c>
      <c r="K161" s="28"/>
      <c r="L161" s="28"/>
      <c r="M161" s="21"/>
      <c r="N161" s="348">
        <v>10000</v>
      </c>
      <c r="O161" s="348"/>
      <c r="P161" s="348">
        <v>5000</v>
      </c>
      <c r="Q161" s="348"/>
      <c r="S161" s="27" t="s">
        <v>185</v>
      </c>
      <c r="T161" s="28"/>
      <c r="U161" s="28"/>
      <c r="V161" s="21"/>
      <c r="W161" s="348">
        <v>10000</v>
      </c>
      <c r="X161" s="348"/>
      <c r="Y161" s="348">
        <v>5000</v>
      </c>
      <c r="Z161" s="348"/>
      <c r="AB161" s="27" t="s">
        <v>185</v>
      </c>
      <c r="AC161" s="28"/>
      <c r="AD161" s="28"/>
      <c r="AE161" s="21"/>
      <c r="AF161" s="348">
        <v>10000</v>
      </c>
      <c r="AG161" s="348"/>
      <c r="AH161" s="348">
        <v>5000</v>
      </c>
      <c r="AI161" s="348"/>
    </row>
    <row r="162" spans="1:35">
      <c r="A162" s="27" t="s">
        <v>186</v>
      </c>
      <c r="B162" s="28"/>
      <c r="C162" s="28"/>
      <c r="D162" s="21"/>
      <c r="E162" s="363">
        <f>G162</f>
        <v>0</v>
      </c>
      <c r="F162" s="363"/>
      <c r="G162" s="348">
        <v>0</v>
      </c>
      <c r="H162" s="348"/>
      <c r="J162" s="27" t="s">
        <v>186</v>
      </c>
      <c r="K162" s="28"/>
      <c r="L162" s="28"/>
      <c r="M162" s="21"/>
      <c r="N162" s="363">
        <f>P162</f>
        <v>7000</v>
      </c>
      <c r="O162" s="363"/>
      <c r="P162" s="348">
        <v>7000</v>
      </c>
      <c r="Q162" s="348"/>
      <c r="S162" s="27" t="s">
        <v>186</v>
      </c>
      <c r="T162" s="28"/>
      <c r="U162" s="28"/>
      <c r="V162" s="21"/>
      <c r="W162" s="363">
        <f>Y162</f>
        <v>7000</v>
      </c>
      <c r="X162" s="363"/>
      <c r="Y162" s="348">
        <v>7000</v>
      </c>
      <c r="Z162" s="348"/>
      <c r="AB162" s="27" t="s">
        <v>186</v>
      </c>
      <c r="AC162" s="28"/>
      <c r="AD162" s="28"/>
      <c r="AE162" s="21"/>
      <c r="AF162" s="363">
        <f>AH162</f>
        <v>7000</v>
      </c>
      <c r="AG162" s="363"/>
      <c r="AH162" s="348">
        <v>7000</v>
      </c>
      <c r="AI162" s="348"/>
    </row>
    <row r="163" spans="1:35">
      <c r="A163" s="27" t="s">
        <v>187</v>
      </c>
      <c r="B163" s="28"/>
      <c r="C163" s="28"/>
      <c r="D163" s="21"/>
      <c r="E163" s="363">
        <f>E161-E162</f>
        <v>0</v>
      </c>
      <c r="F163" s="363"/>
      <c r="G163" s="364">
        <f>G161-G162</f>
        <v>0</v>
      </c>
      <c r="H163" s="364"/>
      <c r="J163" s="27" t="s">
        <v>187</v>
      </c>
      <c r="K163" s="28"/>
      <c r="L163" s="28"/>
      <c r="M163" s="21"/>
      <c r="N163" s="363">
        <f>N161-N162</f>
        <v>3000</v>
      </c>
      <c r="O163" s="363"/>
      <c r="P163" s="364">
        <f>P161-P162</f>
        <v>-2000</v>
      </c>
      <c r="Q163" s="364"/>
      <c r="S163" s="27" t="s">
        <v>187</v>
      </c>
      <c r="T163" s="28"/>
      <c r="U163" s="28"/>
      <c r="V163" s="21"/>
      <c r="W163" s="363">
        <f>W161-W162</f>
        <v>3000</v>
      </c>
      <c r="X163" s="363"/>
      <c r="Y163" s="364">
        <f>Y161-Y162</f>
        <v>-2000</v>
      </c>
      <c r="Z163" s="364"/>
      <c r="AB163" s="27" t="s">
        <v>187</v>
      </c>
      <c r="AC163" s="28"/>
      <c r="AD163" s="28"/>
      <c r="AE163" s="21"/>
      <c r="AF163" s="363">
        <f>AF161-AF162</f>
        <v>3000</v>
      </c>
      <c r="AG163" s="363"/>
      <c r="AH163" s="364">
        <f>AH161-AH162</f>
        <v>-2000</v>
      </c>
      <c r="AI163" s="364"/>
    </row>
    <row r="164" spans="1:35">
      <c r="A164" s="27" t="s">
        <v>188</v>
      </c>
      <c r="B164" s="28"/>
      <c r="C164" s="28"/>
      <c r="D164" s="21"/>
      <c r="E164" s="363">
        <f>E163-G163</f>
        <v>0</v>
      </c>
      <c r="F164" s="363"/>
      <c r="G164" s="21"/>
      <c r="H164" s="29"/>
      <c r="J164" s="27" t="s">
        <v>188</v>
      </c>
      <c r="K164" s="28"/>
      <c r="L164" s="28"/>
      <c r="M164" s="21"/>
      <c r="N164" s="363">
        <f>N163-P163</f>
        <v>5000</v>
      </c>
      <c r="O164" s="363"/>
      <c r="P164" s="21"/>
      <c r="Q164" s="29"/>
      <c r="S164" s="27" t="s">
        <v>188</v>
      </c>
      <c r="T164" s="28"/>
      <c r="U164" s="28"/>
      <c r="V164" s="21"/>
      <c r="W164" s="363">
        <f>W163-Y163</f>
        <v>5000</v>
      </c>
      <c r="X164" s="363"/>
      <c r="Y164" s="21"/>
      <c r="Z164" s="29"/>
      <c r="AB164" s="27" t="s">
        <v>188</v>
      </c>
      <c r="AC164" s="28"/>
      <c r="AD164" s="28"/>
      <c r="AE164" s="21"/>
      <c r="AF164" s="363">
        <f>AF163-AH163</f>
        <v>5000</v>
      </c>
      <c r="AG164" s="363"/>
      <c r="AH164" s="21"/>
      <c r="AI164" s="29"/>
    </row>
    <row r="165" spans="1:35">
      <c r="A165" s="22" t="s">
        <v>189</v>
      </c>
      <c r="B165" s="23"/>
      <c r="C165" s="23"/>
      <c r="D165" s="63"/>
      <c r="E165" s="23"/>
      <c r="F165" s="63"/>
      <c r="G165" s="128" t="s">
        <v>10</v>
      </c>
      <c r="H165" s="36">
        <v>0</v>
      </c>
      <c r="J165" s="27"/>
      <c r="K165" s="28"/>
      <c r="L165" s="28"/>
      <c r="M165" s="21"/>
      <c r="N165" s="28"/>
      <c r="O165" s="21"/>
      <c r="P165" s="21"/>
      <c r="Q165" s="29"/>
      <c r="S165" s="27"/>
      <c r="T165" s="28"/>
      <c r="U165" s="28"/>
      <c r="V165" s="21"/>
      <c r="W165" s="28"/>
      <c r="X165" s="21"/>
      <c r="Y165" s="21"/>
      <c r="Z165" s="29"/>
      <c r="AB165" s="27"/>
      <c r="AC165" s="28"/>
      <c r="AD165" s="28"/>
      <c r="AE165" s="21"/>
      <c r="AF165" s="28"/>
      <c r="AG165" s="21"/>
      <c r="AH165" s="21"/>
      <c r="AI165" s="29"/>
    </row>
    <row r="166" spans="1:35">
      <c r="A166" s="22" t="s">
        <v>190</v>
      </c>
      <c r="B166" s="23"/>
      <c r="C166" s="23"/>
      <c r="D166" s="63"/>
      <c r="E166" s="23"/>
      <c r="F166" s="63"/>
      <c r="G166" s="365">
        <f>B120</f>
        <v>5000</v>
      </c>
      <c r="H166" s="365"/>
      <c r="J166" s="22" t="s">
        <v>190</v>
      </c>
      <c r="K166" s="23"/>
      <c r="L166" s="23"/>
      <c r="M166" s="63"/>
      <c r="N166" s="23"/>
      <c r="O166" s="63"/>
      <c r="P166" s="365">
        <f>K120</f>
        <v>1000</v>
      </c>
      <c r="Q166" s="365"/>
      <c r="S166" s="22" t="s">
        <v>190</v>
      </c>
      <c r="T166" s="23"/>
      <c r="U166" s="23"/>
      <c r="V166" s="63"/>
      <c r="W166" s="23"/>
      <c r="X166" s="63"/>
      <c r="Y166" s="365">
        <f>T120</f>
        <v>1000</v>
      </c>
      <c r="Z166" s="365"/>
      <c r="AB166" s="22" t="s">
        <v>190</v>
      </c>
      <c r="AC166" s="23"/>
      <c r="AD166" s="23"/>
      <c r="AE166" s="63"/>
      <c r="AF166" s="23"/>
      <c r="AG166" s="63"/>
      <c r="AH166" s="365">
        <f>AC120</f>
        <v>1000</v>
      </c>
      <c r="AI166" s="365"/>
    </row>
    <row r="167" spans="1:35" ht="21">
      <c r="A167" s="129" t="s">
        <v>191</v>
      </c>
      <c r="B167" s="28"/>
      <c r="C167" s="28"/>
      <c r="D167" s="21"/>
      <c r="E167" s="28"/>
      <c r="F167" s="21"/>
      <c r="G167" s="366">
        <f>H156-G163-G166+H165</f>
        <v>63397.099999999991</v>
      </c>
      <c r="H167" s="366"/>
      <c r="J167" s="129" t="s">
        <v>191</v>
      </c>
      <c r="K167" s="28"/>
      <c r="L167" s="28"/>
      <c r="M167" s="21"/>
      <c r="N167" s="28"/>
      <c r="O167" s="21"/>
      <c r="P167" s="366">
        <f>Q156-P163-P166</f>
        <v>35235.007999999994</v>
      </c>
      <c r="Q167" s="366"/>
      <c r="S167" s="129" t="s">
        <v>191</v>
      </c>
      <c r="T167" s="28"/>
      <c r="U167" s="28"/>
      <c r="V167" s="21"/>
      <c r="W167" s="28"/>
      <c r="X167" s="21"/>
      <c r="Y167" s="366">
        <f>Z156-Y163-Y166</f>
        <v>51801.256999999998</v>
      </c>
      <c r="Z167" s="366"/>
      <c r="AB167" s="129" t="s">
        <v>191</v>
      </c>
      <c r="AC167" s="28"/>
      <c r="AD167" s="28"/>
      <c r="AE167" s="21"/>
      <c r="AF167" s="28"/>
      <c r="AG167" s="21"/>
      <c r="AH167" s="366">
        <f>AI156-AH163-AH166</f>
        <v>51801.256999999998</v>
      </c>
      <c r="AI167" s="366"/>
    </row>
    <row r="168" spans="1:35">
      <c r="A168" s="49" t="s">
        <v>66</v>
      </c>
      <c r="B168" s="50"/>
      <c r="C168" s="50"/>
      <c r="D168" s="85"/>
      <c r="E168" s="50"/>
      <c r="F168" s="85"/>
      <c r="G168" s="367">
        <f>B123</f>
        <v>199.99166666666667</v>
      </c>
      <c r="H168" s="367"/>
      <c r="J168" s="49" t="s">
        <v>66</v>
      </c>
      <c r="K168" s="50"/>
      <c r="L168" s="50"/>
      <c r="M168" s="85"/>
      <c r="N168" s="50"/>
      <c r="O168" s="85"/>
      <c r="P168" s="367">
        <f>K123</f>
        <v>239.99</v>
      </c>
      <c r="Q168" s="367"/>
      <c r="S168" s="49" t="s">
        <v>66</v>
      </c>
      <c r="T168" s="50"/>
      <c r="U168" s="50"/>
      <c r="V168" s="85"/>
      <c r="W168" s="50"/>
      <c r="X168" s="85"/>
      <c r="Y168" s="367">
        <f>T123</f>
        <v>199.99</v>
      </c>
      <c r="Z168" s="367"/>
      <c r="AB168" s="49" t="s">
        <v>66</v>
      </c>
      <c r="AC168" s="50"/>
      <c r="AD168" s="50"/>
      <c r="AE168" s="85"/>
      <c r="AF168" s="50"/>
      <c r="AG168" s="85"/>
      <c r="AH168" s="367">
        <f>AC123</f>
        <v>239.99</v>
      </c>
      <c r="AI168" s="367"/>
    </row>
    <row r="169" spans="1:35">
      <c r="A169" s="27"/>
      <c r="B169" s="28"/>
      <c r="C169" s="28"/>
      <c r="D169" s="28"/>
      <c r="E169" s="21"/>
      <c r="F169" s="21"/>
      <c r="G169" s="21"/>
      <c r="H169" s="29"/>
      <c r="J169" s="27"/>
      <c r="K169" s="28"/>
      <c r="L169" s="28"/>
      <c r="M169" s="28"/>
      <c r="N169" s="21"/>
      <c r="O169" s="21"/>
      <c r="P169" s="21"/>
      <c r="Q169" s="29"/>
      <c r="S169" s="27"/>
      <c r="T169" s="28"/>
      <c r="U169" s="28"/>
      <c r="V169" s="28"/>
      <c r="W169" s="21"/>
      <c r="X169" s="21"/>
      <c r="Y169" s="21"/>
      <c r="Z169" s="29"/>
      <c r="AB169" s="27"/>
      <c r="AC169" s="28"/>
      <c r="AD169" s="28"/>
      <c r="AE169" s="28"/>
      <c r="AF169" s="21"/>
      <c r="AG169" s="21"/>
      <c r="AH169" s="21"/>
      <c r="AI169" s="29"/>
    </row>
    <row r="170" spans="1:35">
      <c r="A170" s="27"/>
      <c r="B170" s="28"/>
      <c r="C170" s="28"/>
      <c r="D170" s="28"/>
      <c r="E170" s="21">
        <v>6000</v>
      </c>
      <c r="F170" s="21"/>
      <c r="G170" s="21"/>
      <c r="H170" s="29"/>
      <c r="J170" s="27"/>
      <c r="K170" s="28"/>
      <c r="L170" s="28"/>
      <c r="M170" s="28"/>
      <c r="N170" s="21"/>
      <c r="O170" s="21"/>
      <c r="P170" s="21"/>
      <c r="Q170" s="29"/>
      <c r="S170" s="27"/>
      <c r="T170" s="28"/>
      <c r="U170" s="28"/>
      <c r="V170" s="28"/>
      <c r="W170" s="21"/>
      <c r="X170" s="21"/>
      <c r="Y170" s="21"/>
      <c r="Z170" s="29"/>
      <c r="AB170" s="27"/>
      <c r="AC170" s="28"/>
      <c r="AD170" s="28"/>
      <c r="AE170" s="28"/>
      <c r="AF170" s="21"/>
      <c r="AG170" s="21"/>
      <c r="AH170" s="21"/>
      <c r="AI170" s="29"/>
    </row>
    <row r="171" spans="1:35" ht="23.25">
      <c r="A171" s="335" t="s">
        <v>192</v>
      </c>
      <c r="B171" s="335"/>
      <c r="C171" s="335"/>
      <c r="D171" s="335"/>
      <c r="E171" s="335"/>
      <c r="F171" s="335"/>
      <c r="G171" s="335"/>
      <c r="H171" s="335"/>
      <c r="J171" s="335" t="s">
        <v>192</v>
      </c>
      <c r="K171" s="335"/>
      <c r="L171" s="335"/>
      <c r="M171" s="335"/>
      <c r="N171" s="335"/>
      <c r="O171" s="335"/>
      <c r="P171" s="335"/>
      <c r="Q171" s="335"/>
      <c r="S171" s="335" t="s">
        <v>192</v>
      </c>
      <c r="T171" s="335"/>
      <c r="U171" s="335"/>
      <c r="V171" s="335"/>
      <c r="W171" s="335"/>
      <c r="X171" s="335"/>
      <c r="Y171" s="335"/>
      <c r="Z171" s="335"/>
      <c r="AB171" s="335" t="s">
        <v>192</v>
      </c>
      <c r="AC171" s="335"/>
      <c r="AD171" s="335"/>
      <c r="AE171" s="335"/>
      <c r="AF171" s="335"/>
      <c r="AG171" s="335"/>
      <c r="AH171" s="335"/>
      <c r="AI171" s="335"/>
    </row>
    <row r="172" spans="1:35">
      <c r="A172" s="27"/>
      <c r="B172" s="28"/>
      <c r="C172" s="28"/>
      <c r="D172" s="28"/>
      <c r="E172" s="21"/>
      <c r="F172" s="21"/>
      <c r="G172" s="21"/>
      <c r="H172" s="29"/>
      <c r="J172" s="27"/>
      <c r="K172" s="28"/>
      <c r="L172" s="28"/>
      <c r="M172" s="28"/>
      <c r="N172" s="21"/>
      <c r="O172" s="21"/>
      <c r="P172" s="21"/>
      <c r="Q172" s="29"/>
      <c r="S172" s="27"/>
      <c r="T172" s="28"/>
      <c r="U172" s="28"/>
      <c r="V172" s="28"/>
      <c r="W172" s="21"/>
      <c r="X172" s="21"/>
      <c r="Y172" s="21"/>
      <c r="Z172" s="29"/>
      <c r="AB172" s="27"/>
      <c r="AC172" s="28"/>
      <c r="AD172" s="28"/>
      <c r="AE172" s="28"/>
      <c r="AF172" s="21"/>
      <c r="AG172" s="21"/>
      <c r="AH172" s="21"/>
      <c r="AI172" s="29"/>
    </row>
    <row r="173" spans="1:35">
      <c r="A173" s="27" t="s">
        <v>193</v>
      </c>
      <c r="B173" s="368">
        <v>0</v>
      </c>
      <c r="C173" s="368"/>
      <c r="D173" s="28"/>
      <c r="E173" s="21"/>
      <c r="F173" s="21"/>
      <c r="G173" s="21"/>
      <c r="H173" s="29"/>
      <c r="J173" s="27" t="s">
        <v>193</v>
      </c>
      <c r="K173" s="368">
        <v>0</v>
      </c>
      <c r="L173" s="368"/>
      <c r="M173" s="28"/>
      <c r="N173" s="21"/>
      <c r="O173" s="21"/>
      <c r="P173" s="21"/>
      <c r="Q173" s="29"/>
      <c r="S173" s="27" t="s">
        <v>193</v>
      </c>
      <c r="T173" s="368">
        <v>0</v>
      </c>
      <c r="U173" s="368"/>
      <c r="V173" s="28"/>
      <c r="W173" s="21"/>
      <c r="X173" s="21"/>
      <c r="Y173" s="21"/>
      <c r="Z173" s="29"/>
      <c r="AB173" s="27" t="s">
        <v>193</v>
      </c>
      <c r="AC173" s="368">
        <v>0</v>
      </c>
      <c r="AD173" s="368"/>
      <c r="AE173" s="28"/>
      <c r="AF173" s="21"/>
      <c r="AG173" s="21"/>
      <c r="AH173" s="21"/>
      <c r="AI173" s="29"/>
    </row>
    <row r="174" spans="1:35">
      <c r="A174" s="27"/>
      <c r="B174" s="28"/>
      <c r="C174" s="28"/>
      <c r="D174" s="28"/>
      <c r="E174" s="21"/>
      <c r="F174" s="21"/>
      <c r="G174" s="21"/>
      <c r="H174" s="29"/>
      <c r="J174" s="27"/>
      <c r="K174" s="28"/>
      <c r="L174" s="28"/>
      <c r="M174" s="28"/>
      <c r="N174" s="21"/>
      <c r="O174" s="21"/>
      <c r="P174" s="21"/>
      <c r="Q174" s="29"/>
      <c r="S174" s="27"/>
      <c r="T174" s="28"/>
      <c r="U174" s="28"/>
      <c r="V174" s="28"/>
      <c r="W174" s="21"/>
      <c r="X174" s="21"/>
      <c r="Y174" s="21"/>
      <c r="Z174" s="29"/>
      <c r="AB174" s="27"/>
      <c r="AC174" s="28"/>
      <c r="AD174" s="28"/>
      <c r="AE174" s="28"/>
      <c r="AF174" s="21"/>
      <c r="AG174" s="21"/>
      <c r="AH174" s="21"/>
      <c r="AI174" s="29"/>
    </row>
    <row r="175" spans="1:35">
      <c r="A175" s="130" t="s">
        <v>194</v>
      </c>
      <c r="B175" s="131" t="s">
        <v>195</v>
      </c>
      <c r="C175" s="131"/>
      <c r="D175" s="131"/>
      <c r="E175" s="131" t="s">
        <v>196</v>
      </c>
      <c r="F175" s="21"/>
      <c r="G175" s="21" t="s">
        <v>197</v>
      </c>
      <c r="H175" s="29"/>
      <c r="J175" s="130" t="s">
        <v>194</v>
      </c>
      <c r="K175" s="131" t="s">
        <v>195</v>
      </c>
      <c r="L175" s="131"/>
      <c r="M175" s="131"/>
      <c r="N175" s="131" t="s">
        <v>196</v>
      </c>
      <c r="O175" s="21"/>
      <c r="P175" s="21"/>
      <c r="Q175" s="29"/>
      <c r="S175" s="130" t="s">
        <v>194</v>
      </c>
      <c r="T175" s="131" t="s">
        <v>195</v>
      </c>
      <c r="U175" s="131"/>
      <c r="V175" s="131"/>
      <c r="W175" s="131" t="s">
        <v>196</v>
      </c>
      <c r="X175" s="21"/>
      <c r="Y175" s="21"/>
      <c r="Z175" s="29"/>
      <c r="AB175" s="130" t="s">
        <v>194</v>
      </c>
      <c r="AC175" s="131" t="s">
        <v>195</v>
      </c>
      <c r="AD175" s="131"/>
      <c r="AE175" s="131"/>
      <c r="AF175" s="131" t="s">
        <v>196</v>
      </c>
      <c r="AG175" s="21"/>
      <c r="AH175" s="21"/>
      <c r="AI175" s="29"/>
    </row>
    <row r="176" spans="1:35">
      <c r="A176" s="132">
        <f>B104</f>
        <v>2296.0038918650234</v>
      </c>
      <c r="B176" s="133">
        <f>B103</f>
        <v>24.997500000000002</v>
      </c>
      <c r="C176" s="131"/>
      <c r="D176" s="131"/>
      <c r="E176" s="133">
        <f>B105</f>
        <v>2321.0013918650234</v>
      </c>
      <c r="F176" s="21"/>
      <c r="G176" s="21">
        <f>ROUND(G104,2)</f>
        <v>2128.35</v>
      </c>
      <c r="H176" s="29"/>
      <c r="J176" s="132">
        <f>K104</f>
        <v>1468.8252559216294</v>
      </c>
      <c r="K176" s="133">
        <f>K103</f>
        <v>0</v>
      </c>
      <c r="L176" s="131"/>
      <c r="M176" s="131"/>
      <c r="N176" s="133">
        <f>K105</f>
        <v>1468.8252559216294</v>
      </c>
      <c r="O176" s="21"/>
      <c r="P176" s="21"/>
      <c r="Q176" s="29"/>
      <c r="S176" s="132">
        <f>T104</f>
        <v>1907.8808845778724</v>
      </c>
      <c r="T176" s="133">
        <f>T103</f>
        <v>0</v>
      </c>
      <c r="U176" s="131"/>
      <c r="V176" s="131"/>
      <c r="W176" s="133">
        <f>T105</f>
        <v>1907.8808845778724</v>
      </c>
      <c r="X176" s="21"/>
      <c r="Y176" s="21"/>
      <c r="Z176" s="29"/>
      <c r="AB176" s="132">
        <f>AC104</f>
        <v>1907.8808845778724</v>
      </c>
      <c r="AC176" s="133">
        <f>AC103</f>
        <v>0</v>
      </c>
      <c r="AD176" s="131"/>
      <c r="AE176" s="131"/>
      <c r="AF176" s="133">
        <f>AC105</f>
        <v>1907.8808845778724</v>
      </c>
      <c r="AG176" s="21"/>
      <c r="AH176" s="21"/>
      <c r="AI176" s="29"/>
    </row>
    <row r="177" spans="1:35">
      <c r="A177" s="27"/>
      <c r="B177" s="28"/>
      <c r="C177" s="28"/>
      <c r="D177" s="28"/>
      <c r="E177" s="21"/>
      <c r="F177" s="21"/>
      <c r="G177" s="21"/>
      <c r="H177" s="29"/>
      <c r="J177" s="27"/>
      <c r="K177" s="28"/>
      <c r="L177" s="28"/>
      <c r="M177" s="28"/>
      <c r="N177" s="21"/>
      <c r="O177" s="21"/>
      <c r="P177" s="21"/>
      <c r="Q177" s="29"/>
      <c r="S177" s="27"/>
      <c r="T177" s="28"/>
      <c r="U177" s="28"/>
      <c r="V177" s="28"/>
      <c r="W177" s="21"/>
      <c r="X177" s="21"/>
      <c r="Y177" s="21"/>
      <c r="Z177" s="29"/>
      <c r="AB177" s="27"/>
      <c r="AC177" s="28"/>
      <c r="AD177" s="28"/>
      <c r="AE177" s="28"/>
      <c r="AF177" s="21"/>
      <c r="AG177" s="21"/>
      <c r="AH177" s="21"/>
      <c r="AI177" s="29"/>
    </row>
    <row r="178" spans="1:35">
      <c r="A178" s="27" t="s">
        <v>94</v>
      </c>
      <c r="B178" s="28" t="s">
        <v>95</v>
      </c>
      <c r="C178" s="28"/>
      <c r="D178" s="21"/>
      <c r="E178" s="28" t="s">
        <v>198</v>
      </c>
      <c r="F178" s="21"/>
      <c r="G178" s="21"/>
      <c r="H178" s="29"/>
      <c r="J178" s="27" t="s">
        <v>94</v>
      </c>
      <c r="K178" s="28" t="s">
        <v>95</v>
      </c>
      <c r="L178" s="28"/>
      <c r="M178" s="21"/>
      <c r="N178" s="28" t="s">
        <v>198</v>
      </c>
      <c r="O178" s="21"/>
      <c r="P178" s="21"/>
      <c r="Q178" s="29"/>
      <c r="S178" s="27" t="s">
        <v>94</v>
      </c>
      <c r="T178" s="28" t="s">
        <v>95</v>
      </c>
      <c r="U178" s="28"/>
      <c r="V178" s="21"/>
      <c r="W178" s="28" t="s">
        <v>198</v>
      </c>
      <c r="X178" s="21"/>
      <c r="Y178" s="21"/>
      <c r="Z178" s="29"/>
      <c r="AB178" s="27" t="s">
        <v>94</v>
      </c>
      <c r="AC178" s="28" t="s">
        <v>95</v>
      </c>
      <c r="AD178" s="28"/>
      <c r="AE178" s="21"/>
      <c r="AF178" s="28" t="s">
        <v>198</v>
      </c>
      <c r="AG178" s="21"/>
      <c r="AH178" s="21"/>
      <c r="AI178" s="29"/>
    </row>
    <row r="179" spans="1:35">
      <c r="A179" s="134" t="str">
        <f>K29</f>
        <v>33</v>
      </c>
      <c r="B179" s="135" t="str">
        <f>K30</f>
        <v>5000</v>
      </c>
      <c r="C179" s="136"/>
      <c r="D179" s="21"/>
      <c r="E179" s="137">
        <f>B91</f>
        <v>6000</v>
      </c>
      <c r="F179" s="21"/>
      <c r="G179" s="21"/>
      <c r="H179" s="29"/>
      <c r="J179" s="134" t="str">
        <f>K29</f>
        <v>33</v>
      </c>
      <c r="K179" s="135" t="str">
        <f>K30</f>
        <v>5000</v>
      </c>
      <c r="L179" s="136"/>
      <c r="M179" s="21"/>
      <c r="N179" s="137" t="str">
        <f>IF(A120="YES",A40,0)</f>
        <v>12</v>
      </c>
      <c r="O179" s="21"/>
      <c r="P179" s="21"/>
      <c r="Q179" s="29"/>
      <c r="S179" s="134" t="str">
        <f>K29</f>
        <v>33</v>
      </c>
      <c r="T179" s="135" t="str">
        <f>K30</f>
        <v>5000</v>
      </c>
      <c r="U179" s="136"/>
      <c r="V179" s="21"/>
      <c r="W179" s="137" t="str">
        <f>IF(A120="YES",A40,0)</f>
        <v>12</v>
      </c>
      <c r="X179" s="21"/>
      <c r="Y179" s="21"/>
      <c r="Z179" s="29"/>
      <c r="AB179" s="134" t="str">
        <f>K29</f>
        <v>33</v>
      </c>
      <c r="AC179" s="135" t="str">
        <f>K30</f>
        <v>5000</v>
      </c>
      <c r="AD179" s="136"/>
      <c r="AE179" s="21"/>
      <c r="AF179" s="137" t="str">
        <f>IF(A120="YES",A40,0)</f>
        <v>12</v>
      </c>
      <c r="AG179" s="21"/>
      <c r="AH179" s="21"/>
      <c r="AI179" s="29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199</v>
      </c>
      <c r="B181" s="28" t="s">
        <v>200</v>
      </c>
      <c r="C181" s="28"/>
      <c r="D181" s="21"/>
      <c r="E181" s="28" t="s">
        <v>201</v>
      </c>
      <c r="F181" s="21"/>
      <c r="G181" s="21"/>
      <c r="H181" s="29"/>
      <c r="J181" s="27" t="s">
        <v>199</v>
      </c>
      <c r="K181" s="28" t="s">
        <v>200</v>
      </c>
      <c r="L181" s="28"/>
      <c r="M181" s="21"/>
      <c r="N181" s="28" t="s">
        <v>201</v>
      </c>
      <c r="O181" s="21"/>
      <c r="P181" s="21"/>
      <c r="Q181" s="29"/>
      <c r="S181" s="27" t="s">
        <v>199</v>
      </c>
      <c r="T181" s="28" t="s">
        <v>200</v>
      </c>
      <c r="U181" s="28"/>
      <c r="V181" s="21"/>
      <c r="W181" s="28" t="s">
        <v>201</v>
      </c>
      <c r="X181" s="21"/>
      <c r="Y181" s="21"/>
      <c r="Z181" s="29"/>
      <c r="AB181" s="27" t="s">
        <v>199</v>
      </c>
      <c r="AC181" s="28" t="s">
        <v>200</v>
      </c>
      <c r="AD181" s="28"/>
      <c r="AE181" s="21"/>
      <c r="AF181" s="28" t="s">
        <v>201</v>
      </c>
      <c r="AG181" s="21"/>
      <c r="AH181" s="21"/>
      <c r="AI181" s="29"/>
    </row>
    <row r="182" spans="1:35">
      <c r="A182" s="138">
        <f>H150-H146-H148-H149</f>
        <v>56414.249999999993</v>
      </c>
      <c r="B182" s="34">
        <f>H146</f>
        <v>11282.849999999999</v>
      </c>
      <c r="C182" s="38"/>
      <c r="D182" s="21"/>
      <c r="E182" s="137">
        <f>H148+H149</f>
        <v>700</v>
      </c>
      <c r="F182" s="21"/>
      <c r="G182" s="21"/>
      <c r="H182" s="29"/>
      <c r="J182" s="138">
        <f>Q150-Q146-Q148-Q149</f>
        <v>27945.839999999997</v>
      </c>
      <c r="K182" s="34">
        <f>Q146</f>
        <v>5589.1679999999997</v>
      </c>
      <c r="L182" s="38"/>
      <c r="M182" s="21"/>
      <c r="N182" s="137">
        <f>Q148+Q149</f>
        <v>700</v>
      </c>
      <c r="O182" s="21"/>
      <c r="P182" s="21"/>
      <c r="Q182" s="29"/>
      <c r="S182" s="138">
        <f>Z150-Z146-Z148-Z149</f>
        <v>41751.047500000001</v>
      </c>
      <c r="T182" s="34">
        <f>Z146</f>
        <v>8350.2095000000008</v>
      </c>
      <c r="U182" s="38"/>
      <c r="V182" s="21"/>
      <c r="W182" s="137">
        <f>Z148+Z149</f>
        <v>700</v>
      </c>
      <c r="X182" s="21"/>
      <c r="Y182" s="21"/>
      <c r="Z182" s="29"/>
      <c r="AB182" s="138">
        <f>AI150-AI146-AI148-AI149</f>
        <v>41751.047500000001</v>
      </c>
      <c r="AC182" s="34">
        <f>AI146</f>
        <v>8350.2095000000008</v>
      </c>
      <c r="AD182" s="38"/>
      <c r="AE182" s="21"/>
      <c r="AF182" s="137">
        <f>AI148+AI149</f>
        <v>700</v>
      </c>
      <c r="AG182" s="21"/>
      <c r="AH182" s="21"/>
      <c r="AI182" s="29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202</v>
      </c>
      <c r="B184" s="28" t="s">
        <v>148</v>
      </c>
      <c r="C184" s="28"/>
      <c r="D184" s="21"/>
      <c r="E184" s="28" t="s">
        <v>149</v>
      </c>
      <c r="F184" s="21"/>
      <c r="G184" s="21"/>
      <c r="H184" s="29"/>
      <c r="J184" s="27" t="s">
        <v>202</v>
      </c>
      <c r="K184" s="28" t="s">
        <v>148</v>
      </c>
      <c r="L184" s="28"/>
      <c r="M184" s="21"/>
      <c r="N184" s="28" t="s">
        <v>149</v>
      </c>
      <c r="O184" s="21"/>
      <c r="P184" s="21"/>
      <c r="Q184" s="29"/>
      <c r="S184" s="27" t="s">
        <v>202</v>
      </c>
      <c r="T184" s="28" t="s">
        <v>148</v>
      </c>
      <c r="U184" s="28"/>
      <c r="V184" s="21"/>
      <c r="W184" s="28" t="s">
        <v>149</v>
      </c>
      <c r="X184" s="21"/>
      <c r="Y184" s="21"/>
      <c r="Z184" s="29"/>
      <c r="AB184" s="27" t="s">
        <v>202</v>
      </c>
      <c r="AC184" s="28" t="s">
        <v>148</v>
      </c>
      <c r="AD184" s="28"/>
      <c r="AE184" s="21"/>
      <c r="AF184" s="28" t="s">
        <v>149</v>
      </c>
      <c r="AG184" s="21"/>
      <c r="AH184" s="21"/>
      <c r="AI184" s="29"/>
    </row>
    <row r="185" spans="1:35">
      <c r="A185" s="138">
        <f>H150</f>
        <v>68397.099999999991</v>
      </c>
      <c r="B185" s="34">
        <f>B120</f>
        <v>5000</v>
      </c>
      <c r="C185" s="34"/>
      <c r="D185" s="21"/>
      <c r="E185" s="34">
        <f>E120</f>
        <v>4000</v>
      </c>
      <c r="F185" s="21"/>
      <c r="G185" s="21"/>
      <c r="H185" s="90"/>
      <c r="J185" s="138">
        <f>Q150</f>
        <v>34235.007999999994</v>
      </c>
      <c r="K185" s="34">
        <f>K120</f>
        <v>1000</v>
      </c>
      <c r="L185" s="34"/>
      <c r="M185" s="21"/>
      <c r="N185" s="34">
        <f>N120</f>
        <v>0</v>
      </c>
      <c r="O185" s="21"/>
      <c r="P185" s="21"/>
      <c r="Q185" s="90"/>
      <c r="S185" s="138">
        <f>Z150</f>
        <v>50801.256999999998</v>
      </c>
      <c r="T185" s="34">
        <f>T120</f>
        <v>1000</v>
      </c>
      <c r="U185" s="34"/>
      <c r="V185" s="21"/>
      <c r="W185" s="34">
        <f>W120</f>
        <v>0</v>
      </c>
      <c r="X185" s="21"/>
      <c r="Y185" s="21"/>
      <c r="Z185" s="90"/>
      <c r="AB185" s="138">
        <f>AI150</f>
        <v>50801.256999999998</v>
      </c>
      <c r="AC185" s="34">
        <f>AC120</f>
        <v>1000</v>
      </c>
      <c r="AD185" s="34"/>
      <c r="AE185" s="21"/>
      <c r="AF185" s="34">
        <f>AF120</f>
        <v>0</v>
      </c>
      <c r="AG185" s="21"/>
      <c r="AH185" s="21"/>
      <c r="AI185" s="90"/>
    </row>
    <row r="186" spans="1:35">
      <c r="A186" s="27"/>
      <c r="B186" s="28"/>
      <c r="C186" s="28"/>
      <c r="D186" s="21"/>
      <c r="E186" s="28"/>
      <c r="F186" s="21"/>
      <c r="G186" s="21"/>
      <c r="H186" s="29"/>
      <c r="J186" s="27"/>
      <c r="K186" s="28"/>
      <c r="L186" s="28"/>
      <c r="M186" s="21"/>
      <c r="N186" s="28"/>
      <c r="O186" s="21"/>
      <c r="P186" s="21"/>
      <c r="Q186" s="29"/>
      <c r="S186" s="27"/>
      <c r="T186" s="28"/>
      <c r="U186" s="28"/>
      <c r="V186" s="21"/>
      <c r="W186" s="28"/>
      <c r="X186" s="21"/>
      <c r="Y186" s="21"/>
      <c r="Z186" s="29"/>
      <c r="AB186" s="27"/>
      <c r="AC186" s="28"/>
      <c r="AD186" s="28"/>
      <c r="AE186" s="21"/>
      <c r="AF186" s="28"/>
      <c r="AG186" s="21"/>
      <c r="AH186" s="21"/>
      <c r="AI186" s="29"/>
    </row>
    <row r="187" spans="1:35">
      <c r="A187" s="27" t="s">
        <v>150</v>
      </c>
      <c r="B187" s="28" t="s">
        <v>185</v>
      </c>
      <c r="C187" s="28"/>
      <c r="D187" s="21"/>
      <c r="E187" s="28" t="s">
        <v>191</v>
      </c>
      <c r="F187" s="21"/>
      <c r="G187" s="21"/>
      <c r="H187" s="29"/>
      <c r="J187" s="27" t="s">
        <v>150</v>
      </c>
      <c r="K187" s="28" t="s">
        <v>185</v>
      </c>
      <c r="L187" s="28"/>
      <c r="M187" s="21"/>
      <c r="N187" s="28" t="s">
        <v>191</v>
      </c>
      <c r="O187" s="21"/>
      <c r="P187" s="21"/>
      <c r="Q187" s="29"/>
      <c r="S187" s="27" t="s">
        <v>150</v>
      </c>
      <c r="T187" s="28" t="s">
        <v>185</v>
      </c>
      <c r="U187" s="28"/>
      <c r="V187" s="21"/>
      <c r="W187" s="28" t="s">
        <v>191</v>
      </c>
      <c r="X187" s="21"/>
      <c r="Y187" s="21"/>
      <c r="Z187" s="29"/>
      <c r="AB187" s="27" t="s">
        <v>150</v>
      </c>
      <c r="AC187" s="28" t="s">
        <v>185</v>
      </c>
      <c r="AD187" s="28"/>
      <c r="AE187" s="21"/>
      <c r="AF187" s="28" t="s">
        <v>191</v>
      </c>
      <c r="AG187" s="21"/>
      <c r="AH187" s="21"/>
      <c r="AI187" s="29"/>
    </row>
    <row r="188" spans="1:35">
      <c r="A188" s="94">
        <f>B185+E185</f>
        <v>9000</v>
      </c>
      <c r="B188" s="34">
        <f>G163</f>
        <v>0</v>
      </c>
      <c r="C188" s="34"/>
      <c r="D188" s="21"/>
      <c r="E188" s="34">
        <f>G167</f>
        <v>63397.099999999991</v>
      </c>
      <c r="F188" s="21"/>
      <c r="G188" s="21"/>
      <c r="H188" s="90"/>
      <c r="J188" s="94">
        <f>K185+N185</f>
        <v>1000</v>
      </c>
      <c r="K188" s="34">
        <f>P163</f>
        <v>-2000</v>
      </c>
      <c r="L188" s="34"/>
      <c r="M188" s="21"/>
      <c r="N188" s="34">
        <f>J185-J188-K188</f>
        <v>35235.007999999994</v>
      </c>
      <c r="O188" s="21"/>
      <c r="P188" s="21"/>
      <c r="Q188" s="90"/>
      <c r="S188" s="94">
        <f>T185+W185</f>
        <v>1000</v>
      </c>
      <c r="T188" s="34">
        <f>Y163</f>
        <v>-2000</v>
      </c>
      <c r="U188" s="34"/>
      <c r="V188" s="21"/>
      <c r="W188" s="34">
        <f>S185-S188-T188</f>
        <v>51801.256999999998</v>
      </c>
      <c r="X188" s="21"/>
      <c r="Y188" s="21"/>
      <c r="Z188" s="90"/>
      <c r="AB188" s="94">
        <f>AC185+AF185</f>
        <v>1000</v>
      </c>
      <c r="AC188" s="34">
        <f>AH163</f>
        <v>-2000</v>
      </c>
      <c r="AD188" s="34"/>
      <c r="AE188" s="21"/>
      <c r="AF188" s="34">
        <f>AB185-AB188-AC188</f>
        <v>51801.256999999998</v>
      </c>
      <c r="AG188" s="21"/>
      <c r="AH188" s="21"/>
      <c r="AI188" s="90"/>
    </row>
    <row r="189" spans="1:35">
      <c r="A189" s="27"/>
      <c r="B189" s="28"/>
      <c r="C189" s="28"/>
      <c r="D189" s="21"/>
      <c r="E189" s="28"/>
      <c r="F189" s="21"/>
      <c r="G189" s="21"/>
      <c r="H189" s="29"/>
      <c r="J189" s="27"/>
      <c r="K189" s="28"/>
      <c r="L189" s="28"/>
      <c r="M189" s="21"/>
      <c r="N189" s="28"/>
      <c r="O189" s="21"/>
      <c r="P189" s="21"/>
      <c r="Q189" s="29"/>
      <c r="S189" s="27"/>
      <c r="T189" s="28"/>
      <c r="U189" s="28"/>
      <c r="V189" s="21"/>
      <c r="W189" s="28"/>
      <c r="X189" s="21"/>
      <c r="Y189" s="21"/>
      <c r="Z189" s="29"/>
      <c r="AB189" s="27"/>
      <c r="AC189" s="28"/>
      <c r="AD189" s="28"/>
      <c r="AE189" s="21"/>
      <c r="AF189" s="28"/>
      <c r="AG189" s="21"/>
      <c r="AH189" s="21"/>
      <c r="AI189" s="29"/>
    </row>
    <row r="190" spans="1:35">
      <c r="A190" s="27" t="s">
        <v>203</v>
      </c>
      <c r="B190" s="28" t="s">
        <v>66</v>
      </c>
      <c r="C190" s="28"/>
      <c r="D190" s="21"/>
      <c r="E190" s="28" t="s">
        <v>204</v>
      </c>
      <c r="F190" s="21"/>
      <c r="G190" s="21"/>
      <c r="H190" s="29"/>
      <c r="J190" s="27" t="s">
        <v>203</v>
      </c>
      <c r="K190" s="28" t="s">
        <v>66</v>
      </c>
      <c r="L190" s="28"/>
      <c r="M190" s="21"/>
      <c r="N190" s="28" t="s">
        <v>204</v>
      </c>
      <c r="O190" s="21"/>
      <c r="P190" s="21"/>
      <c r="Q190" s="29"/>
      <c r="S190" s="27" t="s">
        <v>203</v>
      </c>
      <c r="T190" s="28" t="s">
        <v>66</v>
      </c>
      <c r="U190" s="28"/>
      <c r="V190" s="21"/>
      <c r="W190" s="28" t="s">
        <v>204</v>
      </c>
      <c r="X190" s="21"/>
      <c r="Y190" s="21"/>
      <c r="Z190" s="29"/>
      <c r="AB190" s="27" t="s">
        <v>203</v>
      </c>
      <c r="AC190" s="28" t="s">
        <v>66</v>
      </c>
      <c r="AD190" s="28"/>
      <c r="AE190" s="21"/>
      <c r="AF190" s="28" t="s">
        <v>204</v>
      </c>
      <c r="AG190" s="21"/>
      <c r="AH190" s="21"/>
      <c r="AI190" s="29"/>
    </row>
    <row r="191" spans="1:35">
      <c r="A191" s="94">
        <f>(A176*B68)+E194-E188-A194</f>
        <v>16075.024539680759</v>
      </c>
      <c r="B191" s="34">
        <f>B123</f>
        <v>199.99166666666667</v>
      </c>
      <c r="C191" s="34"/>
      <c r="D191" s="21"/>
      <c r="E191" s="34">
        <f>E188+A191+(B191*1.2)+A194</f>
        <v>79722.114539680755</v>
      </c>
      <c r="F191" s="21"/>
      <c r="G191" s="21"/>
      <c r="H191" s="90"/>
      <c r="J191" s="94">
        <f>(J176*K68)+N194-N188-J194</f>
        <v>11779.400189492146</v>
      </c>
      <c r="K191" s="34">
        <f>K123</f>
        <v>239.99</v>
      </c>
      <c r="L191" s="34"/>
      <c r="M191" s="21"/>
      <c r="N191" s="34">
        <f>N188+J191+K191+J194</f>
        <v>47274.398189492138</v>
      </c>
      <c r="O191" s="21"/>
      <c r="P191" s="21"/>
      <c r="Q191" s="90"/>
      <c r="S191" s="94">
        <f>(S176*T68)+W194-W188-S194</f>
        <v>9262.9313064919188</v>
      </c>
      <c r="T191" s="34">
        <f>T123</f>
        <v>199.99</v>
      </c>
      <c r="U191" s="34"/>
      <c r="V191" s="21"/>
      <c r="W191" s="34">
        <f>W188+S191+T191+S194</f>
        <v>61274.178306491915</v>
      </c>
      <c r="X191" s="21"/>
      <c r="Y191" s="21"/>
      <c r="Z191" s="90"/>
      <c r="AB191" s="94">
        <f>(AB176*AC68)+AF194-AF188-AB194</f>
        <v>9262.9313064919188</v>
      </c>
      <c r="AC191" s="34">
        <f>AC123</f>
        <v>239.99</v>
      </c>
      <c r="AD191" s="34"/>
      <c r="AE191" s="21"/>
      <c r="AF191" s="34">
        <f>AF188+AB191+AC191+AB194</f>
        <v>61314.178306491915</v>
      </c>
      <c r="AG191" s="21"/>
      <c r="AH191" s="21"/>
      <c r="AI191" s="90"/>
    </row>
    <row r="192" spans="1:35">
      <c r="A192" s="27"/>
      <c r="B192" s="28"/>
      <c r="C192" s="28"/>
      <c r="D192" s="21"/>
      <c r="E192" s="28"/>
      <c r="F192" s="21"/>
      <c r="G192" s="21"/>
      <c r="H192" s="29"/>
      <c r="J192" s="27"/>
      <c r="K192" s="28"/>
      <c r="L192" s="28"/>
      <c r="M192" s="21"/>
      <c r="N192" s="28"/>
      <c r="O192" s="21"/>
      <c r="P192" s="21"/>
      <c r="Q192" s="29"/>
      <c r="S192" s="27"/>
      <c r="T192" s="28"/>
      <c r="U192" s="28"/>
      <c r="V192" s="21"/>
      <c r="W192" s="28"/>
      <c r="X192" s="21"/>
      <c r="Y192" s="21"/>
      <c r="Z192" s="29"/>
      <c r="AB192" s="27"/>
      <c r="AC192" s="28"/>
      <c r="AD192" s="28"/>
      <c r="AE192" s="21"/>
      <c r="AF192" s="28"/>
      <c r="AG192" s="21"/>
      <c r="AH192" s="21"/>
      <c r="AI192" s="29"/>
    </row>
    <row r="193" spans="1:35">
      <c r="A193" s="27" t="s">
        <v>205</v>
      </c>
      <c r="B193" s="28" t="s">
        <v>206</v>
      </c>
      <c r="C193" s="28"/>
      <c r="D193" s="21"/>
      <c r="E193" s="28" t="s">
        <v>207</v>
      </c>
      <c r="F193" s="21"/>
      <c r="G193" s="21"/>
      <c r="H193" s="29"/>
      <c r="J193" s="27" t="s">
        <v>205</v>
      </c>
      <c r="K193" s="28" t="s">
        <v>206</v>
      </c>
      <c r="L193" s="28"/>
      <c r="M193" s="21"/>
      <c r="N193" s="28" t="s">
        <v>207</v>
      </c>
      <c r="O193" s="21"/>
      <c r="P193" s="21"/>
      <c r="Q193" s="29"/>
      <c r="S193" s="27" t="s">
        <v>205</v>
      </c>
      <c r="T193" s="28" t="s">
        <v>206</v>
      </c>
      <c r="U193" s="28"/>
      <c r="V193" s="21"/>
      <c r="W193" s="28" t="s">
        <v>207</v>
      </c>
      <c r="X193" s="21"/>
      <c r="Y193" s="21"/>
      <c r="Z193" s="29"/>
      <c r="AB193" s="27" t="s">
        <v>205</v>
      </c>
      <c r="AC193" s="28" t="s">
        <v>206</v>
      </c>
      <c r="AD193" s="28"/>
      <c r="AE193" s="21"/>
      <c r="AF193" s="28" t="s">
        <v>207</v>
      </c>
      <c r="AG193" s="21"/>
      <c r="AH193" s="21"/>
      <c r="AI193" s="29"/>
    </row>
    <row r="194" spans="1:35">
      <c r="A194" s="94">
        <f>B69</f>
        <v>10</v>
      </c>
      <c r="B194" s="34">
        <f>A188+B191*1.2</f>
        <v>9239.99</v>
      </c>
      <c r="C194" s="34"/>
      <c r="D194" s="21"/>
      <c r="E194" s="34">
        <f>IF( E179=0, A194+E176, E179+A194)</f>
        <v>6010</v>
      </c>
      <c r="F194" s="21"/>
      <c r="G194" s="21"/>
      <c r="H194" s="90"/>
      <c r="J194" s="94">
        <f>K69</f>
        <v>20</v>
      </c>
      <c r="K194" s="34">
        <f>J188+K191</f>
        <v>1239.99</v>
      </c>
      <c r="L194" s="34"/>
      <c r="M194" s="21"/>
      <c r="N194" s="34">
        <f>N179+J194</f>
        <v>32</v>
      </c>
      <c r="O194" s="21"/>
      <c r="P194" s="21"/>
      <c r="Q194" s="90"/>
      <c r="S194" s="94">
        <f>T69</f>
        <v>10</v>
      </c>
      <c r="T194" s="34">
        <f>S188+T191</f>
        <v>1199.99</v>
      </c>
      <c r="U194" s="34"/>
      <c r="V194" s="21"/>
      <c r="W194" s="34">
        <f>W179+S194</f>
        <v>22</v>
      </c>
      <c r="X194" s="21"/>
      <c r="Y194" s="21"/>
      <c r="Z194" s="90"/>
      <c r="AB194" s="94">
        <f>AC69</f>
        <v>10</v>
      </c>
      <c r="AC194" s="34">
        <f>AB188+AC191</f>
        <v>1239.99</v>
      </c>
      <c r="AD194" s="34"/>
      <c r="AE194" s="21"/>
      <c r="AF194" s="34">
        <f>AF179+AB194</f>
        <v>22</v>
      </c>
      <c r="AG194" s="21"/>
      <c r="AH194" s="21"/>
      <c r="AI194" s="90"/>
    </row>
    <row r="195" spans="1:35">
      <c r="A195" s="27"/>
      <c r="B195" s="28"/>
      <c r="C195" s="28"/>
      <c r="D195" s="28"/>
      <c r="E195" s="21"/>
      <c r="F195" s="21"/>
      <c r="G195" s="21"/>
      <c r="H195" s="29"/>
      <c r="J195" s="27"/>
      <c r="K195" s="28"/>
      <c r="L195" s="28"/>
      <c r="M195" s="28"/>
      <c r="N195" s="21"/>
      <c r="O195" s="21"/>
      <c r="P195" s="21"/>
      <c r="Q195" s="29"/>
      <c r="S195" s="27"/>
      <c r="T195" s="28"/>
      <c r="U195" s="28"/>
      <c r="V195" s="28"/>
      <c r="W195" s="21"/>
      <c r="X195" s="28"/>
      <c r="Y195" s="28"/>
      <c r="Z195" s="29"/>
      <c r="AB195" s="27"/>
      <c r="AC195" s="28"/>
      <c r="AD195" s="28"/>
      <c r="AE195" s="28"/>
      <c r="AF195" s="21"/>
      <c r="AG195" s="21"/>
      <c r="AH195" s="21"/>
      <c r="AI195" s="29"/>
    </row>
    <row r="196" spans="1:35">
      <c r="A196" s="27" t="s">
        <v>208</v>
      </c>
      <c r="B196" s="28" t="s">
        <v>209</v>
      </c>
      <c r="C196" s="28"/>
      <c r="D196" s="28"/>
      <c r="E196" s="35" t="s">
        <v>210</v>
      </c>
      <c r="F196" s="21"/>
      <c r="G196" s="21"/>
      <c r="H196" s="29"/>
      <c r="J196" s="27" t="s">
        <v>208</v>
      </c>
      <c r="K196" s="28" t="s">
        <v>209</v>
      </c>
      <c r="L196" s="28"/>
      <c r="M196" s="28"/>
      <c r="N196" s="35" t="s">
        <v>210</v>
      </c>
      <c r="O196" s="21"/>
      <c r="P196" s="21"/>
      <c r="Q196" s="29"/>
      <c r="S196" s="27" t="s">
        <v>208</v>
      </c>
      <c r="T196" s="28" t="s">
        <v>209</v>
      </c>
      <c r="U196" s="28"/>
      <c r="V196" s="28"/>
      <c r="W196" s="35" t="s">
        <v>210</v>
      </c>
      <c r="X196" s="28"/>
      <c r="Y196" s="28"/>
      <c r="Z196" s="29"/>
      <c r="AB196" s="27" t="s">
        <v>208</v>
      </c>
      <c r="AC196" s="28" t="s">
        <v>209</v>
      </c>
      <c r="AD196" s="28"/>
      <c r="AE196" s="28"/>
      <c r="AF196" s="35" t="s">
        <v>210</v>
      </c>
      <c r="AG196" s="28"/>
      <c r="AH196" s="28"/>
      <c r="AI196" s="29"/>
    </row>
    <row r="197" spans="1:35">
      <c r="A197" s="94">
        <f>J18*0.000002*100</f>
        <v>13.815</v>
      </c>
      <c r="B197" s="34">
        <f>(G167*B76)</f>
        <v>950.95649999999978</v>
      </c>
      <c r="C197" s="28"/>
      <c r="D197" s="28"/>
      <c r="E197" s="34">
        <f>IF(E114="YES",(K55*A117*0.1),0)</f>
        <v>13.332000000000003</v>
      </c>
      <c r="F197" s="21"/>
      <c r="G197" s="21"/>
      <c r="H197" s="29"/>
      <c r="J197" s="94">
        <f>IF(N114="YES",H15*0.000002,0)</f>
        <v>0.13679419999999998</v>
      </c>
      <c r="K197" s="34">
        <f>(P167*K76)/1.2</f>
        <v>2110.430166666667</v>
      </c>
      <c r="L197" s="28"/>
      <c r="M197" s="28"/>
      <c r="N197" s="34">
        <f>(E40*J117)*0.1</f>
        <v>0</v>
      </c>
      <c r="O197" s="21"/>
      <c r="P197" s="21"/>
      <c r="Q197" s="29"/>
      <c r="S197" s="94">
        <f>IF(W114="YES",Z15*0.000002,0)</f>
        <v>0</v>
      </c>
      <c r="T197" s="34">
        <f>(Y167*T76)/1.2</f>
        <v>404.69732031250004</v>
      </c>
      <c r="U197" s="28"/>
      <c r="V197" s="28"/>
      <c r="W197" s="34">
        <f>(E40*S117)*0.1</f>
        <v>0</v>
      </c>
      <c r="X197" s="28"/>
      <c r="Y197" s="28"/>
      <c r="Z197" s="29"/>
      <c r="AB197" s="94">
        <f>IF(AF114="YES",AI15*0.000002,0)</f>
        <v>0</v>
      </c>
      <c r="AC197" s="34">
        <f>(AH167*AC76)/1.2</f>
        <v>404.69732031250004</v>
      </c>
      <c r="AD197" s="28"/>
      <c r="AE197" s="28"/>
      <c r="AF197" s="34">
        <f>(E40*AB117)*0.1</f>
        <v>0</v>
      </c>
      <c r="AG197" s="28"/>
      <c r="AH197" s="28"/>
      <c r="AI197" s="29"/>
    </row>
    <row r="198" spans="1:35">
      <c r="A198" s="94"/>
      <c r="B198" s="34"/>
      <c r="C198" s="28"/>
      <c r="D198" s="28"/>
      <c r="E198" s="21"/>
      <c r="F198" s="21"/>
      <c r="G198" s="21"/>
      <c r="H198" s="29"/>
      <c r="J198" s="94"/>
      <c r="K198" s="34"/>
      <c r="L198" s="28"/>
      <c r="M198" s="28"/>
      <c r="N198" s="21"/>
      <c r="O198" s="21"/>
      <c r="P198" s="21"/>
      <c r="Q198" s="29"/>
      <c r="S198" s="94"/>
      <c r="T198" s="34"/>
      <c r="U198" s="28"/>
      <c r="V198" s="28"/>
      <c r="W198" s="21"/>
      <c r="X198" s="28"/>
      <c r="Y198" s="28"/>
      <c r="Z198" s="29"/>
      <c r="AB198" s="94"/>
      <c r="AC198" s="34"/>
      <c r="AD198" s="28"/>
      <c r="AE198" s="28"/>
      <c r="AF198" s="21"/>
      <c r="AG198" s="28"/>
      <c r="AH198" s="28"/>
      <c r="AI198" s="29"/>
    </row>
    <row r="199" spans="1:35">
      <c r="A199" s="53" t="s">
        <v>211</v>
      </c>
      <c r="B199" s="35" t="s">
        <v>212</v>
      </c>
      <c r="C199" s="28"/>
      <c r="D199" s="28"/>
      <c r="E199" s="35" t="s">
        <v>213</v>
      </c>
      <c r="F199" s="21"/>
      <c r="G199" s="21"/>
      <c r="H199" s="29"/>
      <c r="J199" s="53" t="s">
        <v>211</v>
      </c>
      <c r="K199" s="35" t="s">
        <v>212</v>
      </c>
      <c r="L199" s="28"/>
      <c r="M199" s="28"/>
      <c r="N199" s="35" t="s">
        <v>213</v>
      </c>
      <c r="O199" s="21"/>
      <c r="P199" s="21"/>
      <c r="Q199" s="29"/>
      <c r="S199" s="53" t="s">
        <v>211</v>
      </c>
      <c r="T199" s="35" t="s">
        <v>212</v>
      </c>
      <c r="U199" s="28"/>
      <c r="V199" s="28"/>
      <c r="W199" s="35" t="s">
        <v>213</v>
      </c>
      <c r="X199" s="28"/>
      <c r="Y199" s="28"/>
      <c r="Z199" s="29"/>
      <c r="AB199" s="53" t="s">
        <v>211</v>
      </c>
      <c r="AC199" s="35" t="s">
        <v>212</v>
      </c>
      <c r="AD199" s="28"/>
      <c r="AE199" s="28"/>
      <c r="AF199" s="35" t="s">
        <v>213</v>
      </c>
      <c r="AG199" s="28"/>
      <c r="AH199" s="28"/>
      <c r="AI199" s="29"/>
    </row>
    <row r="200" spans="1:35">
      <c r="A200" s="94">
        <v>20</v>
      </c>
      <c r="B200" s="34">
        <f>B197+E197+A200</f>
        <v>984.28849999999977</v>
      </c>
      <c r="C200" s="28"/>
      <c r="D200" s="28"/>
      <c r="E200" s="34">
        <f>H157</f>
        <v>0</v>
      </c>
      <c r="F200" s="21"/>
      <c r="G200" s="21"/>
      <c r="H200" s="29"/>
      <c r="J200" s="94">
        <f>K194-100</f>
        <v>1139.99</v>
      </c>
      <c r="K200" s="34">
        <f>K197+N197+J200</f>
        <v>3250.4201666666668</v>
      </c>
      <c r="L200" s="28"/>
      <c r="M200" s="28"/>
      <c r="N200" s="34">
        <f>Q157</f>
        <v>-34162.091999999997</v>
      </c>
      <c r="O200" s="21"/>
      <c r="P200" s="21"/>
      <c r="Q200" s="29"/>
      <c r="S200" s="94">
        <f>T194-100</f>
        <v>1099.99</v>
      </c>
      <c r="T200" s="34">
        <f>T197+W197+S200</f>
        <v>1504.6873203125001</v>
      </c>
      <c r="U200" s="28"/>
      <c r="V200" s="28"/>
      <c r="W200" s="34">
        <f>Z157</f>
        <v>-17595.842999999993</v>
      </c>
      <c r="X200" s="28"/>
      <c r="Y200" s="28"/>
      <c r="Z200" s="29"/>
      <c r="AB200" s="94">
        <f>AC194-100</f>
        <v>1139.99</v>
      </c>
      <c r="AC200" s="34">
        <f>AC197+AF197+AB200</f>
        <v>1544.6873203125001</v>
      </c>
      <c r="AD200" s="28"/>
      <c r="AE200" s="28"/>
      <c r="AF200" s="34">
        <f>AI157</f>
        <v>-17595.842999999993</v>
      </c>
      <c r="AG200" s="28"/>
      <c r="AH200" s="28"/>
      <c r="AI200" s="29"/>
    </row>
    <row r="201" spans="1:35">
      <c r="A201" s="27"/>
      <c r="B201" s="28"/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58" t="s">
        <v>214</v>
      </c>
      <c r="B202" s="28"/>
      <c r="C202" s="28"/>
      <c r="D202" s="59"/>
      <c r="E202" s="59"/>
      <c r="F202" s="59"/>
      <c r="G202" s="59"/>
      <c r="H202" s="60"/>
      <c r="J202" s="58" t="s">
        <v>214</v>
      </c>
      <c r="K202" s="28"/>
      <c r="L202" s="28"/>
      <c r="M202" s="59"/>
      <c r="N202" s="59"/>
      <c r="O202" s="59"/>
      <c r="P202" s="59"/>
      <c r="Q202" s="60"/>
      <c r="S202" s="58" t="s">
        <v>214</v>
      </c>
      <c r="T202" s="28"/>
      <c r="U202" s="28"/>
      <c r="V202" s="59"/>
      <c r="W202" s="59"/>
      <c r="X202" s="59"/>
      <c r="Y202" s="59"/>
      <c r="Z202" s="60"/>
      <c r="AB202" s="58" t="s">
        <v>214</v>
      </c>
      <c r="AC202" s="28"/>
      <c r="AD202" s="28"/>
      <c r="AE202" s="59"/>
      <c r="AF202" s="59"/>
      <c r="AG202" s="59"/>
      <c r="AH202" s="59"/>
      <c r="AI202" s="60"/>
    </row>
    <row r="203" spans="1:35">
      <c r="A203" s="27"/>
      <c r="B203" s="61"/>
      <c r="C203" s="61"/>
      <c r="D203" s="28"/>
      <c r="E203" s="21"/>
      <c r="F203" s="21"/>
      <c r="G203" s="21"/>
      <c r="H203" s="29"/>
      <c r="J203" s="27"/>
      <c r="K203" s="61"/>
      <c r="L203" s="61"/>
      <c r="M203" s="28"/>
      <c r="N203" s="21"/>
      <c r="O203" s="21"/>
      <c r="P203" s="21"/>
      <c r="Q203" s="29"/>
      <c r="S203" s="27"/>
      <c r="T203" s="61"/>
      <c r="U203" s="61"/>
      <c r="V203" s="28"/>
      <c r="W203" s="21"/>
      <c r="X203" s="21"/>
      <c r="Y203" s="21"/>
      <c r="Z203" s="29"/>
      <c r="AB203" s="27"/>
      <c r="AC203" s="61"/>
      <c r="AD203" s="61"/>
      <c r="AE203" s="28"/>
      <c r="AF203" s="21"/>
      <c r="AG203" s="21"/>
      <c r="AH203" s="21"/>
      <c r="AI203" s="29"/>
    </row>
    <row r="204" spans="1:35" ht="21">
      <c r="A204" s="369" t="s">
        <v>94</v>
      </c>
      <c r="B204" s="341" t="s">
        <v>95</v>
      </c>
      <c r="C204" s="341"/>
      <c r="D204" s="341"/>
      <c r="E204" s="21"/>
      <c r="F204" s="21"/>
      <c r="G204" s="21"/>
      <c r="H204" s="29"/>
      <c r="J204" s="369" t="s">
        <v>94</v>
      </c>
      <c r="K204" s="370" t="s">
        <v>95</v>
      </c>
      <c r="L204" s="370"/>
      <c r="M204" s="370"/>
      <c r="N204" s="21"/>
      <c r="O204" s="21"/>
      <c r="P204" s="21"/>
      <c r="Q204" s="29"/>
      <c r="S204" s="369" t="s">
        <v>94</v>
      </c>
      <c r="T204" s="341" t="s">
        <v>95</v>
      </c>
      <c r="U204" s="341"/>
      <c r="V204" s="341"/>
      <c r="W204" s="21"/>
      <c r="X204" s="21"/>
      <c r="Y204" s="21"/>
      <c r="Z204" s="29"/>
      <c r="AB204" s="369" t="s">
        <v>94</v>
      </c>
      <c r="AC204" s="341" t="s">
        <v>95</v>
      </c>
      <c r="AD204" s="341"/>
      <c r="AE204" s="341"/>
      <c r="AF204" s="21"/>
      <c r="AG204" s="21"/>
      <c r="AH204" s="21"/>
      <c r="AI204" s="29"/>
    </row>
    <row r="205" spans="1:35" ht="19.5" customHeight="1">
      <c r="A205" s="369"/>
      <c r="B205" s="342" t="str">
        <f>K30</f>
        <v>5000</v>
      </c>
      <c r="C205" s="342"/>
      <c r="D205" s="342"/>
      <c r="E205" s="21"/>
      <c r="F205" s="21"/>
      <c r="G205" s="21"/>
      <c r="H205" s="29"/>
      <c r="J205" s="369"/>
      <c r="K205" s="371" t="str">
        <f>K30</f>
        <v>5000</v>
      </c>
      <c r="L205" s="371"/>
      <c r="M205" s="371"/>
      <c r="N205" s="21"/>
      <c r="O205" s="21"/>
      <c r="P205" s="21"/>
      <c r="Q205" s="29"/>
      <c r="S205" s="369"/>
      <c r="T205" s="342" t="str">
        <f>K30</f>
        <v>5000</v>
      </c>
      <c r="U205" s="342"/>
      <c r="V205" s="342"/>
      <c r="W205" s="21"/>
      <c r="X205" s="21"/>
      <c r="Y205" s="21"/>
      <c r="Z205" s="29"/>
      <c r="AB205" s="369"/>
      <c r="AC205" s="342" t="str">
        <f>K30</f>
        <v>5000</v>
      </c>
      <c r="AD205" s="342"/>
      <c r="AE205" s="342"/>
      <c r="AF205" s="21"/>
      <c r="AG205" s="21"/>
      <c r="AH205" s="21"/>
      <c r="AI205" s="29"/>
    </row>
    <row r="206" spans="1:35">
      <c r="A206" s="62" t="str">
        <f>K29</f>
        <v>33</v>
      </c>
      <c r="B206" s="343">
        <f>B105</f>
        <v>2321.0013918650234</v>
      </c>
      <c r="C206" s="343"/>
      <c r="D206" s="343"/>
      <c r="E206" s="21"/>
      <c r="F206" s="21"/>
      <c r="G206" s="21"/>
      <c r="H206" s="29"/>
      <c r="J206" s="62" t="str">
        <f>K29</f>
        <v>33</v>
      </c>
      <c r="K206" s="343">
        <f>K105</f>
        <v>1468.8252559216294</v>
      </c>
      <c r="L206" s="343"/>
      <c r="M206" s="343"/>
      <c r="N206" s="21"/>
      <c r="O206" s="21"/>
      <c r="P206" s="21"/>
      <c r="Q206" s="29"/>
      <c r="S206" s="62" t="str">
        <f>K29</f>
        <v>33</v>
      </c>
      <c r="T206" s="343">
        <f>T105</f>
        <v>1907.8808845778724</v>
      </c>
      <c r="U206" s="343"/>
      <c r="V206" s="343"/>
      <c r="W206" s="21"/>
      <c r="X206" s="21"/>
      <c r="Y206" s="21"/>
      <c r="Z206" s="29"/>
      <c r="AB206" s="62" t="str">
        <f>K29</f>
        <v>33</v>
      </c>
      <c r="AC206" s="343">
        <f>AC105</f>
        <v>1907.8808845778724</v>
      </c>
      <c r="AD206" s="343"/>
      <c r="AE206" s="343"/>
      <c r="AF206" s="21"/>
      <c r="AG206" s="21"/>
      <c r="AH206" s="21"/>
      <c r="AI206" s="29"/>
    </row>
    <row r="207" spans="1:35">
      <c r="A207" s="27"/>
      <c r="B207" s="28"/>
      <c r="C207" s="28"/>
      <c r="D207" s="28"/>
      <c r="E207" s="21"/>
      <c r="F207" s="21"/>
      <c r="G207" s="21"/>
      <c r="H207" s="29"/>
      <c r="J207" s="27"/>
      <c r="K207" s="28"/>
      <c r="L207" s="28"/>
      <c r="M207" s="28"/>
      <c r="N207" s="21"/>
      <c r="O207" s="21"/>
      <c r="P207" s="21"/>
      <c r="Q207" s="29"/>
      <c r="S207" s="27"/>
      <c r="T207" s="28"/>
      <c r="U207" s="28"/>
      <c r="V207" s="28"/>
      <c r="W207" s="21"/>
      <c r="X207" s="21"/>
      <c r="Y207" s="21"/>
      <c r="Z207" s="29"/>
      <c r="AB207" s="27"/>
      <c r="AC207" s="28"/>
      <c r="AD207" s="28"/>
      <c r="AE207" s="28"/>
      <c r="AF207" s="21"/>
      <c r="AG207" s="21"/>
      <c r="AH207" s="21"/>
      <c r="AI207" s="29"/>
    </row>
    <row r="208" spans="1:35">
      <c r="A208" s="27"/>
      <c r="B208" s="28"/>
      <c r="C208" s="28"/>
      <c r="D208" s="28"/>
      <c r="E208" s="21"/>
      <c r="F208" s="21"/>
      <c r="G208" s="21"/>
      <c r="H208" s="29"/>
      <c r="J208" s="27"/>
      <c r="K208" s="28"/>
      <c r="L208" s="28"/>
      <c r="M208" s="28"/>
      <c r="N208" s="21"/>
      <c r="O208" s="21"/>
      <c r="P208" s="21"/>
      <c r="Q208" s="29"/>
      <c r="S208" s="27"/>
      <c r="T208" s="28"/>
      <c r="U208" s="28"/>
      <c r="V208" s="28"/>
      <c r="W208" s="21"/>
      <c r="X208" s="21"/>
      <c r="Y208" s="21"/>
      <c r="Z208" s="29"/>
      <c r="AB208" s="27"/>
      <c r="AC208" s="28"/>
      <c r="AD208" s="28"/>
      <c r="AE208" s="28"/>
      <c r="AF208" s="21"/>
      <c r="AG208" s="21"/>
      <c r="AH208" s="21"/>
      <c r="AI208" s="29"/>
    </row>
    <row r="209" spans="1:35">
      <c r="A209" s="27" t="s">
        <v>215</v>
      </c>
      <c r="B209" s="28" t="s">
        <v>216</v>
      </c>
      <c r="C209" s="28"/>
      <c r="D209" s="28"/>
      <c r="E209" s="21"/>
      <c r="F209" s="21"/>
      <c r="G209" s="21"/>
      <c r="H209" s="29"/>
      <c r="J209" s="27"/>
      <c r="K209" s="28"/>
      <c r="L209" s="28"/>
      <c r="M209" s="28"/>
      <c r="N209" s="21"/>
      <c r="O209" s="21"/>
      <c r="P209" s="21"/>
      <c r="Q209" s="29"/>
      <c r="S209" s="27"/>
      <c r="T209" s="28"/>
      <c r="U209" s="28"/>
      <c r="V209" s="28"/>
      <c r="W209" s="21"/>
      <c r="X209" s="21"/>
      <c r="Y209" s="21"/>
      <c r="Z209" s="29"/>
      <c r="AB209" s="27"/>
      <c r="AC209" s="28"/>
      <c r="AD209" s="28"/>
      <c r="AE209" s="28"/>
      <c r="AF209" s="21"/>
      <c r="AG209" s="21"/>
      <c r="AH209" s="21"/>
      <c r="AI209" s="29"/>
    </row>
    <row r="210" spans="1:35">
      <c r="A210" s="32">
        <f>IF(A49=0,((G176*(B68+1))-E188),((G176*B68)+E194-E188-A194))</f>
        <v>10710.100000000006</v>
      </c>
      <c r="B210" s="38">
        <f>ROUND((E188+A210+(B191*1.2)+A194),2)</f>
        <v>74357.19</v>
      </c>
      <c r="C210" s="28"/>
      <c r="D210" s="28"/>
      <c r="E210" s="21"/>
      <c r="F210" s="21"/>
      <c r="G210" s="21"/>
      <c r="H210" s="29"/>
      <c r="J210" s="27"/>
      <c r="K210" s="28"/>
      <c r="L210" s="28"/>
      <c r="M210" s="28"/>
      <c r="N210" s="21"/>
      <c r="O210" s="21"/>
      <c r="P210" s="21"/>
      <c r="Q210" s="29"/>
      <c r="S210" s="27"/>
      <c r="T210" s="28"/>
      <c r="U210" s="28"/>
      <c r="V210" s="28"/>
      <c r="W210" s="21"/>
      <c r="X210" s="21"/>
      <c r="Y210" s="21"/>
      <c r="Z210" s="29"/>
      <c r="AB210" s="27"/>
      <c r="AC210" s="28"/>
      <c r="AD210" s="28"/>
      <c r="AE210" s="28"/>
      <c r="AF210" s="21"/>
      <c r="AG210" s="21"/>
      <c r="AH210" s="21"/>
      <c r="AI210" s="29"/>
    </row>
    <row r="211" spans="1:35">
      <c r="A211" s="49"/>
      <c r="B211" s="50"/>
      <c r="C211" s="50"/>
      <c r="D211" s="50"/>
      <c r="E211" s="50"/>
      <c r="F211" s="50"/>
      <c r="G211" s="50"/>
      <c r="H211" s="57"/>
      <c r="J211" s="49"/>
      <c r="K211" s="50"/>
      <c r="L211" s="50"/>
      <c r="M211" s="50"/>
      <c r="N211" s="50"/>
      <c r="O211" s="50"/>
      <c r="P211" s="50"/>
      <c r="Q211" s="57"/>
      <c r="S211" s="49"/>
      <c r="T211" s="50"/>
      <c r="U211" s="50"/>
      <c r="V211" s="50"/>
      <c r="W211" s="50"/>
      <c r="X211" s="50"/>
      <c r="Y211" s="50"/>
      <c r="Z211" s="57"/>
      <c r="AB211" s="49"/>
      <c r="AC211" s="50"/>
      <c r="AD211" s="50"/>
      <c r="AE211" s="50"/>
      <c r="AF211" s="50"/>
      <c r="AG211" s="50"/>
      <c r="AH211" s="50"/>
      <c r="AI211" s="57"/>
    </row>
    <row r="215" spans="1:35" ht="23.25">
      <c r="A215" s="372" t="s">
        <v>192</v>
      </c>
      <c r="B215" s="372"/>
      <c r="C215" s="372"/>
      <c r="D215" s="372"/>
      <c r="E215" s="372"/>
      <c r="F215" s="372"/>
      <c r="G215" s="372"/>
      <c r="H215" s="372"/>
    </row>
    <row r="216" spans="1:35">
      <c r="A216" s="27"/>
      <c r="B216" s="28"/>
      <c r="C216" s="28"/>
      <c r="D216" s="28"/>
      <c r="E216" s="21"/>
      <c r="F216" s="21"/>
      <c r="G216" s="21"/>
      <c r="H216" s="29"/>
    </row>
    <row r="217" spans="1:35">
      <c r="A217" s="139" t="s">
        <v>137</v>
      </c>
      <c r="B217" s="140" t="s">
        <v>52</v>
      </c>
      <c r="C217" s="140"/>
      <c r="D217" s="140"/>
      <c r="E217" s="140" t="s">
        <v>53</v>
      </c>
      <c r="F217" s="141"/>
      <c r="G217" s="21"/>
      <c r="H217" s="29"/>
    </row>
    <row r="218" spans="1:35">
      <c r="A218" s="142" t="s">
        <v>217</v>
      </c>
      <c r="B218" s="131" t="str">
        <f>A206</f>
        <v>33</v>
      </c>
      <c r="C218" s="131"/>
      <c r="D218" s="131"/>
      <c r="E218" s="131" t="str">
        <f>B205</f>
        <v>5000</v>
      </c>
      <c r="F218" s="141"/>
      <c r="G218" s="21"/>
      <c r="H218" s="29"/>
    </row>
    <row r="219" spans="1:35">
      <c r="A219" s="27"/>
      <c r="B219" s="28"/>
      <c r="C219" s="28"/>
      <c r="D219" s="28"/>
      <c r="E219" s="21"/>
      <c r="F219" s="21"/>
      <c r="G219" s="21"/>
      <c r="H219" s="29"/>
    </row>
    <row r="220" spans="1:35">
      <c r="A220" s="139" t="s">
        <v>194</v>
      </c>
      <c r="B220" s="140" t="s">
        <v>195</v>
      </c>
      <c r="C220" s="140"/>
      <c r="D220" s="140"/>
      <c r="E220" s="140" t="s">
        <v>196</v>
      </c>
      <c r="F220" s="21"/>
      <c r="G220" s="21"/>
      <c r="H220" s="29"/>
    </row>
    <row r="221" spans="1:35">
      <c r="A221" s="132">
        <f>A176</f>
        <v>2296.0038918650234</v>
      </c>
      <c r="B221" s="133">
        <f>B176</f>
        <v>24.997500000000002</v>
      </c>
      <c r="C221" s="131"/>
      <c r="D221" s="131"/>
      <c r="E221" s="133">
        <f>E176</f>
        <v>2321.0013918650234</v>
      </c>
      <c r="F221" s="21"/>
      <c r="G221" s="21"/>
      <c r="H221" s="29"/>
    </row>
    <row r="222" spans="1:35">
      <c r="A222" s="27"/>
      <c r="B222" s="28"/>
      <c r="C222" s="28"/>
      <c r="D222" s="28"/>
      <c r="E222" s="21"/>
      <c r="F222" s="21"/>
      <c r="G222" s="21"/>
      <c r="H222" s="29"/>
    </row>
    <row r="223" spans="1:35">
      <c r="A223" s="27" t="s">
        <v>199</v>
      </c>
      <c r="B223" s="28" t="s">
        <v>200</v>
      </c>
      <c r="C223" s="28"/>
      <c r="D223" s="21"/>
      <c r="E223" s="28" t="s">
        <v>201</v>
      </c>
      <c r="F223" s="21"/>
      <c r="G223" s="21"/>
      <c r="H223" s="29"/>
    </row>
    <row r="224" spans="1:35">
      <c r="A224" s="138">
        <f>A182</f>
        <v>56414.249999999993</v>
      </c>
      <c r="B224" s="34">
        <f>B182</f>
        <v>11282.849999999999</v>
      </c>
      <c r="C224" s="38"/>
      <c r="D224" s="21"/>
      <c r="E224" s="137">
        <f>E182</f>
        <v>700</v>
      </c>
      <c r="F224" s="21"/>
      <c r="G224" s="21"/>
      <c r="H224" s="29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202</v>
      </c>
      <c r="B226" s="28" t="s">
        <v>148</v>
      </c>
      <c r="C226" s="28"/>
      <c r="D226" s="21"/>
      <c r="E226" s="28" t="s">
        <v>149</v>
      </c>
      <c r="F226" s="21"/>
      <c r="G226" s="21"/>
      <c r="H226" s="29"/>
    </row>
    <row r="227" spans="1:8">
      <c r="A227" s="138">
        <f>A185</f>
        <v>68397.099999999991</v>
      </c>
      <c r="B227" s="34">
        <f>B185</f>
        <v>5000</v>
      </c>
      <c r="C227" s="34"/>
      <c r="D227" s="21"/>
      <c r="E227" s="34">
        <f>E185</f>
        <v>4000</v>
      </c>
      <c r="F227" s="21"/>
      <c r="G227" s="21"/>
      <c r="H227" s="90"/>
    </row>
    <row r="228" spans="1:8">
      <c r="A228" s="27"/>
      <c r="B228" s="28"/>
      <c r="C228" s="28"/>
      <c r="D228" s="21"/>
      <c r="E228" s="28"/>
      <c r="F228" s="21"/>
      <c r="G228" s="21"/>
      <c r="H228" s="29"/>
    </row>
    <row r="229" spans="1:8">
      <c r="A229" s="27" t="s">
        <v>150</v>
      </c>
      <c r="B229" s="28" t="s">
        <v>185</v>
      </c>
      <c r="C229" s="28"/>
      <c r="D229" s="21"/>
      <c r="E229" s="28" t="s">
        <v>191</v>
      </c>
      <c r="F229" s="21"/>
      <c r="G229" s="21"/>
      <c r="H229" s="29"/>
    </row>
    <row r="230" spans="1:8">
      <c r="A230" s="94">
        <f>A188</f>
        <v>9000</v>
      </c>
      <c r="B230" s="34">
        <f>B188</f>
        <v>0</v>
      </c>
      <c r="C230" s="34"/>
      <c r="D230" s="21"/>
      <c r="E230" s="34">
        <f>E188</f>
        <v>63397.099999999991</v>
      </c>
      <c r="F230" s="21"/>
      <c r="G230" s="21"/>
      <c r="H230" s="90"/>
    </row>
    <row r="231" spans="1:8">
      <c r="A231" s="27"/>
      <c r="B231" s="28"/>
      <c r="C231" s="28"/>
      <c r="D231" s="21"/>
      <c r="E231" s="28"/>
      <c r="F231" s="21"/>
      <c r="G231" s="21"/>
      <c r="H231" s="29"/>
    </row>
    <row r="232" spans="1:8">
      <c r="A232" s="27" t="s">
        <v>203</v>
      </c>
      <c r="B232" s="28" t="s">
        <v>66</v>
      </c>
      <c r="C232" s="28"/>
      <c r="D232" s="21"/>
      <c r="E232" s="28" t="s">
        <v>204</v>
      </c>
      <c r="F232" s="21"/>
      <c r="G232" s="21"/>
      <c r="H232" s="29"/>
    </row>
    <row r="233" spans="1:8">
      <c r="A233" s="94">
        <f>A191</f>
        <v>16075.024539680759</v>
      </c>
      <c r="B233" s="34">
        <f>B191</f>
        <v>199.99166666666667</v>
      </c>
      <c r="C233" s="34"/>
      <c r="D233" s="21"/>
      <c r="E233" s="34">
        <f>E191</f>
        <v>79722.114539680755</v>
      </c>
      <c r="F233" s="21"/>
      <c r="G233" s="21"/>
      <c r="H233" s="90"/>
    </row>
    <row r="234" spans="1:8">
      <c r="A234" s="27"/>
      <c r="B234" s="28"/>
      <c r="C234" s="28"/>
      <c r="D234" s="21"/>
      <c r="E234" s="28"/>
      <c r="F234" s="21"/>
      <c r="G234" s="21"/>
      <c r="H234" s="29"/>
    </row>
    <row r="235" spans="1:8">
      <c r="A235" s="27" t="s">
        <v>205</v>
      </c>
      <c r="B235" s="28" t="s">
        <v>206</v>
      </c>
      <c r="C235" s="28"/>
      <c r="D235" s="21"/>
      <c r="E235" s="28" t="s">
        <v>218</v>
      </c>
      <c r="F235" s="21"/>
      <c r="G235" s="21"/>
      <c r="H235" s="29"/>
    </row>
    <row r="236" spans="1:8">
      <c r="A236" s="94">
        <f>A194</f>
        <v>10</v>
      </c>
      <c r="B236" s="34">
        <f>B194</f>
        <v>9239.99</v>
      </c>
      <c r="C236" s="34"/>
      <c r="D236" s="21"/>
      <c r="E236" s="34">
        <f>B68</f>
        <v>32</v>
      </c>
      <c r="F236" s="21"/>
      <c r="G236" s="21"/>
      <c r="H236" s="90"/>
    </row>
    <row r="237" spans="1:8">
      <c r="A237" s="27"/>
      <c r="B237" s="28"/>
      <c r="C237" s="28"/>
      <c r="D237" s="28"/>
      <c r="E237" s="21"/>
      <c r="F237" s="21"/>
      <c r="G237" s="21"/>
      <c r="H237" s="29"/>
    </row>
    <row r="238" spans="1:8">
      <c r="A238" s="27" t="s">
        <v>194</v>
      </c>
      <c r="B238" s="28" t="s">
        <v>195</v>
      </c>
      <c r="C238" s="28"/>
      <c r="D238" s="28"/>
      <c r="E238" s="28" t="s">
        <v>196</v>
      </c>
      <c r="F238" s="21"/>
      <c r="G238" s="21"/>
      <c r="H238" s="29"/>
    </row>
    <row r="239" spans="1:8">
      <c r="A239" s="94">
        <f>A176</f>
        <v>2296.0038918650234</v>
      </c>
      <c r="B239" s="34">
        <f>B176</f>
        <v>24.997500000000002</v>
      </c>
      <c r="C239" s="38"/>
      <c r="D239" s="38"/>
      <c r="E239" s="34">
        <f>E176</f>
        <v>2321.0013918650234</v>
      </c>
      <c r="F239" s="21"/>
      <c r="G239" s="21"/>
      <c r="H239" s="29"/>
    </row>
    <row r="240" spans="1:8">
      <c r="A240" s="27"/>
      <c r="B240" s="28"/>
      <c r="C240" s="28"/>
      <c r="D240" s="28"/>
      <c r="E240" s="21"/>
      <c r="F240" s="21"/>
      <c r="G240" s="21"/>
      <c r="H240" s="29"/>
    </row>
    <row r="241" spans="1:8">
      <c r="A241" s="27" t="s">
        <v>219</v>
      </c>
      <c r="B241" s="28" t="s">
        <v>220</v>
      </c>
      <c r="C241" s="28"/>
      <c r="D241" s="28"/>
      <c r="E241" s="28" t="s">
        <v>80</v>
      </c>
      <c r="F241" s="21"/>
      <c r="G241" s="21"/>
      <c r="H241" s="29"/>
    </row>
    <row r="242" spans="1:8">
      <c r="A242" s="94">
        <f>E179</f>
        <v>6000</v>
      </c>
      <c r="B242" s="34">
        <f>E194</f>
        <v>6010</v>
      </c>
      <c r="C242" s="28"/>
      <c r="D242" s="28"/>
      <c r="E242" s="34">
        <f>J18*0.000006*100</f>
        <v>41.445</v>
      </c>
      <c r="F242" s="21"/>
      <c r="G242" s="21"/>
      <c r="H242" s="29"/>
    </row>
    <row r="243" spans="1:8">
      <c r="A243" s="94"/>
      <c r="B243" s="34"/>
      <c r="C243" s="28"/>
      <c r="D243" s="28"/>
      <c r="E243" s="34"/>
      <c r="F243" s="21"/>
      <c r="G243" s="21"/>
      <c r="H243" s="29"/>
    </row>
    <row r="244" spans="1:8">
      <c r="A244" s="53" t="s">
        <v>221</v>
      </c>
      <c r="B244" s="35" t="s">
        <v>85</v>
      </c>
      <c r="C244" s="28"/>
      <c r="D244" s="28"/>
      <c r="E244" s="35" t="s">
        <v>142</v>
      </c>
      <c r="F244" s="21"/>
      <c r="G244" s="21"/>
      <c r="H244" s="29"/>
    </row>
    <row r="245" spans="1:8">
      <c r="A245" s="94">
        <f>A197</f>
        <v>13.815</v>
      </c>
      <c r="B245" s="34">
        <f>E242+A245</f>
        <v>55.26</v>
      </c>
      <c r="C245" s="28"/>
      <c r="D245" s="28"/>
      <c r="E245" s="34"/>
      <c r="F245" s="21"/>
      <c r="G245" s="21"/>
      <c r="H245" s="29"/>
    </row>
    <row r="246" spans="1:8">
      <c r="A246" s="94"/>
      <c r="B246" s="34"/>
      <c r="C246" s="28"/>
      <c r="D246" s="28"/>
      <c r="E246" s="34"/>
      <c r="F246" s="21"/>
      <c r="G246" s="21"/>
      <c r="H246" s="29"/>
    </row>
    <row r="247" spans="1:8" ht="23.25">
      <c r="A247" s="373" t="s">
        <v>222</v>
      </c>
      <c r="B247" s="373"/>
      <c r="C247" s="373"/>
      <c r="D247" s="373"/>
      <c r="E247" s="373"/>
      <c r="F247" s="373"/>
      <c r="G247" s="373"/>
      <c r="H247" s="373"/>
    </row>
    <row r="248" spans="1:8">
      <c r="A248" s="27" t="s">
        <v>223</v>
      </c>
      <c r="B248" s="28" t="s">
        <v>209</v>
      </c>
      <c r="C248" s="28"/>
      <c r="D248" s="28"/>
      <c r="E248" s="35" t="s">
        <v>210</v>
      </c>
      <c r="F248" s="21"/>
      <c r="G248" s="21"/>
      <c r="H248" s="29"/>
    </row>
    <row r="249" spans="1:8">
      <c r="A249" s="94">
        <f>H157</f>
        <v>0</v>
      </c>
      <c r="B249" s="34">
        <f>B197</f>
        <v>950.95649999999978</v>
      </c>
      <c r="C249" s="28"/>
      <c r="D249" s="28"/>
      <c r="E249" s="34">
        <f>E197</f>
        <v>13.332000000000003</v>
      </c>
      <c r="F249" s="21"/>
      <c r="G249" s="21"/>
      <c r="H249" s="29"/>
    </row>
    <row r="250" spans="1:8">
      <c r="A250" s="94"/>
      <c r="B250" s="34"/>
      <c r="C250" s="28"/>
      <c r="D250" s="28"/>
      <c r="E250" s="21"/>
      <c r="F250" s="21"/>
      <c r="G250" s="21"/>
      <c r="H250" s="29"/>
    </row>
    <row r="251" spans="1:8">
      <c r="A251" s="53" t="s">
        <v>211</v>
      </c>
      <c r="B251" s="35" t="s">
        <v>212</v>
      </c>
      <c r="C251" s="28"/>
      <c r="D251" s="28"/>
      <c r="E251" s="35"/>
      <c r="F251" s="21"/>
      <c r="G251" s="21"/>
      <c r="H251" s="29"/>
    </row>
    <row r="252" spans="1:8">
      <c r="A252" s="94">
        <f>A200</f>
        <v>20</v>
      </c>
      <c r="B252" s="34">
        <f>B249+E249+A252+A249-H165</f>
        <v>984.28849999999977</v>
      </c>
      <c r="C252" s="28"/>
      <c r="D252" s="28"/>
      <c r="E252" s="34"/>
      <c r="F252" s="21"/>
      <c r="G252" s="21"/>
      <c r="H252" s="29"/>
    </row>
    <row r="253" spans="1:8">
      <c r="A253" s="27"/>
      <c r="B253" s="28"/>
      <c r="C253" s="28"/>
      <c r="D253" s="28"/>
      <c r="E253" s="21"/>
      <c r="F253" s="21"/>
      <c r="G253" s="21"/>
      <c r="H253" s="29"/>
    </row>
    <row r="254" spans="1:8">
      <c r="A254" s="49"/>
      <c r="B254" s="50"/>
      <c r="C254" s="50"/>
      <c r="D254" s="50"/>
      <c r="E254" s="50"/>
      <c r="F254" s="50"/>
      <c r="G254" s="50"/>
      <c r="H254" s="57"/>
    </row>
    <row r="260" spans="1:8" ht="23.25">
      <c r="A260" s="372" t="s">
        <v>224</v>
      </c>
      <c r="B260" s="372"/>
      <c r="C260" s="372"/>
      <c r="D260" s="372"/>
      <c r="E260" s="372"/>
      <c r="F260" s="372"/>
      <c r="G260" s="372"/>
      <c r="H260" s="372"/>
    </row>
    <row r="261" spans="1:8">
      <c r="A261" s="27"/>
      <c r="B261" s="28"/>
      <c r="C261" s="28"/>
      <c r="D261" s="28"/>
      <c r="E261" s="21"/>
      <c r="F261" s="21"/>
      <c r="G261" s="21"/>
      <c r="H261" s="29"/>
    </row>
    <row r="262" spans="1:8">
      <c r="A262" s="139" t="s">
        <v>225</v>
      </c>
      <c r="B262" s="143">
        <f>B72</f>
        <v>6.5000000000000002E-2</v>
      </c>
      <c r="C262" s="144"/>
      <c r="D262" s="374" t="s">
        <v>226</v>
      </c>
      <c r="E262" s="374"/>
      <c r="F262" s="143">
        <f>B92</f>
        <v>0.115</v>
      </c>
      <c r="G262" s="21"/>
      <c r="H262" s="29"/>
    </row>
    <row r="263" spans="1:8">
      <c r="A263" s="139" t="s">
        <v>227</v>
      </c>
      <c r="B263" s="146">
        <f>(E191-B191)-(B210-B191-A194)</f>
        <v>5374.9245396807528</v>
      </c>
      <c r="C263" s="144"/>
      <c r="D263" s="374" t="s">
        <v>228</v>
      </c>
      <c r="E263" s="374"/>
      <c r="F263" s="146">
        <f>F270+F276+F278+B279+B280</f>
        <v>950.95649999999978</v>
      </c>
      <c r="G263" s="21"/>
      <c r="H263" s="29"/>
    </row>
    <row r="264" spans="1:8">
      <c r="A264" s="139" t="s">
        <v>229</v>
      </c>
      <c r="B264" s="146">
        <f>F271+B272</f>
        <v>153.32000000000002</v>
      </c>
      <c r="C264" s="144"/>
      <c r="D264" s="374" t="s">
        <v>230</v>
      </c>
      <c r="E264" s="374"/>
      <c r="F264" s="146">
        <f>(B263-F263)+B264</f>
        <v>4577.2880396807523</v>
      </c>
      <c r="G264" s="21"/>
      <c r="H264" s="29"/>
    </row>
    <row r="265" spans="1:8">
      <c r="A265" s="147"/>
      <c r="B265" s="144"/>
      <c r="C265" s="148"/>
      <c r="D265" s="148"/>
      <c r="E265" s="148"/>
      <c r="F265" s="148"/>
      <c r="G265" s="149"/>
      <c r="H265" s="150"/>
    </row>
    <row r="266" spans="1:8">
      <c r="A266" s="27" t="s">
        <v>225</v>
      </c>
      <c r="B266" s="151">
        <f>B262</f>
        <v>6.5000000000000002E-2</v>
      </c>
      <c r="C266" s="144"/>
      <c r="D266" s="144"/>
      <c r="E266" s="144"/>
      <c r="F266" s="144"/>
      <c r="G266" s="21"/>
      <c r="H266" s="29"/>
    </row>
    <row r="267" spans="1:8">
      <c r="A267" s="152"/>
      <c r="B267" s="153"/>
      <c r="C267" s="154"/>
      <c r="D267" s="154"/>
      <c r="E267" s="149"/>
      <c r="F267" s="149"/>
      <c r="G267" s="149"/>
      <c r="H267" s="150"/>
    </row>
    <row r="268" spans="1:8">
      <c r="A268" s="27" t="s">
        <v>231</v>
      </c>
      <c r="B268" s="151">
        <f>B73</f>
        <v>0.05</v>
      </c>
      <c r="C268" s="28"/>
      <c r="D268" s="363" t="s">
        <v>232</v>
      </c>
      <c r="E268" s="363"/>
      <c r="F268" s="151">
        <v>0</v>
      </c>
      <c r="G268" s="21"/>
      <c r="H268" s="29"/>
    </row>
    <row r="269" spans="1:8">
      <c r="A269" s="93" t="s">
        <v>226</v>
      </c>
      <c r="B269" s="155">
        <f>B92</f>
        <v>0.115</v>
      </c>
      <c r="C269" s="38"/>
      <c r="D269" s="363" t="s">
        <v>227</v>
      </c>
      <c r="E269" s="363"/>
      <c r="F269" s="115">
        <f>B263</f>
        <v>5374.9245396807528</v>
      </c>
      <c r="G269" s="21"/>
      <c r="H269" s="29"/>
    </row>
    <row r="270" spans="1:8">
      <c r="A270" s="27" t="s">
        <v>233</v>
      </c>
      <c r="B270" s="155">
        <f>B76</f>
        <v>1.4999999999999999E-2</v>
      </c>
      <c r="C270" s="28"/>
      <c r="D270" s="363" t="s">
        <v>233</v>
      </c>
      <c r="E270" s="363"/>
      <c r="F270" s="119">
        <f>B77</f>
        <v>950.95649999999978</v>
      </c>
      <c r="G270" s="21"/>
      <c r="H270" s="29"/>
    </row>
    <row r="271" spans="1:8">
      <c r="A271" s="27" t="s">
        <v>234</v>
      </c>
      <c r="B271" s="151">
        <f>A117</f>
        <v>0.2</v>
      </c>
      <c r="C271" s="28"/>
      <c r="D271" s="363" t="s">
        <v>234</v>
      </c>
      <c r="E271" s="363"/>
      <c r="F271" s="115">
        <f>E249*10</f>
        <v>133.32000000000002</v>
      </c>
      <c r="G271" s="21"/>
      <c r="H271" s="29"/>
    </row>
    <row r="272" spans="1:8">
      <c r="A272" s="27" t="s">
        <v>235</v>
      </c>
      <c r="B272" s="115">
        <f>A252</f>
        <v>20</v>
      </c>
      <c r="C272" s="28"/>
      <c r="D272" s="35" t="s">
        <v>230</v>
      </c>
      <c r="E272" s="35"/>
      <c r="F272" s="115">
        <f>(B263-F263)+B264</f>
        <v>4577.2880396807523</v>
      </c>
      <c r="G272" s="21"/>
      <c r="H272" s="29"/>
    </row>
    <row r="273" spans="1:8">
      <c r="A273" s="94"/>
      <c r="B273" s="34"/>
      <c r="C273" s="28"/>
      <c r="D273" s="28"/>
      <c r="E273" s="34"/>
      <c r="F273" s="21"/>
      <c r="G273" s="21"/>
      <c r="H273" s="29"/>
    </row>
    <row r="274" spans="1:8" ht="23.25">
      <c r="A274" s="373" t="s">
        <v>236</v>
      </c>
      <c r="B274" s="373"/>
      <c r="C274" s="373"/>
      <c r="D274" s="373"/>
      <c r="E274" s="373"/>
      <c r="F274" s="373"/>
      <c r="G274" s="373"/>
      <c r="H274" s="373"/>
    </row>
    <row r="275" spans="1:8">
      <c r="A275" s="27" t="s">
        <v>237</v>
      </c>
      <c r="B275" s="119">
        <v>0</v>
      </c>
      <c r="C275" s="28"/>
      <c r="D275" s="375" t="s">
        <v>238</v>
      </c>
      <c r="E275" s="375"/>
      <c r="F275" s="119">
        <v>0</v>
      </c>
      <c r="G275" s="21"/>
      <c r="H275" s="29"/>
    </row>
    <row r="276" spans="1:8">
      <c r="A276" s="94"/>
      <c r="B276" s="115"/>
      <c r="C276" s="28"/>
      <c r="D276" s="363" t="s">
        <v>239</v>
      </c>
      <c r="E276" s="363"/>
      <c r="F276" s="115">
        <f>B275+F275*B218</f>
        <v>0</v>
      </c>
      <c r="G276" s="21"/>
      <c r="H276" s="29"/>
    </row>
    <row r="277" spans="1:8">
      <c r="A277" s="53" t="s">
        <v>240</v>
      </c>
      <c r="B277" s="156" t="s">
        <v>10</v>
      </c>
      <c r="C277" s="28"/>
      <c r="D277" s="363" t="s">
        <v>241</v>
      </c>
      <c r="E277" s="363"/>
      <c r="F277" s="156">
        <f>B79</f>
        <v>0</v>
      </c>
      <c r="G277" s="21"/>
      <c r="H277" s="29"/>
    </row>
    <row r="278" spans="1:8">
      <c r="A278" s="53"/>
      <c r="B278" s="121"/>
      <c r="C278" s="28"/>
      <c r="D278" s="363" t="s">
        <v>242</v>
      </c>
      <c r="E278" s="363"/>
      <c r="F278" s="115">
        <f>B100</f>
        <v>0</v>
      </c>
      <c r="G278" s="21"/>
      <c r="H278" s="29"/>
    </row>
    <row r="279" spans="1:8">
      <c r="A279" s="53" t="s">
        <v>243</v>
      </c>
      <c r="B279" s="119">
        <v>0</v>
      </c>
      <c r="C279" s="28"/>
      <c r="D279" s="28"/>
      <c r="E279" s="34"/>
      <c r="F279" s="21"/>
      <c r="G279" s="21"/>
      <c r="H279" s="29"/>
    </row>
    <row r="280" spans="1:8">
      <c r="A280" s="27" t="s">
        <v>244</v>
      </c>
      <c r="B280" s="119">
        <v>0</v>
      </c>
      <c r="C280" s="28"/>
      <c r="D280" s="28"/>
      <c r="E280" s="21"/>
      <c r="F280" s="21"/>
      <c r="G280" s="21"/>
      <c r="H280" s="29"/>
    </row>
    <row r="281" spans="1:8">
      <c r="A281" s="49"/>
      <c r="B281" s="50"/>
      <c r="C281" s="50"/>
      <c r="D281" s="50"/>
      <c r="E281" s="50"/>
      <c r="F281" s="50"/>
      <c r="G281" s="50"/>
      <c r="H281" s="57"/>
    </row>
  </sheetData>
  <mergeCells count="294">
    <mergeCell ref="D278:E278"/>
    <mergeCell ref="D264:E264"/>
    <mergeCell ref="D268:E268"/>
    <mergeCell ref="D269:E269"/>
    <mergeCell ref="D270:E270"/>
    <mergeCell ref="D271:E271"/>
    <mergeCell ref="A274:H274"/>
    <mergeCell ref="D275:E275"/>
    <mergeCell ref="D276:E276"/>
    <mergeCell ref="D277:E277"/>
    <mergeCell ref="B206:D206"/>
    <mergeCell ref="K206:M206"/>
    <mergeCell ref="T206:V206"/>
    <mergeCell ref="AC206:AE206"/>
    <mergeCell ref="A215:H215"/>
    <mergeCell ref="A247:H247"/>
    <mergeCell ref="A260:H260"/>
    <mergeCell ref="D262:E262"/>
    <mergeCell ref="D263:E263"/>
    <mergeCell ref="A171:H171"/>
    <mergeCell ref="J171:Q171"/>
    <mergeCell ref="S171:Z171"/>
    <mergeCell ref="AB171:AI171"/>
    <mergeCell ref="B173:C173"/>
    <mergeCell ref="K173:L173"/>
    <mergeCell ref="T173:U173"/>
    <mergeCell ref="AC173:AD173"/>
    <mergeCell ref="A204:A205"/>
    <mergeCell ref="B204:D204"/>
    <mergeCell ref="J204:J205"/>
    <mergeCell ref="K204:M204"/>
    <mergeCell ref="S204:S205"/>
    <mergeCell ref="T204:V204"/>
    <mergeCell ref="AB204:AB205"/>
    <mergeCell ref="AC204:AE204"/>
    <mergeCell ref="B205:D205"/>
    <mergeCell ref="K205:M205"/>
    <mergeCell ref="T205:V205"/>
    <mergeCell ref="AC205:AE205"/>
    <mergeCell ref="G166:H166"/>
    <mergeCell ref="P166:Q166"/>
    <mergeCell ref="Y166:Z166"/>
    <mergeCell ref="AH166:AI166"/>
    <mergeCell ref="G167:H167"/>
    <mergeCell ref="P167:Q167"/>
    <mergeCell ref="Y167:Z167"/>
    <mergeCell ref="AH167:AI167"/>
    <mergeCell ref="G168:H168"/>
    <mergeCell ref="P168:Q168"/>
    <mergeCell ref="Y168:Z168"/>
    <mergeCell ref="AH168:AI168"/>
    <mergeCell ref="E163:F163"/>
    <mergeCell ref="G163:H163"/>
    <mergeCell ref="N163:O163"/>
    <mergeCell ref="P163:Q163"/>
    <mergeCell ref="W163:X163"/>
    <mergeCell ref="Y163:Z163"/>
    <mergeCell ref="AF163:AG163"/>
    <mergeCell ref="AH163:AI163"/>
    <mergeCell ref="E164:F164"/>
    <mergeCell ref="N164:O164"/>
    <mergeCell ref="W164:X164"/>
    <mergeCell ref="AF164:AG164"/>
    <mergeCell ref="E161:F161"/>
    <mergeCell ref="G161:H161"/>
    <mergeCell ref="N161:O161"/>
    <mergeCell ref="P161:Q161"/>
    <mergeCell ref="W161:X161"/>
    <mergeCell ref="Y161:Z161"/>
    <mergeCell ref="AF161:AG161"/>
    <mergeCell ref="AH161:AI161"/>
    <mergeCell ref="E162:F162"/>
    <mergeCell ref="G162:H162"/>
    <mergeCell ref="N162:O162"/>
    <mergeCell ref="P162:Q162"/>
    <mergeCell ref="W162:X162"/>
    <mergeCell ref="Y162:Z162"/>
    <mergeCell ref="AF162:AG162"/>
    <mergeCell ref="AH162:AI162"/>
    <mergeCell ref="A156:F156"/>
    <mergeCell ref="J156:O156"/>
    <mergeCell ref="S156:X156"/>
    <mergeCell ref="AB156:AG156"/>
    <mergeCell ref="A157:F157"/>
    <mergeCell ref="J157:O157"/>
    <mergeCell ref="S157:X157"/>
    <mergeCell ref="AB157:AG157"/>
    <mergeCell ref="A159:H159"/>
    <mergeCell ref="J159:Q159"/>
    <mergeCell ref="S159:Z159"/>
    <mergeCell ref="AB159:AI159"/>
    <mergeCell ref="B153:F153"/>
    <mergeCell ref="K153:O153"/>
    <mergeCell ref="T153:X153"/>
    <mergeCell ref="AC153:AG153"/>
    <mergeCell ref="B154:F154"/>
    <mergeCell ref="K154:O154"/>
    <mergeCell ref="T154:X154"/>
    <mergeCell ref="AC154:AG154"/>
    <mergeCell ref="B155:F155"/>
    <mergeCell ref="K155:O155"/>
    <mergeCell ref="T155:X155"/>
    <mergeCell ref="AC155:AG155"/>
    <mergeCell ref="A150:F150"/>
    <mergeCell ref="J150:O150"/>
    <mergeCell ref="S150:X150"/>
    <mergeCell ref="AB150:AG150"/>
    <mergeCell ref="A151:F151"/>
    <mergeCell ref="J151:O151"/>
    <mergeCell ref="S151:X151"/>
    <mergeCell ref="AB151:AG151"/>
    <mergeCell ref="A152:F152"/>
    <mergeCell ref="J152:O152"/>
    <mergeCell ref="S152:X152"/>
    <mergeCell ref="AB152:AG152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9:F149"/>
    <mergeCell ref="J149:O149"/>
    <mergeCell ref="S149:X149"/>
    <mergeCell ref="AB149:AG149"/>
    <mergeCell ref="A144:F144"/>
    <mergeCell ref="J144:O144"/>
    <mergeCell ref="S144:X144"/>
    <mergeCell ref="AB144:AG144"/>
    <mergeCell ref="A145:F145"/>
    <mergeCell ref="J145:O145"/>
    <mergeCell ref="S145:X145"/>
    <mergeCell ref="AB145:AG145"/>
    <mergeCell ref="A146:F146"/>
    <mergeCell ref="J146:O146"/>
    <mergeCell ref="S146:X146"/>
    <mergeCell ref="AB146:AG146"/>
    <mergeCell ref="AC141:AD141"/>
    <mergeCell ref="AE141:AF141"/>
    <mergeCell ref="AG141:AH141"/>
    <mergeCell ref="B142:C142"/>
    <mergeCell ref="D142:E142"/>
    <mergeCell ref="F142:G142"/>
    <mergeCell ref="K142:L142"/>
    <mergeCell ref="M142:N142"/>
    <mergeCell ref="O142:P142"/>
    <mergeCell ref="T142:U142"/>
    <mergeCell ref="V142:W142"/>
    <mergeCell ref="X142:Y142"/>
    <mergeCell ref="AC142:AD142"/>
    <mergeCell ref="AE142:AF142"/>
    <mergeCell ref="AG142:AH142"/>
    <mergeCell ref="B141:C141"/>
    <mergeCell ref="D141:E141"/>
    <mergeCell ref="F141:G141"/>
    <mergeCell ref="K141:L141"/>
    <mergeCell ref="M141:N141"/>
    <mergeCell ref="O141:P141"/>
    <mergeCell ref="T141:U141"/>
    <mergeCell ref="V141:W141"/>
    <mergeCell ref="X141:Y141"/>
    <mergeCell ref="AC139:AD139"/>
    <mergeCell ref="AE139:AF139"/>
    <mergeCell ref="AG139:AH139"/>
    <mergeCell ref="B140:C140"/>
    <mergeCell ref="D140:E140"/>
    <mergeCell ref="F140:G140"/>
    <mergeCell ref="K140:L140"/>
    <mergeCell ref="M140:N140"/>
    <mergeCell ref="O140:P140"/>
    <mergeCell ref="T140:U140"/>
    <mergeCell ref="V140:W140"/>
    <mergeCell ref="X140:Y140"/>
    <mergeCell ref="AC140:AD140"/>
    <mergeCell ref="AE140:AF140"/>
    <mergeCell ref="AG140:AH140"/>
    <mergeCell ref="B139:C139"/>
    <mergeCell ref="D139:E139"/>
    <mergeCell ref="F139:G139"/>
    <mergeCell ref="K139:L139"/>
    <mergeCell ref="M139:N139"/>
    <mergeCell ref="O139:P139"/>
    <mergeCell ref="T139:U139"/>
    <mergeCell ref="V139:W139"/>
    <mergeCell ref="X139:Y139"/>
    <mergeCell ref="A126:H126"/>
    <mergeCell ref="J126:Q126"/>
    <mergeCell ref="S126:Z126"/>
    <mergeCell ref="AB126:AI126"/>
    <mergeCell ref="B128:C128"/>
    <mergeCell ref="D128:E128"/>
    <mergeCell ref="F128:G128"/>
    <mergeCell ref="K128:L128"/>
    <mergeCell ref="M128:N128"/>
    <mergeCell ref="O128:P128"/>
    <mergeCell ref="T128:U128"/>
    <mergeCell ref="V128:W128"/>
    <mergeCell ref="X128:Y128"/>
    <mergeCell ref="AC128:AD128"/>
    <mergeCell ref="AE128:AF128"/>
    <mergeCell ref="AG128:AH128"/>
    <mergeCell ref="B120:D120"/>
    <mergeCell ref="E120:G120"/>
    <mergeCell ref="K120:M120"/>
    <mergeCell ref="N120:P120"/>
    <mergeCell ref="T120:V120"/>
    <mergeCell ref="W120:Y120"/>
    <mergeCell ref="AC120:AE120"/>
    <mergeCell ref="AF120:AH120"/>
    <mergeCell ref="B123:D123"/>
    <mergeCell ref="E123:G123"/>
    <mergeCell ref="K123:M123"/>
    <mergeCell ref="N123:P123"/>
    <mergeCell ref="T123:V123"/>
    <mergeCell ref="W123:Y123"/>
    <mergeCell ref="AC123:AE123"/>
    <mergeCell ref="AF123:AH123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B117:D117"/>
    <mergeCell ref="E117:G117"/>
    <mergeCell ref="K117:M117"/>
    <mergeCell ref="N117:P117"/>
    <mergeCell ref="T117:V117"/>
    <mergeCell ref="W117:Y117"/>
    <mergeCell ref="AC117:AE117"/>
    <mergeCell ref="AF117:AH117"/>
    <mergeCell ref="A58:A59"/>
    <mergeCell ref="B58:D58"/>
    <mergeCell ref="B59:D59"/>
    <mergeCell ref="B60:D60"/>
    <mergeCell ref="A109:H109"/>
    <mergeCell ref="J109:Q109"/>
    <mergeCell ref="S109:Z109"/>
    <mergeCell ref="AB109:AI109"/>
    <mergeCell ref="A111:H111"/>
    <mergeCell ref="J111:Q111"/>
    <mergeCell ref="S111:Z111"/>
    <mergeCell ref="AB111:AI111"/>
    <mergeCell ref="C37:D37"/>
    <mergeCell ref="J38:K38"/>
    <mergeCell ref="C40:D40"/>
    <mergeCell ref="F40:G40"/>
    <mergeCell ref="C43:D43"/>
    <mergeCell ref="F43:G43"/>
    <mergeCell ref="C46:D46"/>
    <mergeCell ref="F46:G46"/>
    <mergeCell ref="C53:E53"/>
    <mergeCell ref="B18:F18"/>
    <mergeCell ref="B19:F19"/>
    <mergeCell ref="B20:F20"/>
    <mergeCell ref="A21:F21"/>
    <mergeCell ref="A24:H24"/>
    <mergeCell ref="A26:H26"/>
    <mergeCell ref="C31:D31"/>
    <mergeCell ref="F31:G31"/>
    <mergeCell ref="C34:D34"/>
    <mergeCell ref="F34:G34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A1:H1"/>
    <mergeCell ref="B2:C2"/>
    <mergeCell ref="D2:E2"/>
    <mergeCell ref="F2:G2"/>
    <mergeCell ref="B3:C3"/>
    <mergeCell ref="D3:E3"/>
    <mergeCell ref="F3:G3"/>
    <mergeCell ref="B4:C4"/>
    <mergeCell ref="D4:E4"/>
    <mergeCell ref="F4:G4"/>
  </mergeCells>
  <dataValidations count="4">
    <dataValidation type="list" allowBlank="1" showInputMessage="1" showErrorMessage="1" sqref="B114 K114 T114 AC114" xr:uid="{00000000-0002-0000-3100-000000000000}">
      <formula1>$Y$136:$Y$145</formula1>
      <formula2>0</formula2>
    </dataValidation>
    <dataValidation type="list" allowBlank="1" showInputMessage="1" showErrorMessage="1" sqref="E114 N114 W114 AF114 A120 J120 S120 AB120" xr:uid="{00000000-0002-0000-3100-000001000000}">
      <formula1>$Z$19:$Z$20</formula1>
      <formula2>0</formula2>
    </dataValidation>
    <dataValidation type="list" allowBlank="1" showInputMessage="1" showErrorMessage="1" sqref="B117:D117 K117:M117 T117:V117 AC117:AE117" xr:uid="{00000000-0002-0000-3100-000002000000}">
      <formula1>$AP$117:$AP$118</formula1>
      <formula2>0</formula2>
    </dataValidation>
    <dataValidation type="list" allowBlank="1" showInputMessage="1" showErrorMessage="1" sqref="A18:A20 A153:A155 J153:J155 S153:S155 AB153:AB155" xr:uid="{00000000-0002-0000-3100-000003000000}">
      <formula1>$AB$16:$AB$18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AP281"/>
  <sheetViews>
    <sheetView topLeftCell="A261" zoomScale="110" zoomScaleNormal="110" workbookViewId="0">
      <selection activeCell="F270" sqref="F270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44" t="s">
        <v>382</v>
      </c>
      <c r="B1" s="344"/>
      <c r="C1" s="344"/>
      <c r="D1" s="344"/>
      <c r="E1" s="344"/>
      <c r="F1" s="344"/>
      <c r="G1" s="344"/>
      <c r="H1" s="344"/>
      <c r="I1" s="5"/>
      <c r="J1" s="5"/>
    </row>
    <row r="2" spans="1:25" ht="21">
      <c r="A2" s="68"/>
      <c r="B2" s="413" t="s">
        <v>154</v>
      </c>
      <c r="C2" s="413"/>
      <c r="D2" s="413" t="s">
        <v>155</v>
      </c>
      <c r="E2" s="413"/>
      <c r="F2" s="413" t="s">
        <v>156</v>
      </c>
      <c r="G2" s="413"/>
      <c r="H2" s="287" t="s">
        <v>157</v>
      </c>
      <c r="I2" s="5"/>
      <c r="J2" s="5"/>
    </row>
    <row r="3" spans="1:25">
      <c r="A3" s="27" t="s">
        <v>160</v>
      </c>
      <c r="B3" s="414">
        <v>20255</v>
      </c>
      <c r="C3" s="414"/>
      <c r="D3" s="414">
        <v>0</v>
      </c>
      <c r="E3" s="414"/>
      <c r="F3" s="414">
        <v>0</v>
      </c>
      <c r="G3" s="414"/>
      <c r="H3" s="289">
        <v>0</v>
      </c>
      <c r="I3" s="5"/>
      <c r="J3" s="5"/>
    </row>
    <row r="4" spans="1:25">
      <c r="A4" s="27" t="s">
        <v>161</v>
      </c>
      <c r="B4" s="415">
        <v>0</v>
      </c>
      <c r="C4" s="415"/>
      <c r="D4" s="416">
        <v>0</v>
      </c>
      <c r="E4" s="416"/>
      <c r="F4" s="416">
        <v>0</v>
      </c>
      <c r="G4" s="416"/>
      <c r="H4" s="105"/>
      <c r="I4" s="5"/>
      <c r="J4" s="5"/>
    </row>
    <row r="5" spans="1:25">
      <c r="A5" s="27" t="s">
        <v>162</v>
      </c>
      <c r="B5" s="414">
        <v>0</v>
      </c>
      <c r="C5" s="414"/>
      <c r="D5" s="414">
        <v>0</v>
      </c>
      <c r="E5" s="414"/>
      <c r="F5" s="414">
        <v>0</v>
      </c>
      <c r="G5" s="414"/>
      <c r="H5" s="29"/>
      <c r="I5" s="5"/>
      <c r="J5" s="5"/>
    </row>
    <row r="6" spans="1:25">
      <c r="A6" s="27" t="s">
        <v>163</v>
      </c>
      <c r="B6" s="380">
        <f>(B3*B4/100)+B5</f>
        <v>0</v>
      </c>
      <c r="C6" s="380"/>
      <c r="D6" s="380">
        <f>(D3*D4/100)+D5</f>
        <v>0</v>
      </c>
      <c r="E6" s="380"/>
      <c r="F6" s="380">
        <f>(F3*F4/100)+F5</f>
        <v>0</v>
      </c>
      <c r="G6" s="380"/>
      <c r="H6" s="29"/>
      <c r="I6" s="5"/>
      <c r="J6" s="5"/>
    </row>
    <row r="7" spans="1:25">
      <c r="A7" s="27" t="s">
        <v>164</v>
      </c>
      <c r="B7" s="380">
        <f>B3-B6</f>
        <v>20255</v>
      </c>
      <c r="C7" s="380"/>
      <c r="D7" s="380">
        <f>D3-D6</f>
        <v>0</v>
      </c>
      <c r="E7" s="380"/>
      <c r="F7" s="380">
        <f>F3-F6</f>
        <v>0</v>
      </c>
      <c r="G7" s="380"/>
      <c r="H7" s="29"/>
      <c r="I7" s="5"/>
      <c r="J7" s="5"/>
    </row>
    <row r="8" spans="1:25">
      <c r="A8" s="27"/>
      <c r="B8" s="28"/>
      <c r="C8" s="28"/>
      <c r="D8" s="28"/>
      <c r="E8" s="28"/>
      <c r="F8" s="28"/>
      <c r="G8" s="28"/>
      <c r="H8" s="29"/>
      <c r="I8" s="5"/>
      <c r="J8" s="5"/>
      <c r="L8" s="14" t="s">
        <v>17</v>
      </c>
      <c r="M8" s="11">
        <f>H13+H14</f>
        <v>340</v>
      </c>
    </row>
    <row r="9" spans="1:25" ht="21">
      <c r="A9" s="356" t="s">
        <v>172</v>
      </c>
      <c r="B9" s="356">
        <v>23125</v>
      </c>
      <c r="C9" s="356"/>
      <c r="D9" s="356"/>
      <c r="E9" s="356"/>
      <c r="F9" s="356"/>
      <c r="G9" s="109"/>
      <c r="H9" s="290">
        <f>B7+D7+F7+H3</f>
        <v>20255</v>
      </c>
      <c r="I9" s="5"/>
      <c r="J9" s="5"/>
      <c r="L9" s="11"/>
      <c r="M9" s="11"/>
    </row>
    <row r="10" spans="1:25">
      <c r="A10" s="357" t="s">
        <v>173</v>
      </c>
      <c r="B10" s="357"/>
      <c r="C10" s="357"/>
      <c r="D10" s="357"/>
      <c r="E10" s="357"/>
      <c r="F10" s="357"/>
      <c r="G10" s="121"/>
      <c r="H10" s="289">
        <v>695</v>
      </c>
      <c r="I10" s="5"/>
      <c r="J10" s="5"/>
      <c r="L10" s="16" t="s">
        <v>15</v>
      </c>
      <c r="M10" s="11">
        <f>H15-H11-M8</f>
        <v>20950</v>
      </c>
    </row>
    <row r="11" spans="1:25">
      <c r="A11" s="357" t="s">
        <v>174</v>
      </c>
      <c r="B11" s="357">
        <v>0</v>
      </c>
      <c r="C11" s="357"/>
      <c r="D11" s="357"/>
      <c r="E11" s="357"/>
      <c r="F11" s="357"/>
      <c r="G11" s="121"/>
      <c r="H11" s="29">
        <f>(H9+H10)*20%</f>
        <v>4190</v>
      </c>
      <c r="I11" s="5"/>
      <c r="J11" s="5"/>
      <c r="L11" s="11"/>
      <c r="M11" s="11"/>
    </row>
    <row r="12" spans="1:25">
      <c r="A12" s="357" t="s">
        <v>175</v>
      </c>
      <c r="B12" s="357"/>
      <c r="C12" s="357"/>
      <c r="D12" s="357"/>
      <c r="E12" s="357"/>
      <c r="F12" s="357"/>
      <c r="G12" s="121"/>
      <c r="H12" s="289">
        <v>0</v>
      </c>
      <c r="I12" s="5"/>
      <c r="J12" s="5"/>
    </row>
    <row r="13" spans="1:25">
      <c r="A13" s="357" t="s">
        <v>176</v>
      </c>
      <c r="B13" s="357">
        <v>0</v>
      </c>
      <c r="C13" s="357"/>
      <c r="D13" s="357"/>
      <c r="E13" s="357"/>
      <c r="F13" s="357"/>
      <c r="G13" s="121"/>
      <c r="H13" s="289">
        <v>275</v>
      </c>
      <c r="I13" s="5"/>
      <c r="J13" s="5"/>
    </row>
    <row r="14" spans="1:25">
      <c r="A14" s="357" t="s">
        <v>177</v>
      </c>
      <c r="B14" s="357"/>
      <c r="C14" s="357"/>
      <c r="D14" s="357"/>
      <c r="E14" s="357"/>
      <c r="F14" s="357"/>
      <c r="G14" s="121"/>
      <c r="H14" s="289">
        <v>65</v>
      </c>
      <c r="I14" s="5"/>
      <c r="J14" s="5" t="s">
        <v>24</v>
      </c>
    </row>
    <row r="15" spans="1:25">
      <c r="A15" s="357" t="s">
        <v>178</v>
      </c>
      <c r="B15" s="357"/>
      <c r="C15" s="357"/>
      <c r="D15" s="357"/>
      <c r="E15" s="357"/>
      <c r="F15" s="357"/>
      <c r="G15" s="121"/>
      <c r="H15" s="291">
        <f>(H9+H10+H13+H14+H11)-H12</f>
        <v>25480</v>
      </c>
      <c r="I15" s="5"/>
      <c r="J15" s="17">
        <f>H15</f>
        <v>25480</v>
      </c>
    </row>
    <row r="16" spans="1:25">
      <c r="A16" s="357" t="s">
        <v>179</v>
      </c>
      <c r="B16" s="357"/>
      <c r="C16" s="357"/>
      <c r="D16" s="357"/>
      <c r="E16" s="357"/>
      <c r="F16" s="357"/>
      <c r="G16" s="121"/>
      <c r="H16" s="289">
        <v>0</v>
      </c>
      <c r="I16" s="5"/>
      <c r="J16" s="5"/>
      <c r="Y16" s="18" t="s">
        <v>26</v>
      </c>
    </row>
    <row r="17" spans="1:26">
      <c r="A17" s="358" t="s">
        <v>180</v>
      </c>
      <c r="B17" s="358"/>
      <c r="C17" s="358"/>
      <c r="D17" s="358"/>
      <c r="E17" s="358"/>
      <c r="F17" s="358"/>
      <c r="G17" s="34"/>
      <c r="H17" s="29"/>
      <c r="I17" s="5"/>
      <c r="J17" s="5" t="s">
        <v>27</v>
      </c>
      <c r="Y17" s="18" t="s">
        <v>28</v>
      </c>
    </row>
    <row r="18" spans="1:26">
      <c r="A18" s="124" t="s">
        <v>26</v>
      </c>
      <c r="B18" s="360" t="s">
        <v>181</v>
      </c>
      <c r="C18" s="360"/>
      <c r="D18" s="360"/>
      <c r="E18" s="360"/>
      <c r="F18" s="360"/>
      <c r="G18" s="35"/>
      <c r="H18" s="292">
        <v>0</v>
      </c>
      <c r="I18" s="5"/>
      <c r="J18" s="17">
        <f>(B3+D3+F3+H3+H10)*1.2</f>
        <v>25140</v>
      </c>
      <c r="Y18" s="18" t="s">
        <v>29</v>
      </c>
    </row>
    <row r="19" spans="1:26">
      <c r="A19" s="124" t="s">
        <v>28</v>
      </c>
      <c r="B19" s="360" t="s">
        <v>181</v>
      </c>
      <c r="C19" s="360"/>
      <c r="D19" s="360"/>
      <c r="E19" s="360"/>
      <c r="F19" s="360"/>
      <c r="G19" s="35"/>
      <c r="H19" s="292">
        <v>0</v>
      </c>
      <c r="I19" s="5"/>
      <c r="J19" s="5"/>
      <c r="Z19" s="5" t="s">
        <v>31</v>
      </c>
    </row>
    <row r="20" spans="1:26">
      <c r="A20" s="124" t="s">
        <v>29</v>
      </c>
      <c r="B20" s="360" t="s">
        <v>181</v>
      </c>
      <c r="C20" s="360"/>
      <c r="D20" s="360"/>
      <c r="E20" s="360"/>
      <c r="F20" s="360"/>
      <c r="G20" s="35"/>
      <c r="H20" s="292">
        <v>0</v>
      </c>
      <c r="I20" s="5"/>
      <c r="J20" s="5"/>
      <c r="Z20" s="5" t="s">
        <v>32</v>
      </c>
    </row>
    <row r="21" spans="1:26" ht="21">
      <c r="A21" s="417" t="s">
        <v>182</v>
      </c>
      <c r="B21" s="417"/>
      <c r="C21" s="417"/>
      <c r="D21" s="417"/>
      <c r="E21" s="417"/>
      <c r="F21" s="417"/>
      <c r="G21" s="293"/>
      <c r="H21" s="294">
        <f>H15-((H18*1.2)+(H19*1.2)+(H20*1.2)+(H16*1.2))</f>
        <v>25480</v>
      </c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 ht="23.25">
      <c r="A26" s="335" t="s">
        <v>35</v>
      </c>
      <c r="B26" s="335"/>
      <c r="C26" s="335"/>
      <c r="D26" s="335"/>
      <c r="E26" s="335"/>
      <c r="F26" s="335"/>
      <c r="G26" s="335"/>
      <c r="H26" s="335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>
      <c r="A28" s="32" t="s">
        <v>36</v>
      </c>
      <c r="B28" s="28" t="s">
        <v>39</v>
      </c>
      <c r="C28" s="28"/>
      <c r="D28" s="28"/>
      <c r="E28" s="28"/>
      <c r="F28" s="28"/>
      <c r="G28" s="28"/>
      <c r="H28" s="29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/>
      <c r="I29" s="28"/>
      <c r="J29" s="25" t="s">
        <v>41</v>
      </c>
      <c r="K29" s="33" t="str">
        <f>A34</f>
        <v>33</v>
      </c>
    </row>
    <row r="30" spans="1:26">
      <c r="A30" s="32" t="s">
        <v>42</v>
      </c>
      <c r="B30" s="28"/>
      <c r="C30" s="34" t="s">
        <v>43</v>
      </c>
      <c r="D30" s="35"/>
      <c r="E30" s="28"/>
      <c r="F30" s="34" t="s">
        <v>44</v>
      </c>
      <c r="G30" s="35"/>
      <c r="H30" s="29"/>
      <c r="I30" s="28"/>
      <c r="J30" s="25" t="s">
        <v>45</v>
      </c>
      <c r="K30" s="33" t="str">
        <f>C34</f>
        <v>5000</v>
      </c>
    </row>
    <row r="31" spans="1:26">
      <c r="A31" s="36" t="s">
        <v>46</v>
      </c>
      <c r="B31" s="28"/>
      <c r="C31" s="336" t="s">
        <v>47</v>
      </c>
      <c r="D31" s="336"/>
      <c r="E31" s="28"/>
      <c r="F31" s="336"/>
      <c r="G31" s="336"/>
      <c r="H31" s="29"/>
      <c r="I31" s="28"/>
      <c r="J31" s="25" t="s">
        <v>48</v>
      </c>
      <c r="K31" s="37">
        <f>A43</f>
        <v>6000</v>
      </c>
    </row>
    <row r="32" spans="1:26" ht="36">
      <c r="A32" s="32"/>
      <c r="B32" s="38"/>
      <c r="C32" s="38"/>
      <c r="D32" s="38"/>
      <c r="E32" s="38"/>
      <c r="F32" s="38"/>
      <c r="G32" s="38"/>
      <c r="H32" s="29"/>
      <c r="I32" s="5"/>
      <c r="J32" s="25" t="s">
        <v>49</v>
      </c>
      <c r="K32" s="37" t="str">
        <f>A46</f>
        <v>50</v>
      </c>
    </row>
    <row r="33" spans="1:12">
      <c r="A33" s="32" t="s">
        <v>52</v>
      </c>
      <c r="B33" s="28"/>
      <c r="C33" s="41" t="s">
        <v>53</v>
      </c>
      <c r="D33" s="35"/>
      <c r="E33" s="28"/>
      <c r="F33" s="34" t="s">
        <v>54</v>
      </c>
      <c r="G33" s="35"/>
      <c r="H33" s="42"/>
      <c r="I33" s="5"/>
      <c r="J33" s="30"/>
      <c r="K33" s="43"/>
    </row>
    <row r="34" spans="1:12">
      <c r="A34" s="36" t="s">
        <v>403</v>
      </c>
      <c r="B34" s="28"/>
      <c r="C34" s="336" t="s">
        <v>397</v>
      </c>
      <c r="D34" s="336"/>
      <c r="E34" s="28"/>
      <c r="F34" s="336">
        <f>(A34/12)*C34</f>
        <v>13750</v>
      </c>
      <c r="G34" s="336"/>
      <c r="H34" s="42"/>
      <c r="I34" s="5"/>
      <c r="J34" s="5"/>
      <c r="K34" s="5"/>
    </row>
    <row r="35" spans="1:12">
      <c r="A35" s="27"/>
      <c r="B35" s="28"/>
      <c r="C35" s="28"/>
      <c r="E35" s="28"/>
      <c r="F35" s="38"/>
      <c r="G35" s="38"/>
      <c r="H35" s="42"/>
      <c r="I35" s="5"/>
      <c r="J35" s="45" t="s">
        <v>59</v>
      </c>
      <c r="K35" s="322">
        <v>6.5000000000000002E-2</v>
      </c>
    </row>
    <row r="36" spans="1:12">
      <c r="A36" s="32" t="s">
        <v>60</v>
      </c>
      <c r="B36" s="28"/>
      <c r="C36" s="34" t="s">
        <v>61</v>
      </c>
      <c r="D36" s="35"/>
      <c r="E36" s="28"/>
      <c r="F36" s="34" t="s">
        <v>62</v>
      </c>
      <c r="G36" s="35"/>
      <c r="H36" s="42"/>
      <c r="I36" s="5"/>
      <c r="J36" s="5" t="s">
        <v>63</v>
      </c>
      <c r="K36" s="5">
        <f>C40</f>
        <v>32</v>
      </c>
    </row>
    <row r="37" spans="1:12">
      <c r="A37" s="32">
        <f>H15</f>
        <v>25480</v>
      </c>
      <c r="B37" s="28"/>
      <c r="C37" s="336" t="s">
        <v>398</v>
      </c>
      <c r="D37" s="336"/>
      <c r="E37" s="28"/>
      <c r="F37" s="38">
        <f>A37-C37</f>
        <v>24480</v>
      </c>
      <c r="G37" s="38"/>
      <c r="H37" s="42"/>
      <c r="I37" s="5"/>
      <c r="J37" s="5"/>
      <c r="K37" s="5"/>
    </row>
    <row r="38" spans="1:12">
      <c r="A38" s="32"/>
      <c r="B38" s="38"/>
      <c r="C38" s="38"/>
      <c r="D38" s="38"/>
      <c r="E38" s="38"/>
      <c r="F38" s="38"/>
      <c r="G38" s="38"/>
      <c r="H38" s="42"/>
      <c r="J38" s="337" t="s">
        <v>65</v>
      </c>
      <c r="K38" s="337"/>
      <c r="L38" s="5"/>
    </row>
    <row r="39" spans="1:12">
      <c r="A39" s="32" t="s">
        <v>66</v>
      </c>
      <c r="B39" s="28"/>
      <c r="C39" s="35" t="s">
        <v>67</v>
      </c>
      <c r="D39" s="34"/>
      <c r="E39" s="28"/>
      <c r="F39" s="34" t="s">
        <v>68</v>
      </c>
      <c r="G39" s="35"/>
      <c r="H39" s="42"/>
      <c r="J39" s="5" t="s">
        <v>69</v>
      </c>
      <c r="K39" s="5" t="str">
        <f>F40</f>
        <v>500</v>
      </c>
      <c r="L39" s="5"/>
    </row>
    <row r="40" spans="1:12">
      <c r="A40" s="36" t="s">
        <v>393</v>
      </c>
      <c r="B40" s="28"/>
      <c r="C40" s="338">
        <f>A34-1</f>
        <v>32</v>
      </c>
      <c r="D40" s="338"/>
      <c r="E40" s="28"/>
      <c r="F40" s="336" t="s">
        <v>390</v>
      </c>
      <c r="G40" s="336"/>
      <c r="H40" s="42"/>
      <c r="J40" s="5" t="s">
        <v>71</v>
      </c>
      <c r="K40" s="5">
        <f>H11</f>
        <v>4190</v>
      </c>
      <c r="L40" s="5"/>
    </row>
    <row r="41" spans="1:12">
      <c r="A41" s="32"/>
      <c r="B41" s="38"/>
      <c r="C41" s="38"/>
      <c r="D41" s="38"/>
      <c r="E41" s="38"/>
      <c r="F41" s="38"/>
      <c r="G41" s="38"/>
      <c r="H41" s="42"/>
      <c r="J41" s="5" t="s">
        <v>72</v>
      </c>
      <c r="K41" s="5" t="str">
        <f>IF(F43="Yes",A46,0)</f>
        <v>50</v>
      </c>
      <c r="L41" s="5"/>
    </row>
    <row r="42" spans="1:12">
      <c r="A42" s="32" t="s">
        <v>73</v>
      </c>
      <c r="B42" s="28"/>
      <c r="C42" s="34" t="s">
        <v>74</v>
      </c>
      <c r="D42" s="35"/>
      <c r="E42" s="28"/>
      <c r="F42" s="34" t="s">
        <v>75</v>
      </c>
      <c r="G42" s="35"/>
      <c r="H42" s="42"/>
      <c r="J42" s="5" t="s">
        <v>76</v>
      </c>
      <c r="K42" s="5">
        <f>A43</f>
        <v>6000</v>
      </c>
      <c r="L42" s="5"/>
    </row>
    <row r="43" spans="1:12">
      <c r="A43" s="36">
        <v>6000</v>
      </c>
      <c r="B43" s="28"/>
      <c r="C43" s="336">
        <v>20</v>
      </c>
      <c r="D43" s="336"/>
      <c r="E43" s="28"/>
      <c r="F43" s="336" t="s">
        <v>31</v>
      </c>
      <c r="G43" s="336"/>
      <c r="H43" s="42"/>
      <c r="J43" s="5" t="s">
        <v>77</v>
      </c>
      <c r="K43" s="5" t="str">
        <f>A34</f>
        <v>33</v>
      </c>
      <c r="L43" s="5"/>
    </row>
    <row r="44" spans="1:12">
      <c r="A44" s="32"/>
      <c r="B44" s="38"/>
      <c r="C44" s="38"/>
      <c r="D44" s="38"/>
      <c r="E44" s="38"/>
      <c r="F44" s="38"/>
      <c r="G44" s="38"/>
      <c r="H44" s="42"/>
      <c r="J44" s="5" t="s">
        <v>78</v>
      </c>
      <c r="K44" s="5">
        <f>((K40-(((K42/(1.2))*0.2)))/(K43))</f>
        <v>96.666666666666671</v>
      </c>
      <c r="L44" s="5"/>
    </row>
    <row r="45" spans="1:12">
      <c r="A45" s="32" t="s">
        <v>79</v>
      </c>
      <c r="B45" s="28"/>
      <c r="C45" s="34" t="s">
        <v>80</v>
      </c>
      <c r="D45" s="35"/>
      <c r="E45" s="28"/>
      <c r="F45" s="34" t="s">
        <v>81</v>
      </c>
      <c r="G45" s="35"/>
      <c r="H45" s="42"/>
      <c r="J45" s="5" t="s">
        <v>82</v>
      </c>
      <c r="K45" s="5">
        <f>(K39-K44)+K41</f>
        <v>453.33333333333331</v>
      </c>
      <c r="L45" s="5"/>
    </row>
    <row r="46" spans="1:12">
      <c r="A46" s="36" t="s">
        <v>388</v>
      </c>
      <c r="B46" s="28"/>
      <c r="C46" s="336">
        <v>1</v>
      </c>
      <c r="D46" s="336"/>
      <c r="E46" s="28"/>
      <c r="F46" s="336">
        <v>0</v>
      </c>
      <c r="G46" s="336"/>
      <c r="H46" s="42"/>
      <c r="J46" s="5" t="s">
        <v>83</v>
      </c>
      <c r="K46" s="5">
        <v>0</v>
      </c>
      <c r="L46" s="5"/>
    </row>
    <row r="47" spans="1:12">
      <c r="A47" s="32"/>
      <c r="B47" s="38"/>
      <c r="C47" s="38"/>
      <c r="D47" s="38"/>
      <c r="E47" s="38"/>
      <c r="F47" s="38"/>
      <c r="G47" s="38"/>
      <c r="H47" s="42"/>
      <c r="J47" s="5" t="s">
        <v>84</v>
      </c>
      <c r="K47" s="5">
        <f>A40/K29</f>
        <v>0.36363636363636365</v>
      </c>
      <c r="L47" s="5"/>
    </row>
    <row r="48" spans="1:12">
      <c r="A48" s="32" t="s">
        <v>85</v>
      </c>
      <c r="B48" s="38"/>
      <c r="C48" s="38"/>
      <c r="D48" s="38"/>
      <c r="E48" s="38"/>
      <c r="F48" s="38"/>
      <c r="G48" s="38"/>
      <c r="H48" s="42"/>
      <c r="J48" s="48" t="s">
        <v>86</v>
      </c>
      <c r="K48" s="5">
        <f>C43/A34</f>
        <v>0.60606060606060608</v>
      </c>
      <c r="L48" s="5"/>
    </row>
    <row r="49" spans="1:12">
      <c r="A49" s="32">
        <f>C46+F46</f>
        <v>1</v>
      </c>
      <c r="B49" s="38"/>
      <c r="C49" s="38"/>
      <c r="D49" s="38"/>
      <c r="E49" s="28"/>
      <c r="F49" s="38"/>
      <c r="G49" s="38"/>
      <c r="H49" s="42"/>
      <c r="J49" s="48" t="s">
        <v>87</v>
      </c>
      <c r="K49" s="5">
        <f>K45+K48+K47</f>
        <v>454.30303030303031</v>
      </c>
      <c r="L49" s="5"/>
    </row>
    <row r="50" spans="1:12">
      <c r="A50" s="49"/>
      <c r="B50" s="50"/>
      <c r="C50" s="50"/>
      <c r="D50" s="50"/>
      <c r="E50" s="50"/>
      <c r="F50" s="50"/>
      <c r="G50" s="51"/>
      <c r="H50" s="52"/>
      <c r="I50" s="5"/>
      <c r="J50" s="48" t="s">
        <v>88</v>
      </c>
      <c r="K50" s="5">
        <f>K49-A46</f>
        <v>404.30303030303031</v>
      </c>
    </row>
    <row r="51" spans="1:12" ht="19.5" customHeight="1">
      <c r="A51" s="22"/>
      <c r="B51" s="23"/>
      <c r="C51" s="23"/>
      <c r="D51" s="23"/>
      <c r="E51" s="23"/>
      <c r="F51" s="23"/>
      <c r="G51" s="23"/>
      <c r="H51" s="24"/>
      <c r="I51" s="5"/>
      <c r="J51" s="5"/>
      <c r="K51" s="5"/>
    </row>
    <row r="52" spans="1:12">
      <c r="A52" s="53" t="s">
        <v>89</v>
      </c>
      <c r="B52" s="28"/>
      <c r="C52" s="28" t="s">
        <v>90</v>
      </c>
      <c r="D52" s="28"/>
      <c r="E52" s="28"/>
      <c r="F52" s="28"/>
      <c r="G52" s="28"/>
      <c r="H52" s="29"/>
      <c r="I52" s="5"/>
      <c r="J52" s="5"/>
      <c r="K52" s="5"/>
    </row>
    <row r="53" spans="1:12">
      <c r="A53" s="54">
        <v>1</v>
      </c>
      <c r="B53" s="28"/>
      <c r="C53" s="339">
        <v>1</v>
      </c>
      <c r="D53" s="339"/>
      <c r="E53" s="339"/>
      <c r="F53" s="28"/>
      <c r="G53" s="28"/>
      <c r="H53" s="29"/>
      <c r="I53" s="5"/>
      <c r="J53" s="55" t="s">
        <v>91</v>
      </c>
      <c r="K53" s="56" t="s">
        <v>406</v>
      </c>
    </row>
    <row r="54" spans="1:12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12">
      <c r="A55" s="22"/>
      <c r="B55" s="23"/>
      <c r="C55" s="23"/>
      <c r="D55" s="23"/>
      <c r="E55" s="23"/>
      <c r="F55" s="23"/>
      <c r="G55" s="23"/>
      <c r="H55" s="24"/>
      <c r="I55" s="5"/>
      <c r="J55" s="5" t="s">
        <v>92</v>
      </c>
      <c r="K55" s="5">
        <f>A46*A34</f>
        <v>1650</v>
      </c>
    </row>
    <row r="56" spans="1:12">
      <c r="A56" s="58" t="s">
        <v>93</v>
      </c>
      <c r="B56" s="28"/>
      <c r="C56" s="28"/>
      <c r="D56" s="59"/>
      <c r="E56" s="59"/>
      <c r="F56" s="59"/>
      <c r="G56" s="59"/>
      <c r="H56" s="60"/>
      <c r="I56" s="5"/>
      <c r="J56" s="5"/>
      <c r="K56" s="5"/>
    </row>
    <row r="57" spans="1:12" ht="19.5" customHeight="1">
      <c r="A57" s="27"/>
      <c r="B57" s="61"/>
      <c r="C57" s="61"/>
      <c r="D57" s="28"/>
      <c r="E57" s="28"/>
      <c r="F57" s="28"/>
      <c r="G57" s="28"/>
      <c r="H57" s="29"/>
      <c r="I57" s="5"/>
      <c r="J57" s="5"/>
      <c r="K57" s="5"/>
    </row>
    <row r="58" spans="1:12" ht="21">
      <c r="A58" s="340" t="s">
        <v>94</v>
      </c>
      <c r="B58" s="341" t="s">
        <v>95</v>
      </c>
      <c r="C58" s="341"/>
      <c r="D58" s="341"/>
      <c r="E58" s="28"/>
      <c r="F58" s="28"/>
      <c r="G58" s="28"/>
      <c r="H58" s="29"/>
      <c r="I58" s="5"/>
      <c r="J58" s="5"/>
      <c r="K58" s="5"/>
    </row>
    <row r="59" spans="1:12">
      <c r="A59" s="340"/>
      <c r="B59" s="342" t="str">
        <f>K30</f>
        <v>5000</v>
      </c>
      <c r="C59" s="342"/>
      <c r="D59" s="342"/>
      <c r="E59" s="28"/>
      <c r="F59" s="28"/>
      <c r="G59" s="28"/>
      <c r="H59" s="29"/>
      <c r="I59" s="5"/>
      <c r="J59" s="5"/>
      <c r="K59" s="5"/>
    </row>
    <row r="60" spans="1:12">
      <c r="A60" s="62" t="str">
        <f>K29</f>
        <v>33</v>
      </c>
      <c r="B60" s="343">
        <f>K49</f>
        <v>454.30303030303031</v>
      </c>
      <c r="C60" s="343"/>
      <c r="D60" s="343"/>
      <c r="E60" s="28"/>
      <c r="F60" s="28"/>
      <c r="G60" s="28"/>
      <c r="H60" s="29"/>
      <c r="I60" s="5"/>
      <c r="J60" s="5"/>
      <c r="K60" s="5"/>
    </row>
    <row r="61" spans="1:12">
      <c r="A61" s="27"/>
      <c r="B61" s="28"/>
      <c r="C61" s="28"/>
      <c r="D61" s="28"/>
      <c r="E61" s="28"/>
      <c r="F61" s="28"/>
      <c r="G61" s="28"/>
      <c r="H61" s="29"/>
      <c r="I61" s="5"/>
      <c r="J61" s="5"/>
      <c r="K61" s="5"/>
    </row>
    <row r="62" spans="1:12">
      <c r="A62" s="49"/>
      <c r="B62" s="50"/>
      <c r="C62" s="50"/>
      <c r="D62" s="50"/>
      <c r="E62" s="50"/>
      <c r="F62" s="50"/>
      <c r="G62" s="50"/>
      <c r="H62" s="57"/>
      <c r="I62" s="5"/>
      <c r="J62" s="5"/>
      <c r="K62" s="5"/>
    </row>
    <row r="63" spans="1:12">
      <c r="A63" s="28"/>
      <c r="B63" s="28"/>
      <c r="C63" s="28"/>
      <c r="D63" s="28"/>
      <c r="E63" s="28"/>
      <c r="F63" s="28"/>
      <c r="G63" s="28"/>
      <c r="H63" s="28"/>
      <c r="I63" s="5"/>
      <c r="J63" s="5"/>
      <c r="K63" s="5"/>
    </row>
    <row r="64" spans="1:12">
      <c r="A64" s="28"/>
      <c r="B64" s="28"/>
      <c r="C64" s="28"/>
      <c r="D64" s="28"/>
      <c r="E64" s="28"/>
      <c r="F64" s="28"/>
      <c r="G64" s="28"/>
      <c r="H64" s="28"/>
      <c r="I64" s="5"/>
      <c r="J64" s="5"/>
      <c r="K64" s="5"/>
    </row>
    <row r="65" spans="1:35">
      <c r="A65" s="21"/>
      <c r="B65" s="21"/>
      <c r="C65" s="21"/>
      <c r="D65" s="21"/>
      <c r="E65" s="21"/>
      <c r="F65" s="21"/>
      <c r="G65" s="21"/>
      <c r="H65" s="21"/>
      <c r="J65" s="5"/>
      <c r="K65" s="5"/>
    </row>
    <row r="66" spans="1:35">
      <c r="A66" s="22"/>
      <c r="B66" s="23"/>
      <c r="C66" s="23"/>
      <c r="D66" s="23"/>
      <c r="E66" s="63"/>
      <c r="F66" s="63"/>
      <c r="G66" s="63"/>
      <c r="H66" s="24"/>
      <c r="J66" s="22"/>
      <c r="K66" s="23"/>
      <c r="L66" s="23"/>
      <c r="M66" s="23"/>
      <c r="N66" s="63"/>
      <c r="O66" s="63"/>
      <c r="P66" s="63"/>
      <c r="Q66" s="24"/>
      <c r="S66" s="22"/>
      <c r="T66" s="23"/>
      <c r="U66" s="23"/>
      <c r="V66" s="23"/>
      <c r="W66" s="63"/>
      <c r="X66" s="63"/>
      <c r="Y66" s="63"/>
      <c r="Z66" s="24"/>
      <c r="AB66" s="22"/>
      <c r="AC66" s="23"/>
      <c r="AD66" s="23"/>
      <c r="AE66" s="23"/>
      <c r="AF66" s="63"/>
      <c r="AG66" s="63"/>
      <c r="AH66" s="63"/>
      <c r="AI66" s="24"/>
    </row>
    <row r="67" spans="1:35">
      <c r="A67" s="27" t="s">
        <v>96</v>
      </c>
      <c r="B67" s="28">
        <v>1</v>
      </c>
      <c r="C67" s="28"/>
      <c r="D67" s="28"/>
      <c r="E67" s="21"/>
      <c r="F67" s="21"/>
      <c r="G67" s="21"/>
      <c r="H67" s="29"/>
      <c r="J67" s="27" t="s">
        <v>96</v>
      </c>
      <c r="K67" s="28">
        <v>1</v>
      </c>
      <c r="L67" s="28"/>
      <c r="M67" s="28"/>
      <c r="N67" s="21"/>
      <c r="O67" s="21"/>
      <c r="P67" s="21"/>
      <c r="Q67" s="29"/>
      <c r="S67" s="27" t="s">
        <v>96</v>
      </c>
      <c r="T67" s="28">
        <v>1</v>
      </c>
      <c r="U67" s="28"/>
      <c r="V67" s="28"/>
      <c r="W67" s="21"/>
      <c r="X67" s="21"/>
      <c r="Y67" s="21"/>
      <c r="Z67" s="29"/>
      <c r="AB67" s="27" t="s">
        <v>96</v>
      </c>
      <c r="AC67" s="28">
        <v>1</v>
      </c>
      <c r="AD67" s="28"/>
      <c r="AE67" s="28"/>
      <c r="AF67" s="21"/>
      <c r="AG67" s="21"/>
      <c r="AH67" s="21"/>
      <c r="AI67" s="29"/>
    </row>
    <row r="68" spans="1:35">
      <c r="A68" s="27" t="s">
        <v>97</v>
      </c>
      <c r="B68" s="28">
        <f>K29-B67</f>
        <v>32</v>
      </c>
      <c r="C68" s="28"/>
      <c r="D68" s="28"/>
      <c r="E68" s="21"/>
      <c r="F68" s="21"/>
      <c r="G68" s="21"/>
      <c r="H68" s="29"/>
      <c r="J68" s="27" t="s">
        <v>97</v>
      </c>
      <c r="K68" s="28">
        <f>K29-K67</f>
        <v>32</v>
      </c>
      <c r="L68" s="28"/>
      <c r="M68" s="28"/>
      <c r="N68" s="21"/>
      <c r="O68" s="21"/>
      <c r="P68" s="21"/>
      <c r="Q68" s="29"/>
      <c r="S68" s="27" t="s">
        <v>97</v>
      </c>
      <c r="T68" s="28">
        <f>K29-T67</f>
        <v>32</v>
      </c>
      <c r="U68" s="28"/>
      <c r="V68" s="28"/>
      <c r="W68" s="21"/>
      <c r="X68" s="21"/>
      <c r="Y68" s="21"/>
      <c r="Z68" s="29"/>
      <c r="AB68" s="27" t="s">
        <v>97</v>
      </c>
      <c r="AC68" s="28">
        <f>K29-AC67</f>
        <v>32</v>
      </c>
      <c r="AD68" s="28"/>
      <c r="AE68" s="28"/>
      <c r="AF68" s="21"/>
      <c r="AG68" s="21"/>
      <c r="AH68" s="21"/>
      <c r="AI68" s="29"/>
    </row>
    <row r="69" spans="1:35">
      <c r="A69" s="64" t="s">
        <v>98</v>
      </c>
      <c r="B69" s="65">
        <v>10</v>
      </c>
      <c r="C69" s="28"/>
      <c r="D69" s="28"/>
      <c r="E69" s="21"/>
      <c r="F69" s="21"/>
      <c r="G69" s="21"/>
      <c r="H69" s="29"/>
      <c r="J69" s="64" t="s">
        <v>98</v>
      </c>
      <c r="K69" s="65">
        <v>20</v>
      </c>
      <c r="L69" s="28"/>
      <c r="M69" s="28"/>
      <c r="N69" s="21"/>
      <c r="O69" s="21"/>
      <c r="P69" s="21"/>
      <c r="Q69" s="29"/>
      <c r="S69" s="64" t="s">
        <v>98</v>
      </c>
      <c r="T69" s="65">
        <v>10</v>
      </c>
      <c r="U69" s="28"/>
      <c r="V69" s="28"/>
      <c r="W69" s="21"/>
      <c r="X69" s="21"/>
      <c r="Y69" s="21"/>
      <c r="Z69" s="29"/>
      <c r="AB69" s="64" t="s">
        <v>98</v>
      </c>
      <c r="AC69" s="65">
        <v>10</v>
      </c>
      <c r="AD69" s="28"/>
      <c r="AE69" s="28"/>
      <c r="AF69" s="21"/>
      <c r="AG69" s="21"/>
      <c r="AH69" s="21"/>
      <c r="AI69" s="29"/>
    </row>
    <row r="70" spans="1:35">
      <c r="A70" s="27" t="s">
        <v>27</v>
      </c>
      <c r="B70" s="28">
        <f>J18</f>
        <v>25140</v>
      </c>
      <c r="C70" s="28"/>
      <c r="D70" s="28"/>
      <c r="E70" s="21"/>
      <c r="F70" s="21"/>
      <c r="G70" s="21"/>
      <c r="H70" s="29"/>
      <c r="J70" s="27" t="s">
        <v>27</v>
      </c>
      <c r="K70" s="28">
        <f>J18</f>
        <v>25140</v>
      </c>
      <c r="L70" s="28"/>
      <c r="M70" s="28"/>
      <c r="N70" s="21"/>
      <c r="O70" s="21"/>
      <c r="P70" s="21"/>
      <c r="Q70" s="29"/>
      <c r="S70" s="27" t="s">
        <v>27</v>
      </c>
      <c r="T70" s="28">
        <f>J18</f>
        <v>25140</v>
      </c>
      <c r="U70" s="28"/>
      <c r="V70" s="28"/>
      <c r="W70" s="21"/>
      <c r="X70" s="21"/>
      <c r="Y70" s="21"/>
      <c r="Z70" s="29"/>
      <c r="AB70" s="27" t="s">
        <v>27</v>
      </c>
      <c r="AC70" s="28">
        <f>J18</f>
        <v>25140</v>
      </c>
      <c r="AD70" s="28"/>
      <c r="AE70" s="28"/>
      <c r="AF70" s="21"/>
      <c r="AG70" s="21"/>
      <c r="AH70" s="21"/>
      <c r="AI70" s="29"/>
    </row>
    <row r="71" spans="1:35">
      <c r="A71" s="66" t="s">
        <v>99</v>
      </c>
      <c r="B71" s="67">
        <v>0</v>
      </c>
      <c r="C71" s="28"/>
      <c r="D71" s="28"/>
      <c r="E71" s="21"/>
      <c r="F71" s="21"/>
      <c r="G71" s="21"/>
      <c r="H71" s="29"/>
      <c r="J71" s="66" t="s">
        <v>99</v>
      </c>
      <c r="K71" s="67">
        <v>0.06</v>
      </c>
      <c r="L71" s="28"/>
      <c r="M71" s="28"/>
      <c r="N71" s="21"/>
      <c r="O71" s="21"/>
      <c r="P71" s="21"/>
      <c r="Q71" s="29"/>
      <c r="S71" s="66" t="s">
        <v>99</v>
      </c>
      <c r="T71" s="67">
        <f>IF(AND(K29&gt;=12,K29&lt;=24),0.0105,IF(AND(K29&gt;=48),-0.0075,0))</f>
        <v>-7.4999999999999997E-3</v>
      </c>
      <c r="U71" s="28"/>
      <c r="V71" s="28"/>
      <c r="W71" s="21"/>
      <c r="X71" s="21"/>
      <c r="Y71" s="21"/>
      <c r="Z71" s="29"/>
      <c r="AB71" s="66" t="s">
        <v>99</v>
      </c>
      <c r="AC71" s="67">
        <f>IF(AND(K29&gt;=12,K29&lt;=24),0.0105,IF(AND(K29&gt;=48),-0.0075,0))</f>
        <v>-7.4999999999999997E-3</v>
      </c>
      <c r="AD71" s="28"/>
      <c r="AE71" s="28"/>
      <c r="AF71" s="21"/>
      <c r="AG71" s="21"/>
      <c r="AH71" s="21"/>
      <c r="AI71" s="29"/>
    </row>
    <row r="72" spans="1:35">
      <c r="A72" s="68" t="s">
        <v>100</v>
      </c>
      <c r="B72" s="69">
        <v>6.5000000000000002E-2</v>
      </c>
      <c r="C72" s="28"/>
      <c r="D72" s="28"/>
      <c r="E72" s="21"/>
      <c r="F72" s="21"/>
      <c r="G72" s="21"/>
      <c r="H72" s="29"/>
      <c r="J72" s="68" t="s">
        <v>100</v>
      </c>
      <c r="K72" s="69">
        <v>0.08</v>
      </c>
      <c r="L72" s="28"/>
      <c r="M72" s="28"/>
      <c r="N72" s="21"/>
      <c r="O72" s="21"/>
      <c r="P72" s="21"/>
      <c r="Q72" s="29"/>
      <c r="S72" s="68" t="s">
        <v>100</v>
      </c>
      <c r="T72" s="69">
        <v>5.8999999999999997E-2</v>
      </c>
      <c r="U72" s="28"/>
      <c r="V72" s="28"/>
      <c r="W72" s="21"/>
      <c r="X72" s="21"/>
      <c r="Y72" s="21"/>
      <c r="Z72" s="29"/>
      <c r="AB72" s="68" t="s">
        <v>100</v>
      </c>
      <c r="AC72" s="69">
        <v>5.8999999999999997E-2</v>
      </c>
      <c r="AD72" s="28"/>
      <c r="AE72" s="28"/>
      <c r="AF72" s="21"/>
      <c r="AG72" s="21"/>
      <c r="AH72" s="21"/>
      <c r="AI72" s="29"/>
    </row>
    <row r="73" spans="1:35">
      <c r="A73" s="70" t="s">
        <v>101</v>
      </c>
      <c r="B73" s="71">
        <v>0.05</v>
      </c>
      <c r="C73" s="28"/>
      <c r="D73" s="28"/>
      <c r="E73" s="21"/>
      <c r="F73" s="21"/>
      <c r="G73" s="21"/>
      <c r="H73" s="29"/>
      <c r="J73" s="70" t="s">
        <v>101</v>
      </c>
      <c r="K73" s="71">
        <v>0.1</v>
      </c>
      <c r="L73" s="28"/>
      <c r="M73" s="28"/>
      <c r="N73" s="21"/>
      <c r="O73" s="21"/>
      <c r="P73" s="21"/>
      <c r="Q73" s="29"/>
      <c r="S73" s="70" t="s">
        <v>101</v>
      </c>
      <c r="T73" s="71">
        <f>IF(T117=AP117,2.4%,7.2%)</f>
        <v>7.2000000000000008E-2</v>
      </c>
      <c r="U73" s="28"/>
      <c r="V73" s="28"/>
      <c r="W73" s="21"/>
      <c r="X73" s="21"/>
      <c r="Y73" s="21"/>
      <c r="Z73" s="29"/>
      <c r="AB73" s="70" t="s">
        <v>101</v>
      </c>
      <c r="AC73" s="71">
        <f>IF(AC117=AP117,2.4%,7.2%)</f>
        <v>7.2000000000000008E-2</v>
      </c>
      <c r="AD73" s="28"/>
      <c r="AE73" s="28"/>
      <c r="AF73" s="21"/>
      <c r="AG73" s="21"/>
      <c r="AH73" s="21"/>
      <c r="AI73" s="29"/>
    </row>
    <row r="74" spans="1:35">
      <c r="A74" s="49" t="s">
        <v>102</v>
      </c>
      <c r="B74" s="57">
        <f>(B98*B68)-(K47*K29)</f>
        <v>22401.563473938822</v>
      </c>
      <c r="C74" s="28"/>
      <c r="D74" s="28"/>
      <c r="E74" s="21"/>
      <c r="F74" s="21"/>
      <c r="G74" s="21"/>
      <c r="H74" s="29"/>
      <c r="J74" s="49" t="s">
        <v>102</v>
      </c>
      <c r="K74" s="57">
        <f>(K98*K68)-(K47*K29)</f>
        <v>48703.219042427823</v>
      </c>
      <c r="L74" s="28"/>
      <c r="M74" s="28"/>
      <c r="N74" s="21"/>
      <c r="O74" s="21"/>
      <c r="P74" s="21"/>
      <c r="Q74" s="29"/>
      <c r="S74" s="49" t="s">
        <v>102</v>
      </c>
      <c r="T74" s="57">
        <f>(T98*T68)-(K47*K29)</f>
        <v>24017.357299766423</v>
      </c>
      <c r="U74" s="28"/>
      <c r="V74" s="28"/>
      <c r="W74" s="21"/>
      <c r="X74" s="21"/>
      <c r="Y74" s="21"/>
      <c r="Z74" s="29"/>
      <c r="AB74" s="49" t="s">
        <v>102</v>
      </c>
      <c r="AC74" s="57">
        <f>(AC98*AC68)-(K47*K29)</f>
        <v>24017.357299766423</v>
      </c>
      <c r="AD74" s="28"/>
      <c r="AE74" s="28"/>
      <c r="AF74" s="21"/>
      <c r="AG74" s="21"/>
      <c r="AH74" s="21"/>
      <c r="AI74" s="29"/>
    </row>
    <row r="75" spans="1:35">
      <c r="A75" s="66" t="s">
        <v>103</v>
      </c>
      <c r="B75" s="67">
        <v>0.03</v>
      </c>
      <c r="C75" s="28"/>
      <c r="D75" s="28"/>
      <c r="E75" s="21"/>
      <c r="F75" s="21"/>
      <c r="G75" s="21"/>
      <c r="H75" s="29"/>
      <c r="J75" s="66" t="s">
        <v>103</v>
      </c>
      <c r="K75" s="67">
        <v>0.05</v>
      </c>
      <c r="L75" s="28"/>
      <c r="M75" s="28"/>
      <c r="N75" s="21"/>
      <c r="O75" s="21"/>
      <c r="P75" s="21"/>
      <c r="Q75" s="29"/>
      <c r="S75" s="66" t="s">
        <v>103</v>
      </c>
      <c r="T75" s="67">
        <v>5.0000000000000001E-3</v>
      </c>
      <c r="U75" s="28"/>
      <c r="V75" s="28"/>
      <c r="W75" s="21"/>
      <c r="X75" s="21"/>
      <c r="Y75" s="21"/>
      <c r="Z75" s="29"/>
      <c r="AB75" s="66" t="s">
        <v>103</v>
      </c>
      <c r="AC75" s="67">
        <v>5.0000000000000001E-3</v>
      </c>
      <c r="AD75" s="28"/>
      <c r="AE75" s="28"/>
      <c r="AF75" s="21"/>
      <c r="AG75" s="21"/>
      <c r="AH75" s="21"/>
      <c r="AI75" s="29"/>
    </row>
    <row r="76" spans="1:35">
      <c r="A76" s="27"/>
      <c r="B76" s="72">
        <f>B75</f>
        <v>0.03</v>
      </c>
      <c r="C76" s="28"/>
      <c r="D76" s="28"/>
      <c r="E76" s="21"/>
      <c r="F76" s="21"/>
      <c r="G76" s="21"/>
      <c r="H76" s="29"/>
      <c r="J76" s="27" t="s">
        <v>104</v>
      </c>
      <c r="K76" s="72">
        <f>K75+(K75*0.25*(K29/12-1))</f>
        <v>7.1875000000000008E-2</v>
      </c>
      <c r="L76" s="28"/>
      <c r="M76" s="28"/>
      <c r="N76" s="21"/>
      <c r="O76" s="21"/>
      <c r="P76" s="21"/>
      <c r="Q76" s="29"/>
      <c r="S76" s="27" t="s">
        <v>104</v>
      </c>
      <c r="T76" s="72">
        <f>T75+(T75*0.5*(K29/12-1))</f>
        <v>9.3750000000000014E-3</v>
      </c>
      <c r="U76" s="28"/>
      <c r="V76" s="28"/>
      <c r="W76" s="21"/>
      <c r="X76" s="21"/>
      <c r="Y76" s="21"/>
      <c r="Z76" s="29"/>
      <c r="AB76" s="27" t="s">
        <v>104</v>
      </c>
      <c r="AC76" s="72">
        <f>AC75+(AC75*0.5*(K29/12-1))</f>
        <v>9.3750000000000014E-3</v>
      </c>
      <c r="AD76" s="28"/>
      <c r="AE76" s="28"/>
      <c r="AF76" s="21"/>
      <c r="AG76" s="21"/>
      <c r="AH76" s="21"/>
      <c r="AI76" s="29"/>
    </row>
    <row r="77" spans="1:35">
      <c r="A77" s="49" t="s">
        <v>105</v>
      </c>
      <c r="B77" s="57">
        <f>(G167*B76)</f>
        <v>797.4</v>
      </c>
      <c r="C77" s="28"/>
      <c r="D77" s="28"/>
      <c r="E77" s="21"/>
      <c r="F77" s="21"/>
      <c r="G77" s="21"/>
      <c r="H77" s="29"/>
      <c r="J77" s="49" t="s">
        <v>105</v>
      </c>
      <c r="K77" s="57">
        <f>K70*K76</f>
        <v>1806.9375000000002</v>
      </c>
      <c r="L77" s="28"/>
      <c r="M77" s="28"/>
      <c r="N77" s="21"/>
      <c r="O77" s="21"/>
      <c r="P77" s="21"/>
      <c r="Q77" s="29"/>
      <c r="S77" s="49" t="s">
        <v>105</v>
      </c>
      <c r="T77" s="57">
        <f>T70*T76</f>
        <v>235.68750000000003</v>
      </c>
      <c r="U77" s="28"/>
      <c r="V77" s="28"/>
      <c r="W77" s="21"/>
      <c r="X77" s="21"/>
      <c r="Y77" s="21"/>
      <c r="Z77" s="29"/>
      <c r="AB77" s="49" t="s">
        <v>105</v>
      </c>
      <c r="AC77" s="57">
        <f>AH167*AC76</f>
        <v>191.18906250000003</v>
      </c>
      <c r="AD77" s="28"/>
      <c r="AE77" s="28"/>
      <c r="AF77" s="21"/>
      <c r="AG77" s="21"/>
      <c r="AH77" s="21"/>
      <c r="AI77" s="29"/>
    </row>
    <row r="78" spans="1:35">
      <c r="A78" s="66" t="s">
        <v>106</v>
      </c>
      <c r="B78" s="67">
        <v>0</v>
      </c>
      <c r="C78" s="28"/>
      <c r="D78" s="28"/>
      <c r="E78" s="21"/>
      <c r="F78" s="21"/>
      <c r="G78" s="21"/>
      <c r="H78" s="29"/>
      <c r="J78" s="66" t="s">
        <v>106</v>
      </c>
      <c r="K78" s="67">
        <v>0</v>
      </c>
      <c r="L78" s="28"/>
      <c r="M78" s="28"/>
      <c r="N78" s="21"/>
      <c r="O78" s="21"/>
      <c r="P78" s="21"/>
      <c r="Q78" s="29"/>
      <c r="S78" s="66" t="s">
        <v>106</v>
      </c>
      <c r="T78" s="67">
        <v>0</v>
      </c>
      <c r="U78" s="28"/>
      <c r="V78" s="28"/>
      <c r="W78" s="21"/>
      <c r="X78" s="21"/>
      <c r="Y78" s="21"/>
      <c r="Z78" s="29"/>
      <c r="AB78" s="66" t="s">
        <v>106</v>
      </c>
      <c r="AC78" s="67">
        <v>0</v>
      </c>
      <c r="AD78" s="28"/>
      <c r="AE78" s="28"/>
      <c r="AF78" s="21"/>
      <c r="AG78" s="21"/>
      <c r="AH78" s="21"/>
      <c r="AI78" s="29"/>
    </row>
    <row r="79" spans="1:35">
      <c r="A79" s="68" t="s">
        <v>107</v>
      </c>
      <c r="B79" s="69">
        <v>0</v>
      </c>
      <c r="C79" s="28"/>
      <c r="D79" s="28"/>
      <c r="E79" s="21"/>
      <c r="F79" s="21"/>
      <c r="G79" s="21"/>
      <c r="H79" s="29"/>
      <c r="J79" s="68" t="s">
        <v>107</v>
      </c>
      <c r="K79" s="69">
        <v>0</v>
      </c>
      <c r="L79" s="28"/>
      <c r="M79" s="28"/>
      <c r="N79" s="21"/>
      <c r="O79" s="21"/>
      <c r="P79" s="21"/>
      <c r="Q79" s="29"/>
      <c r="S79" s="68" t="s">
        <v>107</v>
      </c>
      <c r="T79" s="69">
        <v>0</v>
      </c>
      <c r="U79" s="28"/>
      <c r="V79" s="28"/>
      <c r="W79" s="21"/>
      <c r="X79" s="21"/>
      <c r="Y79" s="21"/>
      <c r="Z79" s="29"/>
      <c r="AB79" s="68" t="s">
        <v>107</v>
      </c>
      <c r="AC79" s="69">
        <v>0</v>
      </c>
      <c r="AD79" s="28"/>
      <c r="AE79" s="28"/>
      <c r="AF79" s="21"/>
      <c r="AG79" s="21"/>
      <c r="AH79" s="21"/>
      <c r="AI79" s="29"/>
    </row>
    <row r="80" spans="1:35">
      <c r="A80" s="49" t="s">
        <v>108</v>
      </c>
      <c r="B80" s="73">
        <f>B78*(1+B79)</f>
        <v>0</v>
      </c>
      <c r="C80" s="28"/>
      <c r="D80" s="28"/>
      <c r="E80" s="21"/>
      <c r="F80" s="21"/>
      <c r="G80" s="21"/>
      <c r="H80" s="29"/>
      <c r="J80" s="49" t="s">
        <v>108</v>
      </c>
      <c r="K80" s="73">
        <f>K78*(1+K79)</f>
        <v>0</v>
      </c>
      <c r="L80" s="28"/>
      <c r="M80" s="28"/>
      <c r="N80" s="21"/>
      <c r="O80" s="21"/>
      <c r="P80" s="21"/>
      <c r="Q80" s="29"/>
      <c r="S80" s="49" t="s">
        <v>108</v>
      </c>
      <c r="T80" s="73">
        <f>T78*(1+T79)</f>
        <v>0</v>
      </c>
      <c r="U80" s="28"/>
      <c r="V80" s="28"/>
      <c r="W80" s="21"/>
      <c r="X80" s="21"/>
      <c r="Y80" s="21"/>
      <c r="Z80" s="29"/>
      <c r="AB80" s="49" t="s">
        <v>108</v>
      </c>
      <c r="AC80" s="73">
        <f>AC78*(1+AC79)</f>
        <v>0</v>
      </c>
      <c r="AD80" s="28"/>
      <c r="AE80" s="28"/>
      <c r="AF80" s="21"/>
      <c r="AG80" s="21"/>
      <c r="AH80" s="21"/>
      <c r="AI80" s="29"/>
    </row>
    <row r="81" spans="1:35">
      <c r="A81" s="66" t="s">
        <v>109</v>
      </c>
      <c r="B81" s="74">
        <v>0</v>
      </c>
      <c r="C81" s="28"/>
      <c r="D81" s="28"/>
      <c r="E81" s="21"/>
      <c r="F81" s="21"/>
      <c r="G81" s="21"/>
      <c r="H81" s="29"/>
      <c r="J81" s="66" t="s">
        <v>109</v>
      </c>
      <c r="K81" s="74">
        <v>0</v>
      </c>
      <c r="L81" s="28"/>
      <c r="M81" s="28"/>
      <c r="N81" s="21"/>
      <c r="O81" s="21"/>
      <c r="P81" s="21"/>
      <c r="Q81" s="29"/>
      <c r="S81" s="66" t="s">
        <v>109</v>
      </c>
      <c r="T81" s="74">
        <v>0</v>
      </c>
      <c r="U81" s="28"/>
      <c r="V81" s="28"/>
      <c r="W81" s="21"/>
      <c r="X81" s="21"/>
      <c r="Y81" s="21"/>
      <c r="Z81" s="29"/>
      <c r="AB81" s="66" t="s">
        <v>109</v>
      </c>
      <c r="AC81" s="74">
        <v>0</v>
      </c>
      <c r="AD81" s="28"/>
      <c r="AE81" s="28"/>
      <c r="AF81" s="21"/>
      <c r="AG81" s="21"/>
      <c r="AH81" s="21"/>
      <c r="AI81" s="29"/>
    </row>
    <row r="82" spans="1:35">
      <c r="A82" s="68" t="s">
        <v>110</v>
      </c>
      <c r="B82" s="65">
        <v>0</v>
      </c>
      <c r="C82" s="28"/>
      <c r="D82" s="28"/>
      <c r="E82" s="21"/>
      <c r="F82" s="21"/>
      <c r="G82" s="21"/>
      <c r="H82" s="29"/>
      <c r="J82" s="68" t="s">
        <v>110</v>
      </c>
      <c r="K82" s="65">
        <v>0</v>
      </c>
      <c r="L82" s="28"/>
      <c r="M82" s="28"/>
      <c r="N82" s="21"/>
      <c r="O82" s="21"/>
      <c r="P82" s="21"/>
      <c r="Q82" s="29"/>
      <c r="S82" s="68" t="s">
        <v>110</v>
      </c>
      <c r="T82" s="65">
        <v>0</v>
      </c>
      <c r="U82" s="28"/>
      <c r="V82" s="28"/>
      <c r="W82" s="21"/>
      <c r="X82" s="21"/>
      <c r="Y82" s="21"/>
      <c r="Z82" s="29"/>
      <c r="AB82" s="68" t="s">
        <v>110</v>
      </c>
      <c r="AC82" s="65">
        <v>0</v>
      </c>
      <c r="AD82" s="28"/>
      <c r="AE82" s="28"/>
      <c r="AF82" s="21"/>
      <c r="AG82" s="21"/>
      <c r="AH82" s="21"/>
      <c r="AI82" s="29"/>
    </row>
    <row r="83" spans="1:35">
      <c r="A83" s="49" t="s">
        <v>111</v>
      </c>
      <c r="B83" s="57">
        <f>B82*K29</f>
        <v>0</v>
      </c>
      <c r="C83" s="28"/>
      <c r="D83" s="28">
        <f>B83+B81</f>
        <v>0</v>
      </c>
      <c r="E83" s="21"/>
      <c r="F83" s="21"/>
      <c r="G83" s="21"/>
      <c r="H83" s="29"/>
      <c r="J83" s="49" t="s">
        <v>111</v>
      </c>
      <c r="K83" s="57">
        <f>K82*K29</f>
        <v>0</v>
      </c>
      <c r="L83" s="28"/>
      <c r="M83" s="28">
        <f>K83+K81</f>
        <v>0</v>
      </c>
      <c r="N83" s="21"/>
      <c r="O83" s="21"/>
      <c r="P83" s="21"/>
      <c r="Q83" s="29"/>
      <c r="S83" s="49" t="s">
        <v>111</v>
      </c>
      <c r="T83" s="57">
        <f>T82*K29</f>
        <v>0</v>
      </c>
      <c r="U83" s="28"/>
      <c r="V83" s="28">
        <f>T83+T81</f>
        <v>0</v>
      </c>
      <c r="W83" s="21"/>
      <c r="X83" s="21"/>
      <c r="Y83" s="21"/>
      <c r="Z83" s="29"/>
      <c r="AB83" s="49" t="s">
        <v>111</v>
      </c>
      <c r="AC83" s="57">
        <f>AC82*K29</f>
        <v>0</v>
      </c>
      <c r="AD83" s="28"/>
      <c r="AE83" s="28">
        <f>AC83+AC81</f>
        <v>0</v>
      </c>
      <c r="AF83" s="21"/>
      <c r="AG83" s="21"/>
      <c r="AH83" s="21"/>
      <c r="AI83" s="29"/>
    </row>
    <row r="84" spans="1:35">
      <c r="A84" s="68" t="s">
        <v>112</v>
      </c>
      <c r="B84" s="65">
        <v>0</v>
      </c>
      <c r="C84" s="28"/>
      <c r="D84" s="28">
        <f>B84</f>
        <v>0</v>
      </c>
      <c r="E84" s="21"/>
      <c r="F84" s="21"/>
      <c r="G84" s="21"/>
      <c r="H84" s="29"/>
      <c r="J84" s="68" t="s">
        <v>112</v>
      </c>
      <c r="K84" s="65">
        <v>0</v>
      </c>
      <c r="L84" s="28"/>
      <c r="M84" s="28">
        <f>K84</f>
        <v>0</v>
      </c>
      <c r="N84" s="21"/>
      <c r="O84" s="21"/>
      <c r="P84" s="21"/>
      <c r="Q84" s="29"/>
      <c r="S84" s="68" t="s">
        <v>112</v>
      </c>
      <c r="T84" s="65">
        <v>0</v>
      </c>
      <c r="U84" s="28"/>
      <c r="V84" s="28">
        <f>T84</f>
        <v>0</v>
      </c>
      <c r="W84" s="21"/>
      <c r="X84" s="21"/>
      <c r="Y84" s="21"/>
      <c r="Z84" s="29"/>
      <c r="AB84" s="68" t="s">
        <v>112</v>
      </c>
      <c r="AC84" s="65">
        <v>0</v>
      </c>
      <c r="AD84" s="28"/>
      <c r="AE84" s="28">
        <f>AC84</f>
        <v>0</v>
      </c>
      <c r="AF84" s="21"/>
      <c r="AG84" s="21"/>
      <c r="AH84" s="21"/>
      <c r="AI84" s="29"/>
    </row>
    <row r="85" spans="1:35">
      <c r="A85" s="70" t="s">
        <v>113</v>
      </c>
      <c r="B85" s="75">
        <v>0</v>
      </c>
      <c r="C85" s="28"/>
      <c r="D85" s="28">
        <f>B85</f>
        <v>0</v>
      </c>
      <c r="E85" s="21"/>
      <c r="F85" s="28"/>
      <c r="G85" s="21"/>
      <c r="H85" s="29"/>
      <c r="J85" s="70" t="s">
        <v>113</v>
      </c>
      <c r="K85" s="75">
        <v>0</v>
      </c>
      <c r="L85" s="28"/>
      <c r="M85" s="28">
        <f>K85</f>
        <v>0</v>
      </c>
      <c r="N85" s="21"/>
      <c r="O85" s="21"/>
      <c r="P85" s="21"/>
      <c r="Q85" s="29"/>
      <c r="S85" s="70" t="s">
        <v>113</v>
      </c>
      <c r="T85" s="75">
        <v>0</v>
      </c>
      <c r="U85" s="28"/>
      <c r="V85" s="28">
        <f>T85</f>
        <v>0</v>
      </c>
      <c r="W85" s="21"/>
      <c r="X85" s="21"/>
      <c r="Y85" s="21"/>
      <c r="Z85" s="29"/>
      <c r="AB85" s="70" t="s">
        <v>113</v>
      </c>
      <c r="AC85" s="75">
        <v>0</v>
      </c>
      <c r="AD85" s="28"/>
      <c r="AE85" s="28">
        <f>AC85</f>
        <v>0</v>
      </c>
      <c r="AF85" s="21"/>
      <c r="AG85" s="21"/>
      <c r="AH85" s="21"/>
      <c r="AI85" s="29"/>
    </row>
    <row r="86" spans="1:35">
      <c r="A86" s="76" t="s">
        <v>114</v>
      </c>
      <c r="B86" s="77">
        <f>SUM(D74:D85)</f>
        <v>0</v>
      </c>
      <c r="C86" s="28"/>
      <c r="D86" s="28"/>
      <c r="E86" s="21"/>
      <c r="F86" s="28"/>
      <c r="G86" s="28"/>
      <c r="H86" s="29"/>
      <c r="J86" s="76" t="s">
        <v>114</v>
      </c>
      <c r="K86" s="77">
        <f>SUM(M74:M85)</f>
        <v>0</v>
      </c>
      <c r="L86" s="28"/>
      <c r="M86" s="28"/>
      <c r="N86" s="21"/>
      <c r="O86" s="21"/>
      <c r="P86" s="21"/>
      <c r="Q86" s="29"/>
      <c r="S86" s="76" t="s">
        <v>114</v>
      </c>
      <c r="T86" s="77">
        <f>SUM(V74:V85)</f>
        <v>0</v>
      </c>
      <c r="U86" s="28"/>
      <c r="V86" s="28"/>
      <c r="W86" s="21"/>
      <c r="X86" s="21"/>
      <c r="Y86" s="21"/>
      <c r="Z86" s="29"/>
      <c r="AB86" s="76" t="s">
        <v>114</v>
      </c>
      <c r="AC86" s="77">
        <f>SUM(AE74:AE85)</f>
        <v>0</v>
      </c>
      <c r="AD86" s="28"/>
      <c r="AE86" s="28"/>
      <c r="AF86" s="21"/>
      <c r="AG86" s="21"/>
      <c r="AH86" s="21"/>
      <c r="AI86" s="29"/>
    </row>
    <row r="87" spans="1:35">
      <c r="A87" s="27" t="s">
        <v>115</v>
      </c>
      <c r="B87" s="29">
        <f>B86/K29</f>
        <v>0</v>
      </c>
      <c r="C87" s="28"/>
      <c r="D87" s="28"/>
      <c r="E87" s="21"/>
      <c r="F87" s="21"/>
      <c r="G87" s="21"/>
      <c r="H87" s="29"/>
      <c r="J87" s="27" t="s">
        <v>115</v>
      </c>
      <c r="K87" s="29">
        <f>K86/K29</f>
        <v>0</v>
      </c>
      <c r="L87" s="28"/>
      <c r="M87" s="28"/>
      <c r="N87" s="21"/>
      <c r="O87" s="21"/>
      <c r="P87" s="21"/>
      <c r="Q87" s="29"/>
      <c r="S87" s="27" t="s">
        <v>115</v>
      </c>
      <c r="T87" s="29">
        <f>T86/K29</f>
        <v>0</v>
      </c>
      <c r="U87" s="28"/>
      <c r="V87" s="28"/>
      <c r="W87" s="21"/>
      <c r="X87" s="21"/>
      <c r="Y87" s="21"/>
      <c r="Z87" s="29"/>
      <c r="AB87" s="27" t="s">
        <v>115</v>
      </c>
      <c r="AC87" s="29">
        <f>AC86/K29</f>
        <v>0</v>
      </c>
      <c r="AD87" s="28"/>
      <c r="AE87" s="28"/>
      <c r="AF87" s="21"/>
      <c r="AG87" s="21"/>
      <c r="AH87" s="21"/>
      <c r="AI87" s="29"/>
    </row>
    <row r="88" spans="1:35">
      <c r="A88" s="78" t="s">
        <v>116</v>
      </c>
      <c r="B88" s="52">
        <f>K49</f>
        <v>454.30303030303031</v>
      </c>
      <c r="C88" s="28"/>
      <c r="D88" s="28"/>
      <c r="E88" s="21"/>
      <c r="F88" s="21"/>
      <c r="G88" s="21"/>
      <c r="H88" s="29"/>
      <c r="J88" s="78" t="s">
        <v>116</v>
      </c>
      <c r="K88" s="52">
        <f>K47</f>
        <v>0.36363636363636365</v>
      </c>
      <c r="L88" s="28"/>
      <c r="M88" s="28"/>
      <c r="N88" s="21"/>
      <c r="O88" s="21"/>
      <c r="P88" s="21"/>
      <c r="Q88" s="29"/>
      <c r="S88" s="78" t="s">
        <v>116</v>
      </c>
      <c r="T88" s="52">
        <f>B60</f>
        <v>454.30303030303031</v>
      </c>
      <c r="U88" s="28"/>
      <c r="V88" s="28"/>
      <c r="W88" s="21"/>
      <c r="X88" s="21"/>
      <c r="Y88" s="21"/>
      <c r="Z88" s="29"/>
      <c r="AB88" s="78" t="s">
        <v>116</v>
      </c>
      <c r="AC88" s="52">
        <f>B60</f>
        <v>454.30303030303031</v>
      </c>
      <c r="AD88" s="28"/>
      <c r="AE88" s="28"/>
      <c r="AF88" s="21"/>
      <c r="AG88" s="21"/>
      <c r="AH88" s="21"/>
      <c r="AI88" s="29"/>
    </row>
    <row r="89" spans="1:35">
      <c r="A89" s="27"/>
      <c r="B89" s="28"/>
      <c r="C89" s="28"/>
      <c r="D89" s="28"/>
      <c r="E89" s="21"/>
      <c r="F89" s="21"/>
      <c r="G89" s="21"/>
      <c r="H89" s="29"/>
      <c r="J89" s="27"/>
      <c r="K89" s="28"/>
      <c r="L89" s="28"/>
      <c r="M89" s="28"/>
      <c r="N89" s="21"/>
      <c r="O89" s="21"/>
      <c r="P89" s="21"/>
      <c r="Q89" s="29"/>
      <c r="S89" s="27"/>
      <c r="T89" s="28"/>
      <c r="U89" s="28"/>
      <c r="V89" s="28"/>
      <c r="W89" s="21"/>
      <c r="X89" s="21"/>
      <c r="Y89" s="21"/>
      <c r="Z89" s="29"/>
      <c r="AB89" s="27"/>
      <c r="AC89" s="28"/>
      <c r="AD89" s="28"/>
      <c r="AE89" s="28"/>
      <c r="AF89" s="21"/>
      <c r="AG89" s="21"/>
      <c r="AH89" s="21"/>
      <c r="AI89" s="29"/>
    </row>
    <row r="90" spans="1:35">
      <c r="A90" s="22" t="s">
        <v>117</v>
      </c>
      <c r="B90" s="24">
        <f>F37</f>
        <v>24480</v>
      </c>
      <c r="C90" s="28"/>
      <c r="D90" s="28"/>
      <c r="E90" s="21"/>
      <c r="F90" s="22" t="s">
        <v>117</v>
      </c>
      <c r="G90" s="24">
        <f>F37</f>
        <v>24480</v>
      </c>
      <c r="H90" s="29"/>
      <c r="J90" s="22" t="s">
        <v>117</v>
      </c>
      <c r="K90" s="24">
        <f>P167</f>
        <v>36519.004000000001</v>
      </c>
      <c r="L90" s="28"/>
      <c r="M90" s="28"/>
      <c r="N90" s="21"/>
      <c r="O90" s="21"/>
      <c r="P90" s="21"/>
      <c r="Q90" s="29"/>
      <c r="S90" s="22" t="s">
        <v>117</v>
      </c>
      <c r="T90" s="24">
        <f>Y167</f>
        <v>20393.5</v>
      </c>
      <c r="U90" s="28"/>
      <c r="V90" s="28"/>
      <c r="W90" s="21"/>
      <c r="X90" s="21"/>
      <c r="Y90" s="21"/>
      <c r="Z90" s="29"/>
      <c r="AB90" s="22" t="s">
        <v>117</v>
      </c>
      <c r="AC90" s="24">
        <f>AH167</f>
        <v>20393.5</v>
      </c>
      <c r="AD90" s="28"/>
      <c r="AE90" s="28"/>
      <c r="AF90" s="21"/>
      <c r="AG90" s="21"/>
      <c r="AH90" s="21"/>
      <c r="AI90" s="29"/>
    </row>
    <row r="91" spans="1:35">
      <c r="A91" s="27" t="s">
        <v>118</v>
      </c>
      <c r="B91" s="29">
        <f>IF(A111="YES",A43,0)*1.2</f>
        <v>7200</v>
      </c>
      <c r="C91" s="28"/>
      <c r="D91" s="28"/>
      <c r="E91" s="21"/>
      <c r="F91" s="27" t="s">
        <v>118</v>
      </c>
      <c r="G91" s="29">
        <f>IF(A111="YES",A43,0)*1.2</f>
        <v>7200</v>
      </c>
      <c r="H91" s="29"/>
      <c r="J91" s="27" t="s">
        <v>118</v>
      </c>
      <c r="K91" s="29">
        <f>IF(J120="YES",A40,0)</f>
        <v>0</v>
      </c>
      <c r="L91" s="28"/>
      <c r="M91" s="28"/>
      <c r="N91" s="21"/>
      <c r="O91" s="21"/>
      <c r="P91" s="21"/>
      <c r="Q91" s="29"/>
      <c r="S91" s="27" t="s">
        <v>118</v>
      </c>
      <c r="T91" s="29" t="str">
        <f>A40</f>
        <v>12</v>
      </c>
      <c r="U91" s="28"/>
      <c r="V91" s="28"/>
      <c r="W91" s="21"/>
      <c r="X91" s="21"/>
      <c r="Y91" s="21"/>
      <c r="Z91" s="29"/>
      <c r="AB91" s="27" t="s">
        <v>118</v>
      </c>
      <c r="AC91" s="29" t="str">
        <f>A40</f>
        <v>12</v>
      </c>
      <c r="AD91" s="28"/>
      <c r="AE91" s="28"/>
      <c r="AF91" s="21"/>
      <c r="AG91" s="21"/>
      <c r="AH91" s="21"/>
      <c r="AI91" s="29"/>
    </row>
    <row r="92" spans="1:35">
      <c r="A92" s="27" t="s">
        <v>119</v>
      </c>
      <c r="B92" s="72">
        <f>B71+B72+B73</f>
        <v>0.115</v>
      </c>
      <c r="C92" s="28"/>
      <c r="D92" s="28"/>
      <c r="E92" s="21"/>
      <c r="F92" s="27" t="s">
        <v>119</v>
      </c>
      <c r="G92" s="79">
        <f>B72</f>
        <v>6.5000000000000002E-2</v>
      </c>
      <c r="H92" s="29"/>
      <c r="J92" s="27" t="s">
        <v>119</v>
      </c>
      <c r="K92" s="72">
        <f>K71+K72+K73</f>
        <v>0.24000000000000002</v>
      </c>
      <c r="L92" s="28"/>
      <c r="M92" s="28"/>
      <c r="N92" s="21"/>
      <c r="O92" s="21"/>
      <c r="P92" s="21"/>
      <c r="Q92" s="29"/>
      <c r="S92" s="27" t="s">
        <v>119</v>
      </c>
      <c r="T92" s="72">
        <f>T71+T72+T73</f>
        <v>0.1235</v>
      </c>
      <c r="U92" s="28"/>
      <c r="V92" s="28"/>
      <c r="W92" s="21"/>
      <c r="X92" s="21"/>
      <c r="Y92" s="21"/>
      <c r="Z92" s="29"/>
      <c r="AB92" s="27" t="s">
        <v>119</v>
      </c>
      <c r="AC92" s="72">
        <f>AC71+AC72+AC73</f>
        <v>0.1235</v>
      </c>
      <c r="AD92" s="28"/>
      <c r="AE92" s="28"/>
      <c r="AF92" s="21"/>
      <c r="AG92" s="21"/>
      <c r="AH92" s="21"/>
      <c r="AI92" s="29"/>
    </row>
    <row r="93" spans="1:35">
      <c r="A93" s="27" t="s">
        <v>120</v>
      </c>
      <c r="B93" s="72">
        <f>B92/12</f>
        <v>9.5833333333333343E-3</v>
      </c>
      <c r="C93" s="28"/>
      <c r="D93" s="28"/>
      <c r="E93" s="21"/>
      <c r="F93" s="27" t="s">
        <v>120</v>
      </c>
      <c r="G93" s="72">
        <f>G92/12</f>
        <v>5.4166666666666669E-3</v>
      </c>
      <c r="H93" s="29"/>
      <c r="J93" s="27" t="s">
        <v>120</v>
      </c>
      <c r="K93" s="72">
        <f>K92/12</f>
        <v>0.02</v>
      </c>
      <c r="L93" s="28"/>
      <c r="M93" s="28"/>
      <c r="N93" s="21"/>
      <c r="O93" s="21"/>
      <c r="P93" s="21"/>
      <c r="Q93" s="29"/>
      <c r="S93" s="27" t="s">
        <v>120</v>
      </c>
      <c r="T93" s="72">
        <f>T92/12</f>
        <v>1.0291666666666666E-2</v>
      </c>
      <c r="U93" s="28"/>
      <c r="V93" s="28"/>
      <c r="W93" s="21"/>
      <c r="X93" s="21"/>
      <c r="Y93" s="21"/>
      <c r="Z93" s="29"/>
      <c r="AB93" s="27" t="s">
        <v>120</v>
      </c>
      <c r="AC93" s="72">
        <f>AC92/12</f>
        <v>1.0291666666666666E-2</v>
      </c>
      <c r="AD93" s="28"/>
      <c r="AE93" s="28"/>
      <c r="AF93" s="21"/>
      <c r="AG93" s="21"/>
      <c r="AH93" s="21"/>
      <c r="AI93" s="29"/>
    </row>
    <row r="94" spans="1:35">
      <c r="A94" s="27" t="s">
        <v>121</v>
      </c>
      <c r="B94" s="29">
        <f>IF(B91=0,(B68+B67),(B68))</f>
        <v>32</v>
      </c>
      <c r="C94" s="28"/>
      <c r="D94" s="28"/>
      <c r="E94" s="21"/>
      <c r="F94" s="27" t="s">
        <v>121</v>
      </c>
      <c r="G94" s="29">
        <f>IF(G91=0,(B68+B67),(B68))</f>
        <v>32</v>
      </c>
      <c r="H94" s="29"/>
      <c r="J94" s="27" t="s">
        <v>121</v>
      </c>
      <c r="K94" s="29">
        <f>IF(K91=0,(K68+K67),(K68))</f>
        <v>33</v>
      </c>
      <c r="L94" s="28"/>
      <c r="M94" s="28"/>
      <c r="N94" s="21"/>
      <c r="O94" s="21"/>
      <c r="P94" s="21"/>
      <c r="Q94" s="29"/>
      <c r="S94" s="27" t="s">
        <v>121</v>
      </c>
      <c r="T94" s="29">
        <f>T68</f>
        <v>32</v>
      </c>
      <c r="U94" s="28"/>
      <c r="V94" s="28"/>
      <c r="W94" s="21"/>
      <c r="X94" s="21"/>
      <c r="Y94" s="21"/>
      <c r="Z94" s="29"/>
      <c r="AB94" s="27" t="s">
        <v>121</v>
      </c>
      <c r="AC94" s="29">
        <f>AC68</f>
        <v>32</v>
      </c>
      <c r="AD94" s="28"/>
      <c r="AE94" s="28"/>
      <c r="AF94" s="21"/>
      <c r="AG94" s="21"/>
      <c r="AH94" s="21"/>
      <c r="AI94" s="29"/>
    </row>
    <row r="95" spans="1:35">
      <c r="A95" s="27" t="s">
        <v>122</v>
      </c>
      <c r="B95" s="29">
        <f>(B91/((1+B93)^(B94+1)))</f>
        <v>5255.8239110954255</v>
      </c>
      <c r="C95" s="28"/>
      <c r="D95" s="28"/>
      <c r="E95" s="21"/>
      <c r="F95" s="27" t="s">
        <v>122</v>
      </c>
      <c r="G95" s="29">
        <f>(G91/((1+G93)^(G94+1)))</f>
        <v>6024.3729512856571</v>
      </c>
      <c r="H95" s="29"/>
      <c r="J95" s="27" t="s">
        <v>122</v>
      </c>
      <c r="K95" s="29">
        <f>(K91/((1+K93)^(K94+1)))</f>
        <v>0</v>
      </c>
      <c r="L95" s="28"/>
      <c r="M95" s="28"/>
      <c r="N95" s="21"/>
      <c r="O95" s="21"/>
      <c r="P95" s="21"/>
      <c r="Q95" s="29"/>
      <c r="S95" s="27" t="s">
        <v>122</v>
      </c>
      <c r="T95" s="29">
        <f>(T91/((1+T93)^(T94+1)))</f>
        <v>8.5592913831676558</v>
      </c>
      <c r="U95" s="28"/>
      <c r="V95" s="28"/>
      <c r="W95" s="21"/>
      <c r="X95" s="21"/>
      <c r="Y95" s="21"/>
      <c r="Z95" s="29"/>
      <c r="AB95" s="27" t="s">
        <v>122</v>
      </c>
      <c r="AC95" s="29">
        <f>(AC91/((1+AC93)^(AC94+1)))</f>
        <v>8.5592913831676558</v>
      </c>
      <c r="AD95" s="28"/>
      <c r="AE95" s="28"/>
      <c r="AF95" s="21"/>
      <c r="AG95" s="21"/>
      <c r="AH95" s="21"/>
      <c r="AI95" s="29"/>
    </row>
    <row r="96" spans="1:35">
      <c r="A96" s="27" t="s">
        <v>123</v>
      </c>
      <c r="B96" s="29">
        <f>((1-(1/((1+B93)^B94)))/B93)</f>
        <v>27.446489513380339</v>
      </c>
      <c r="C96" s="28"/>
      <c r="D96" s="28"/>
      <c r="E96" s="21"/>
      <c r="F96" s="27" t="s">
        <v>123</v>
      </c>
      <c r="G96" s="29">
        <f>((1-(1/((1+G93)^G94)))/G93)</f>
        <v>29.307564834911432</v>
      </c>
      <c r="H96" s="29"/>
      <c r="J96" s="27" t="s">
        <v>123</v>
      </c>
      <c r="K96" s="29">
        <f>((1-(1/((1+K93)^K94)))/K93)</f>
        <v>23.988563553049357</v>
      </c>
      <c r="L96" s="28"/>
      <c r="M96" s="28"/>
      <c r="N96" s="21"/>
      <c r="O96" s="21"/>
      <c r="P96" s="21"/>
      <c r="Q96" s="29"/>
      <c r="S96" s="27" t="s">
        <v>123</v>
      </c>
      <c r="T96" s="29">
        <f>((1-(1/((1+T93)^T94)))/T93)</f>
        <v>27.146714518331269</v>
      </c>
      <c r="U96" s="28"/>
      <c r="V96" s="28"/>
      <c r="W96" s="21"/>
      <c r="X96" s="21"/>
      <c r="Y96" s="21"/>
      <c r="Z96" s="29"/>
      <c r="AB96" s="27" t="s">
        <v>123</v>
      </c>
      <c r="AC96" s="29">
        <f>((1-(1/((1+AC93)^AC94)))/AC93)</f>
        <v>27.146714518331269</v>
      </c>
      <c r="AD96" s="28"/>
      <c r="AE96" s="28"/>
      <c r="AF96" s="21"/>
      <c r="AG96" s="21"/>
      <c r="AH96" s="21"/>
      <c r="AI96" s="29"/>
    </row>
    <row r="97" spans="1:35">
      <c r="A97" s="27" t="s">
        <v>124</v>
      </c>
      <c r="B97" s="29">
        <f>B90-B95</f>
        <v>19224.176088904576</v>
      </c>
      <c r="C97" s="28"/>
      <c r="D97" s="28"/>
      <c r="E97" s="21"/>
      <c r="F97" s="27" t="s">
        <v>124</v>
      </c>
      <c r="G97" s="29">
        <f>G90-G95</f>
        <v>18455.627048714341</v>
      </c>
      <c r="H97" s="29"/>
      <c r="J97" s="27" t="s">
        <v>124</v>
      </c>
      <c r="K97" s="29">
        <f>K90-K95</f>
        <v>36519.004000000001</v>
      </c>
      <c r="L97" s="28"/>
      <c r="M97" s="28"/>
      <c r="N97" s="21"/>
      <c r="O97" s="21"/>
      <c r="P97" s="21"/>
      <c r="Q97" s="29"/>
      <c r="S97" s="27" t="s">
        <v>124</v>
      </c>
      <c r="T97" s="29">
        <f>T90-T95</f>
        <v>20384.940708616832</v>
      </c>
      <c r="U97" s="28"/>
      <c r="V97" s="28"/>
      <c r="W97" s="21"/>
      <c r="X97" s="21"/>
      <c r="Y97" s="21"/>
      <c r="Z97" s="29"/>
      <c r="AB97" s="27" t="s">
        <v>124</v>
      </c>
      <c r="AC97" s="29">
        <f>AC90-AC95</f>
        <v>20384.940708616832</v>
      </c>
      <c r="AD97" s="28"/>
      <c r="AE97" s="28"/>
      <c r="AF97" s="21"/>
      <c r="AG97" s="21"/>
      <c r="AH97" s="21"/>
      <c r="AI97" s="29"/>
    </row>
    <row r="98" spans="1:35">
      <c r="A98" s="27" t="s">
        <v>125</v>
      </c>
      <c r="B98" s="29">
        <f>(B97/B96)</f>
        <v>700.4238585605882</v>
      </c>
      <c r="C98" s="28"/>
      <c r="D98" s="28"/>
      <c r="E98" s="21"/>
      <c r="F98" s="27" t="s">
        <v>125</v>
      </c>
      <c r="G98" s="29">
        <f>(G97/G96)</f>
        <v>629.72229704768358</v>
      </c>
      <c r="H98" s="29"/>
      <c r="J98" s="27" t="s">
        <v>125</v>
      </c>
      <c r="K98" s="29">
        <f>(K97/K96)</f>
        <v>1522.3505950758695</v>
      </c>
      <c r="L98" s="28"/>
      <c r="M98" s="28"/>
      <c r="N98" s="21"/>
      <c r="O98" s="21"/>
      <c r="P98" s="21"/>
      <c r="Q98" s="29"/>
      <c r="S98" s="27" t="s">
        <v>125</v>
      </c>
      <c r="T98" s="29">
        <f>(T97/T96)</f>
        <v>750.91741561770073</v>
      </c>
      <c r="U98" s="28"/>
      <c r="V98" s="28"/>
      <c r="W98" s="21"/>
      <c r="X98" s="21"/>
      <c r="Y98" s="21"/>
      <c r="Z98" s="29"/>
      <c r="AB98" s="27" t="s">
        <v>125</v>
      </c>
      <c r="AC98" s="29">
        <f>(AC97/AC96)</f>
        <v>750.91741561770073</v>
      </c>
      <c r="AD98" s="28"/>
      <c r="AE98" s="28"/>
      <c r="AF98" s="21"/>
      <c r="AG98" s="21"/>
      <c r="AH98" s="21"/>
      <c r="AI98" s="29"/>
    </row>
    <row r="99" spans="1:35">
      <c r="A99" s="27" t="s">
        <v>126</v>
      </c>
      <c r="B99" s="29">
        <f>((B98*(B94))+B86)</f>
        <v>22413.563473938822</v>
      </c>
      <c r="C99" s="28"/>
      <c r="D99" s="28"/>
      <c r="E99" s="21"/>
      <c r="F99" s="27" t="s">
        <v>126</v>
      </c>
      <c r="G99" s="29">
        <f>((G98*(G94))+G86)</f>
        <v>20151.113505525875</v>
      </c>
      <c r="H99" s="29"/>
      <c r="J99" s="27" t="s">
        <v>126</v>
      </c>
      <c r="K99" s="29">
        <f>((K98*(K94))+K86)</f>
        <v>50237.569637503693</v>
      </c>
      <c r="L99" s="28"/>
      <c r="M99" s="28"/>
      <c r="N99" s="21"/>
      <c r="O99" s="21"/>
      <c r="P99" s="21"/>
      <c r="Q99" s="29"/>
      <c r="S99" s="27" t="s">
        <v>126</v>
      </c>
      <c r="T99" s="29">
        <f>(T98*(T94))+T86</f>
        <v>24029.357299766423</v>
      </c>
      <c r="U99" s="28"/>
      <c r="V99" s="28"/>
      <c r="W99" s="21"/>
      <c r="X99" s="21"/>
      <c r="Y99" s="21"/>
      <c r="Z99" s="29"/>
      <c r="AB99" s="27" t="s">
        <v>126</v>
      </c>
      <c r="AC99" s="29">
        <f>(AC98*(AC68))+AC86</f>
        <v>24029.357299766423</v>
      </c>
      <c r="AD99" s="28"/>
      <c r="AE99" s="28"/>
      <c r="AF99" s="21"/>
      <c r="AG99" s="21"/>
      <c r="AH99" s="21"/>
      <c r="AI99" s="29"/>
    </row>
    <row r="100" spans="1:35">
      <c r="A100" s="27" t="s">
        <v>127</v>
      </c>
      <c r="B100" s="29">
        <f>(((B98*(B94))+B86)/(1-B80))*B80</f>
        <v>0</v>
      </c>
      <c r="C100" s="28"/>
      <c r="D100" s="28"/>
      <c r="E100" s="21"/>
      <c r="F100" s="27" t="s">
        <v>127</v>
      </c>
      <c r="G100" s="29">
        <f>(((G98*(G94))+G86)/(1-G80))*G80</f>
        <v>0</v>
      </c>
      <c r="H100" s="29"/>
      <c r="J100" s="27" t="s">
        <v>127</v>
      </c>
      <c r="K100" s="29">
        <f>(K99/(1-K80))*K80</f>
        <v>0</v>
      </c>
      <c r="L100" s="28"/>
      <c r="M100" s="28"/>
      <c r="N100" s="21"/>
      <c r="O100" s="21"/>
      <c r="P100" s="21"/>
      <c r="Q100" s="29"/>
      <c r="S100" s="27" t="s">
        <v>127</v>
      </c>
      <c r="T100" s="29">
        <f>(T99/(1-T80))*T80</f>
        <v>0</v>
      </c>
      <c r="U100" s="28"/>
      <c r="V100" s="28"/>
      <c r="W100" s="21"/>
      <c r="X100" s="21"/>
      <c r="Y100" s="21"/>
      <c r="Z100" s="29"/>
      <c r="AB100" s="27" t="s">
        <v>127</v>
      </c>
      <c r="AC100" s="29">
        <f>(AC99/(1-AC80))*AC80</f>
        <v>0</v>
      </c>
      <c r="AD100" s="28"/>
      <c r="AE100" s="28"/>
      <c r="AF100" s="21"/>
      <c r="AG100" s="21"/>
      <c r="AH100" s="21"/>
      <c r="AI100" s="29"/>
    </row>
    <row r="101" spans="1:35">
      <c r="A101" s="49" t="s">
        <v>128</v>
      </c>
      <c r="B101" s="57">
        <f>(B99+B100)</f>
        <v>22413.563473938822</v>
      </c>
      <c r="C101" s="28"/>
      <c r="D101" s="28"/>
      <c r="E101" s="21"/>
      <c r="F101" s="49" t="s">
        <v>128</v>
      </c>
      <c r="G101" s="57">
        <f>(G99+G100)</f>
        <v>20151.113505525875</v>
      </c>
      <c r="H101" s="29"/>
      <c r="J101" s="49" t="s">
        <v>128</v>
      </c>
      <c r="K101" s="57">
        <f>(K99+K100)</f>
        <v>50237.569637503693</v>
      </c>
      <c r="L101" s="28"/>
      <c r="M101" s="28"/>
      <c r="N101" s="21"/>
      <c r="O101" s="21"/>
      <c r="P101" s="21"/>
      <c r="Q101" s="29"/>
      <c r="S101" s="49" t="s">
        <v>128</v>
      </c>
      <c r="T101" s="57">
        <f>(T99+T100)</f>
        <v>24029.357299766423</v>
      </c>
      <c r="U101" s="28"/>
      <c r="V101" s="28"/>
      <c r="W101" s="21"/>
      <c r="X101" s="21"/>
      <c r="Y101" s="21"/>
      <c r="Z101" s="29"/>
      <c r="AB101" s="49" t="s">
        <v>128</v>
      </c>
      <c r="AC101" s="57">
        <f>(AC99+AC100)</f>
        <v>24029.357299766423</v>
      </c>
      <c r="AD101" s="28"/>
      <c r="AE101" s="28"/>
      <c r="AF101" s="21"/>
      <c r="AG101" s="21"/>
      <c r="AH101" s="21"/>
      <c r="AI101" s="29"/>
    </row>
    <row r="102" spans="1:35">
      <c r="A102" s="27"/>
      <c r="B102" s="28"/>
      <c r="C102" s="28"/>
      <c r="D102" s="28"/>
      <c r="E102" s="21"/>
      <c r="F102" s="27"/>
      <c r="G102" s="28"/>
      <c r="H102" s="29"/>
      <c r="J102" s="27"/>
      <c r="K102" s="28"/>
      <c r="L102" s="28"/>
      <c r="M102" s="28"/>
      <c r="N102" s="21"/>
      <c r="O102" s="21"/>
      <c r="P102" s="21"/>
      <c r="Q102" s="29"/>
      <c r="S102" s="27"/>
      <c r="T102" s="28"/>
      <c r="U102" s="28"/>
      <c r="V102" s="28"/>
      <c r="W102" s="21"/>
      <c r="X102" s="21"/>
      <c r="Y102" s="21"/>
      <c r="Z102" s="29"/>
      <c r="AB102" s="27"/>
      <c r="AC102" s="28"/>
      <c r="AD102" s="28"/>
      <c r="AE102" s="28"/>
      <c r="AF102" s="21"/>
      <c r="AG102" s="21"/>
      <c r="AH102" s="21"/>
      <c r="AI102" s="29"/>
    </row>
    <row r="103" spans="1:35">
      <c r="A103" s="76" t="s">
        <v>129</v>
      </c>
      <c r="B103" s="77">
        <f>((A46*A34)+((A46*A34)*A117))/(B68)*1.2</f>
        <v>80.4375</v>
      </c>
      <c r="C103" s="28"/>
      <c r="D103" s="28"/>
      <c r="E103" s="21"/>
      <c r="F103" s="76" t="s">
        <v>129</v>
      </c>
      <c r="G103" s="80" t="str">
        <f>IF(B35="YES",((E49/B94)*(1+A117)*(C54/100)),"0")</f>
        <v>0</v>
      </c>
      <c r="H103" s="29"/>
      <c r="J103" s="76" t="s">
        <v>129</v>
      </c>
      <c r="K103" s="77">
        <f>((E40/K94)*(1+J117))*1.2</f>
        <v>0</v>
      </c>
      <c r="L103" s="28"/>
      <c r="M103" s="28"/>
      <c r="N103" s="21"/>
      <c r="O103" s="21"/>
      <c r="P103" s="21"/>
      <c r="Q103" s="29"/>
      <c r="S103" s="76" t="s">
        <v>129</v>
      </c>
      <c r="T103" s="77">
        <f>((E40/T94)*(1+S117))</f>
        <v>0</v>
      </c>
      <c r="U103" s="28"/>
      <c r="V103" s="28"/>
      <c r="W103" s="21"/>
      <c r="X103" s="21"/>
      <c r="Y103" s="21"/>
      <c r="Z103" s="29"/>
      <c r="AB103" s="76" t="s">
        <v>129</v>
      </c>
      <c r="AC103" s="77">
        <f>((E40/AC94)*(1+AB117))*1.2</f>
        <v>0</v>
      </c>
      <c r="AD103" s="28"/>
      <c r="AE103" s="28"/>
      <c r="AF103" s="21"/>
      <c r="AG103" s="21"/>
      <c r="AH103" s="21"/>
      <c r="AI103" s="29"/>
    </row>
    <row r="104" spans="1:35">
      <c r="A104" s="81" t="s">
        <v>130</v>
      </c>
      <c r="B104" s="82">
        <f>B101/(B94)</f>
        <v>700.4238585605882</v>
      </c>
      <c r="C104" s="28"/>
      <c r="D104" s="28"/>
      <c r="E104" s="21"/>
      <c r="F104" s="81" t="s">
        <v>130</v>
      </c>
      <c r="G104" s="82">
        <f>G101/(G94)</f>
        <v>629.72229704768358</v>
      </c>
      <c r="H104" s="29"/>
      <c r="J104" s="81" t="s">
        <v>130</v>
      </c>
      <c r="K104" s="82">
        <f>K101/(K94)</f>
        <v>1522.3505950758695</v>
      </c>
      <c r="L104" s="28"/>
      <c r="M104" s="28"/>
      <c r="N104" s="21"/>
      <c r="O104" s="21"/>
      <c r="P104" s="21"/>
      <c r="Q104" s="29"/>
      <c r="S104" s="81" t="s">
        <v>130</v>
      </c>
      <c r="T104" s="82">
        <f>T101/(T94)</f>
        <v>750.91741561770073</v>
      </c>
      <c r="U104" s="28"/>
      <c r="V104" s="28"/>
      <c r="W104" s="21"/>
      <c r="X104" s="21"/>
      <c r="Y104" s="21"/>
      <c r="Z104" s="29"/>
      <c r="AB104" s="81" t="s">
        <v>130</v>
      </c>
      <c r="AC104" s="82">
        <f>AC101/(AC68)</f>
        <v>750.91741561770073</v>
      </c>
      <c r="AD104" s="28"/>
      <c r="AE104" s="28"/>
      <c r="AF104" s="21"/>
      <c r="AG104" s="21"/>
      <c r="AH104" s="21"/>
      <c r="AI104" s="29"/>
    </row>
    <row r="105" spans="1:35">
      <c r="A105" s="83" t="s">
        <v>131</v>
      </c>
      <c r="B105" s="84">
        <f>B103+B104</f>
        <v>780.8613585605882</v>
      </c>
      <c r="C105" s="28"/>
      <c r="D105" s="28"/>
      <c r="E105" s="21" t="s">
        <v>32</v>
      </c>
      <c r="F105" s="83" t="s">
        <v>131</v>
      </c>
      <c r="G105" s="84">
        <f>G103+G104</f>
        <v>629.72229704768358</v>
      </c>
      <c r="H105" s="29"/>
      <c r="J105" s="83" t="s">
        <v>131</v>
      </c>
      <c r="K105" s="84">
        <f>(K103+K104)</f>
        <v>1522.3505950758695</v>
      </c>
      <c r="L105" s="28"/>
      <c r="M105" s="28"/>
      <c r="N105" s="21"/>
      <c r="O105" s="21"/>
      <c r="P105" s="21"/>
      <c r="Q105" s="29"/>
      <c r="S105" s="83" t="s">
        <v>131</v>
      </c>
      <c r="T105" s="84">
        <f>T103+T104</f>
        <v>750.91741561770073</v>
      </c>
      <c r="U105" s="28"/>
      <c r="V105" s="28"/>
      <c r="W105" s="21"/>
      <c r="X105" s="21"/>
      <c r="Y105" s="21"/>
      <c r="Z105" s="29"/>
      <c r="AB105" s="83" t="s">
        <v>131</v>
      </c>
      <c r="AC105" s="84">
        <f>AC103+AC104</f>
        <v>750.91741561770073</v>
      </c>
      <c r="AD105" s="28"/>
      <c r="AE105" s="28"/>
      <c r="AF105" s="21"/>
      <c r="AG105" s="21"/>
      <c r="AH105" s="21"/>
      <c r="AI105" s="29"/>
    </row>
    <row r="106" spans="1:35">
      <c r="A106" s="49"/>
      <c r="B106" s="50"/>
      <c r="C106" s="50"/>
      <c r="D106" s="50"/>
      <c r="E106" s="85"/>
      <c r="F106" s="85"/>
      <c r="G106" s="85"/>
      <c r="H106" s="57"/>
      <c r="J106" s="49"/>
      <c r="K106" s="50"/>
      <c r="L106" s="50"/>
      <c r="M106" s="50"/>
      <c r="N106" s="85"/>
      <c r="O106" s="85"/>
      <c r="P106" s="85"/>
      <c r="Q106" s="57"/>
      <c r="S106" s="49"/>
      <c r="T106" s="50"/>
      <c r="U106" s="50"/>
      <c r="V106" s="50"/>
      <c r="W106" s="85"/>
      <c r="X106" s="85"/>
      <c r="Y106" s="85"/>
      <c r="Z106" s="57"/>
      <c r="AB106" s="49"/>
      <c r="AC106" s="50"/>
      <c r="AD106" s="50"/>
      <c r="AE106" s="50"/>
      <c r="AF106" s="85"/>
      <c r="AG106" s="85"/>
      <c r="AH106" s="85"/>
      <c r="AI106" s="57"/>
    </row>
    <row r="107" spans="1:35" ht="14.25">
      <c r="A107" s="21"/>
      <c r="B107" s="21"/>
      <c r="C107" s="21"/>
      <c r="D107" s="21"/>
      <c r="E107" s="21"/>
      <c r="F107" s="21"/>
      <c r="G107" s="21"/>
      <c r="H107" s="21"/>
      <c r="J107" s="21"/>
      <c r="K107" s="21"/>
      <c r="L107" s="21"/>
      <c r="M107" s="21"/>
      <c r="N107" s="21"/>
      <c r="O107" s="21"/>
      <c r="P107" s="21"/>
      <c r="Q107" s="21"/>
      <c r="S107" s="21"/>
      <c r="T107" s="21"/>
      <c r="U107" s="21"/>
      <c r="V107" s="21"/>
      <c r="W107" s="21"/>
      <c r="X107" s="21"/>
      <c r="Y107" s="21"/>
      <c r="Z107" s="21"/>
      <c r="AB107" s="21"/>
      <c r="AC107" s="21"/>
      <c r="AD107" s="21"/>
      <c r="AE107" s="21"/>
      <c r="AF107" s="21"/>
      <c r="AG107" s="21"/>
      <c r="AH107" s="21"/>
      <c r="AI107" s="21"/>
    </row>
    <row r="108" spans="1:35" ht="14.25">
      <c r="A108" s="21">
        <v>0.2</v>
      </c>
      <c r="B108" s="21">
        <v>0</v>
      </c>
      <c r="C108" s="21"/>
      <c r="D108" s="21">
        <v>0</v>
      </c>
      <c r="E108" s="21"/>
      <c r="F108" s="21"/>
      <c r="G108" s="21"/>
      <c r="H108" s="21"/>
      <c r="J108" s="21"/>
      <c r="K108" s="21"/>
      <c r="L108" s="21"/>
      <c r="M108" s="21"/>
      <c r="N108" s="21"/>
      <c r="O108" s="21"/>
      <c r="P108" s="21"/>
      <c r="Q108" s="21"/>
      <c r="S108" s="21"/>
      <c r="T108" s="21"/>
      <c r="U108" s="21"/>
      <c r="V108" s="21"/>
      <c r="W108" s="21"/>
      <c r="X108" s="21"/>
      <c r="Y108" s="21"/>
      <c r="Z108" s="21"/>
      <c r="AB108" s="21"/>
      <c r="AC108" s="21"/>
      <c r="AD108" s="21"/>
      <c r="AE108" s="21"/>
      <c r="AF108" s="21"/>
      <c r="AG108" s="21"/>
      <c r="AH108" s="21"/>
      <c r="AI108" s="21"/>
    </row>
    <row r="109" spans="1:35" ht="47.25" customHeight="1">
      <c r="A109" s="344" t="s">
        <v>132</v>
      </c>
      <c r="B109" s="344"/>
      <c r="C109" s="344"/>
      <c r="D109" s="344"/>
      <c r="E109" s="344"/>
      <c r="F109" s="344"/>
      <c r="G109" s="344"/>
      <c r="H109" s="344"/>
      <c r="J109" s="334" t="s">
        <v>133</v>
      </c>
      <c r="K109" s="334"/>
      <c r="L109" s="334"/>
      <c r="M109" s="334"/>
      <c r="N109" s="334"/>
      <c r="O109" s="334"/>
      <c r="P109" s="334"/>
      <c r="Q109" s="334"/>
      <c r="S109" s="344" t="s">
        <v>134</v>
      </c>
      <c r="T109" s="344"/>
      <c r="U109" s="344"/>
      <c r="V109" s="344"/>
      <c r="W109" s="344"/>
      <c r="X109" s="344"/>
      <c r="Y109" s="344"/>
      <c r="Z109" s="344"/>
      <c r="AB109" s="344" t="s">
        <v>135</v>
      </c>
      <c r="AC109" s="344"/>
      <c r="AD109" s="344"/>
      <c r="AE109" s="344"/>
      <c r="AF109" s="344"/>
      <c r="AG109" s="344"/>
      <c r="AH109" s="344"/>
      <c r="AI109" s="344"/>
    </row>
    <row r="110" spans="1:35">
      <c r="A110" s="22"/>
      <c r="B110" s="23"/>
      <c r="C110" s="23"/>
      <c r="D110" s="23"/>
      <c r="E110" s="63"/>
      <c r="F110" s="63"/>
      <c r="G110" s="63"/>
      <c r="H110" s="87"/>
      <c r="J110" s="22"/>
      <c r="K110" s="23"/>
      <c r="L110" s="23"/>
      <c r="M110" s="23"/>
      <c r="N110" s="63"/>
      <c r="O110" s="63"/>
      <c r="P110" s="63"/>
      <c r="Q110" s="87"/>
      <c r="S110" s="22"/>
      <c r="T110" s="23"/>
      <c r="U110" s="23"/>
      <c r="V110" s="23"/>
      <c r="W110" s="63"/>
      <c r="X110" s="63"/>
      <c r="Y110" s="63"/>
      <c r="Z110" s="87"/>
      <c r="AB110" s="22"/>
      <c r="AC110" s="23"/>
      <c r="AD110" s="23"/>
      <c r="AE110" s="23"/>
      <c r="AF110" s="63"/>
      <c r="AG110" s="63"/>
      <c r="AH110" s="63"/>
      <c r="AI110" s="87"/>
    </row>
    <row r="111" spans="1:35" ht="23.25">
      <c r="A111" s="335" t="s">
        <v>31</v>
      </c>
      <c r="B111" s="335">
        <v>0</v>
      </c>
      <c r="C111" s="335"/>
      <c r="D111" s="335"/>
      <c r="E111" s="335">
        <v>0</v>
      </c>
      <c r="F111" s="335"/>
      <c r="G111" s="335"/>
      <c r="H111" s="335"/>
      <c r="J111" s="335" t="s">
        <v>136</v>
      </c>
      <c r="K111" s="335"/>
      <c r="L111" s="335"/>
      <c r="M111" s="335"/>
      <c r="N111" s="335"/>
      <c r="O111" s="335"/>
      <c r="P111" s="335"/>
      <c r="Q111" s="335"/>
      <c r="S111" s="335" t="s">
        <v>136</v>
      </c>
      <c r="T111" s="335"/>
      <c r="U111" s="335"/>
      <c r="V111" s="335"/>
      <c r="W111" s="335"/>
      <c r="X111" s="335"/>
      <c r="Y111" s="335"/>
      <c r="Z111" s="335"/>
      <c r="AB111" s="335" t="s">
        <v>136</v>
      </c>
      <c r="AC111" s="335"/>
      <c r="AD111" s="335"/>
      <c r="AE111" s="335"/>
      <c r="AF111" s="335"/>
      <c r="AG111" s="335"/>
      <c r="AH111" s="335"/>
      <c r="AI111" s="335"/>
    </row>
    <row r="112" spans="1:35">
      <c r="A112" s="27"/>
      <c r="B112" s="28"/>
      <c r="C112" s="28"/>
      <c r="D112" s="28"/>
      <c r="E112" s="21"/>
      <c r="F112" s="21"/>
      <c r="G112" s="21"/>
      <c r="H112" s="88"/>
      <c r="J112" s="27"/>
      <c r="K112" s="28"/>
      <c r="L112" s="28"/>
      <c r="M112" s="28"/>
      <c r="N112" s="21"/>
      <c r="O112" s="21"/>
      <c r="P112" s="21"/>
      <c r="Q112" s="88"/>
      <c r="S112" s="27"/>
      <c r="T112" s="28"/>
      <c r="U112" s="28"/>
      <c r="V112" s="28"/>
      <c r="W112" s="21"/>
      <c r="X112" s="21"/>
      <c r="Y112" s="21"/>
      <c r="Z112" s="88"/>
      <c r="AB112" s="27"/>
      <c r="AC112" s="28"/>
      <c r="AD112" s="28"/>
      <c r="AE112" s="28"/>
      <c r="AF112" s="21"/>
      <c r="AG112" s="21"/>
      <c r="AH112" s="21"/>
      <c r="AI112" s="88"/>
    </row>
    <row r="113" spans="1:42">
      <c r="A113" s="27" t="s">
        <v>137</v>
      </c>
      <c r="B113" s="28" t="s">
        <v>36</v>
      </c>
      <c r="C113" s="28"/>
      <c r="D113" s="28"/>
      <c r="E113" s="28" t="s">
        <v>138</v>
      </c>
      <c r="F113" s="28"/>
      <c r="G113" s="28"/>
      <c r="H113" s="29"/>
      <c r="J113" s="27" t="s">
        <v>137</v>
      </c>
      <c r="K113" s="28" t="s">
        <v>36</v>
      </c>
      <c r="L113" s="28"/>
      <c r="M113" s="28"/>
      <c r="N113" s="28" t="s">
        <v>138</v>
      </c>
      <c r="O113" s="28"/>
      <c r="P113" s="28"/>
      <c r="Q113" s="29"/>
      <c r="S113" s="27" t="s">
        <v>137</v>
      </c>
      <c r="T113" s="28" t="s">
        <v>36</v>
      </c>
      <c r="U113" s="28"/>
      <c r="V113" s="28"/>
      <c r="W113" s="28" t="s">
        <v>138</v>
      </c>
      <c r="X113" s="28"/>
      <c r="Y113" s="28"/>
      <c r="Z113" s="29"/>
      <c r="AB113" s="27" t="s">
        <v>137</v>
      </c>
      <c r="AC113" s="28" t="s">
        <v>36</v>
      </c>
      <c r="AD113" s="28"/>
      <c r="AE113" s="28"/>
      <c r="AF113" s="28" t="s">
        <v>138</v>
      </c>
      <c r="AG113" s="28"/>
      <c r="AH113" s="28"/>
      <c r="AI113" s="29"/>
    </row>
    <row r="114" spans="1:42">
      <c r="A114" s="32" t="s">
        <v>139</v>
      </c>
      <c r="B114" s="345" t="s">
        <v>140</v>
      </c>
      <c r="C114" s="345"/>
      <c r="D114" s="345"/>
      <c r="E114" s="346" t="s">
        <v>385</v>
      </c>
      <c r="F114" s="346"/>
      <c r="G114" s="346"/>
      <c r="H114" s="88"/>
      <c r="J114" s="32" t="s">
        <v>139</v>
      </c>
      <c r="K114" s="347" t="s">
        <v>140</v>
      </c>
      <c r="L114" s="347"/>
      <c r="M114" s="347"/>
      <c r="N114" s="346" t="s">
        <v>31</v>
      </c>
      <c r="O114" s="346"/>
      <c r="P114" s="346"/>
      <c r="Q114" s="88"/>
      <c r="S114" s="32" t="s">
        <v>139</v>
      </c>
      <c r="T114" s="345" t="s">
        <v>140</v>
      </c>
      <c r="U114" s="345"/>
      <c r="V114" s="345"/>
      <c r="W114" s="346" t="s">
        <v>31</v>
      </c>
      <c r="X114" s="346"/>
      <c r="Y114" s="346"/>
      <c r="Z114" s="88"/>
      <c r="AB114" s="32" t="s">
        <v>139</v>
      </c>
      <c r="AC114" s="345" t="s">
        <v>140</v>
      </c>
      <c r="AD114" s="345"/>
      <c r="AE114" s="345"/>
      <c r="AF114" s="346" t="s">
        <v>31</v>
      </c>
      <c r="AG114" s="346"/>
      <c r="AH114" s="346"/>
      <c r="AI114" s="88"/>
    </row>
    <row r="115" spans="1:42">
      <c r="A115" s="27"/>
      <c r="B115" s="28"/>
      <c r="C115" s="28"/>
      <c r="D115" s="21"/>
      <c r="E115" s="28"/>
      <c r="F115" s="28"/>
      <c r="G115" s="21"/>
      <c r="H115" s="29"/>
      <c r="J115" s="27"/>
      <c r="K115" s="28"/>
      <c r="L115" s="28"/>
      <c r="M115" s="21"/>
      <c r="N115" s="28"/>
      <c r="O115" s="28"/>
      <c r="P115" s="21"/>
      <c r="Q115" s="29"/>
      <c r="S115" s="27"/>
      <c r="T115" s="28"/>
      <c r="U115" s="28"/>
      <c r="V115" s="21"/>
      <c r="W115" s="28"/>
      <c r="X115" s="28"/>
      <c r="Y115" s="21"/>
      <c r="Z115" s="29"/>
      <c r="AB115" s="27"/>
      <c r="AC115" s="28"/>
      <c r="AD115" s="28"/>
      <c r="AE115" s="21"/>
      <c r="AF115" s="28"/>
      <c r="AG115" s="28"/>
      <c r="AH115" s="21"/>
      <c r="AI115" s="29"/>
    </row>
    <row r="116" spans="1:42">
      <c r="A116" s="27" t="s">
        <v>141</v>
      </c>
      <c r="B116" s="28" t="s">
        <v>142</v>
      </c>
      <c r="C116" s="28"/>
      <c r="D116" s="21"/>
      <c r="E116" s="28" t="s">
        <v>143</v>
      </c>
      <c r="F116" s="28"/>
      <c r="G116" s="21"/>
      <c r="H116" s="88"/>
      <c r="J116" s="27" t="s">
        <v>141</v>
      </c>
      <c r="K116" s="28" t="s">
        <v>142</v>
      </c>
      <c r="L116" s="28"/>
      <c r="M116" s="21"/>
      <c r="N116" s="28" t="s">
        <v>143</v>
      </c>
      <c r="O116" s="28"/>
      <c r="P116" s="21"/>
      <c r="Q116" s="88"/>
      <c r="S116" s="27" t="s">
        <v>141</v>
      </c>
      <c r="T116" s="28" t="s">
        <v>142</v>
      </c>
      <c r="U116" s="28"/>
      <c r="V116" s="21"/>
      <c r="W116" s="28" t="s">
        <v>143</v>
      </c>
      <c r="X116" s="28"/>
      <c r="Y116" s="21"/>
      <c r="Z116" s="88"/>
      <c r="AB116" s="27" t="s">
        <v>141</v>
      </c>
      <c r="AC116" s="28" t="s">
        <v>142</v>
      </c>
      <c r="AD116" s="28"/>
      <c r="AE116" s="21"/>
      <c r="AF116" s="28" t="s">
        <v>143</v>
      </c>
      <c r="AG116" s="28"/>
      <c r="AH116" s="21"/>
      <c r="AI116" s="88"/>
    </row>
    <row r="117" spans="1:42">
      <c r="A117" s="91">
        <v>0.3</v>
      </c>
      <c r="B117" s="348" t="s">
        <v>144</v>
      </c>
      <c r="C117" s="348"/>
      <c r="D117" s="348"/>
      <c r="E117" s="349">
        <f>B92</f>
        <v>0.115</v>
      </c>
      <c r="F117" s="349"/>
      <c r="G117" s="349"/>
      <c r="H117" s="42"/>
      <c r="J117" s="91">
        <v>0.3</v>
      </c>
      <c r="K117" s="348" t="s">
        <v>144</v>
      </c>
      <c r="L117" s="348"/>
      <c r="M117" s="348"/>
      <c r="N117" s="349">
        <f>K92</f>
        <v>0.24000000000000002</v>
      </c>
      <c r="O117" s="349"/>
      <c r="P117" s="349"/>
      <c r="Q117" s="42"/>
      <c r="S117" s="91">
        <v>0.2</v>
      </c>
      <c r="T117" s="348" t="s">
        <v>145</v>
      </c>
      <c r="U117" s="348"/>
      <c r="V117" s="348"/>
      <c r="W117" s="349">
        <f>T92</f>
        <v>0.1235</v>
      </c>
      <c r="X117" s="349"/>
      <c r="Y117" s="349"/>
      <c r="Z117" s="42"/>
      <c r="AB117" s="91">
        <v>0.2</v>
      </c>
      <c r="AC117" s="348" t="s">
        <v>145</v>
      </c>
      <c r="AD117" s="348"/>
      <c r="AE117" s="348"/>
      <c r="AF117" s="350">
        <f>AC92</f>
        <v>0.1235</v>
      </c>
      <c r="AG117" s="350"/>
      <c r="AH117" s="350"/>
      <c r="AI117" s="42"/>
      <c r="AP117" s="4" t="s">
        <v>146</v>
      </c>
    </row>
    <row r="118" spans="1:42">
      <c r="A118" s="27"/>
      <c r="B118" s="28"/>
      <c r="C118" s="28"/>
      <c r="D118" s="28"/>
      <c r="E118" s="28"/>
      <c r="F118" s="28"/>
      <c r="G118" s="28"/>
      <c r="H118" s="29"/>
      <c r="J118" s="27"/>
      <c r="K118" s="28"/>
      <c r="L118" s="28"/>
      <c r="M118" s="28"/>
      <c r="N118" s="28"/>
      <c r="O118" s="28"/>
      <c r="P118" s="28"/>
      <c r="Q118" s="29"/>
      <c r="S118" s="27"/>
      <c r="T118" s="28"/>
      <c r="U118" s="28"/>
      <c r="V118" s="28"/>
      <c r="W118" s="28"/>
      <c r="X118" s="28"/>
      <c r="Y118" s="28"/>
      <c r="Z118" s="29"/>
      <c r="AB118" s="27"/>
      <c r="AC118" s="28"/>
      <c r="AD118" s="28"/>
      <c r="AE118" s="28"/>
      <c r="AF118" s="28"/>
      <c r="AG118" s="28"/>
      <c r="AH118" s="28"/>
      <c r="AI118" s="29"/>
      <c r="AP118" s="4" t="s">
        <v>144</v>
      </c>
    </row>
    <row r="119" spans="1:42">
      <c r="A119" s="27" t="s">
        <v>147</v>
      </c>
      <c r="B119" s="28" t="s">
        <v>148</v>
      </c>
      <c r="C119" s="28"/>
      <c r="D119" s="28"/>
      <c r="E119" s="28" t="s">
        <v>149</v>
      </c>
      <c r="F119" s="28"/>
      <c r="G119" s="28"/>
      <c r="H119" s="29"/>
      <c r="J119" s="27" t="s">
        <v>147</v>
      </c>
      <c r="K119" s="28" t="s">
        <v>148</v>
      </c>
      <c r="L119" s="28"/>
      <c r="M119" s="28"/>
      <c r="N119" s="28" t="s">
        <v>149</v>
      </c>
      <c r="O119" s="28"/>
      <c r="P119" s="28"/>
      <c r="Q119" s="29"/>
      <c r="S119" s="27" t="s">
        <v>147</v>
      </c>
      <c r="T119" s="28" t="s">
        <v>148</v>
      </c>
      <c r="U119" s="28"/>
      <c r="V119" s="28"/>
      <c r="W119" s="28" t="s">
        <v>149</v>
      </c>
      <c r="X119" s="28"/>
      <c r="Y119" s="28"/>
      <c r="Z119" s="29"/>
      <c r="AB119" s="27" t="s">
        <v>147</v>
      </c>
      <c r="AC119" s="28" t="s">
        <v>148</v>
      </c>
      <c r="AD119" s="28"/>
      <c r="AE119" s="28"/>
      <c r="AF119" s="28" t="s">
        <v>149</v>
      </c>
      <c r="AG119" s="28"/>
      <c r="AH119" s="28"/>
      <c r="AI119" s="29"/>
    </row>
    <row r="120" spans="1:42">
      <c r="A120" s="36" t="s">
        <v>385</v>
      </c>
      <c r="B120" s="348">
        <v>0</v>
      </c>
      <c r="C120" s="348"/>
      <c r="D120" s="348"/>
      <c r="E120" s="348">
        <v>0</v>
      </c>
      <c r="F120" s="348"/>
      <c r="G120" s="348"/>
      <c r="H120" s="88"/>
      <c r="J120" s="36" t="s">
        <v>32</v>
      </c>
      <c r="K120" s="348">
        <v>1000</v>
      </c>
      <c r="L120" s="348"/>
      <c r="M120" s="348"/>
      <c r="N120" s="348">
        <v>0</v>
      </c>
      <c r="O120" s="348"/>
      <c r="P120" s="348"/>
      <c r="Q120" s="88"/>
      <c r="S120" s="36" t="s">
        <v>31</v>
      </c>
      <c r="T120" s="348">
        <v>1000</v>
      </c>
      <c r="U120" s="348"/>
      <c r="V120" s="348"/>
      <c r="W120" s="348">
        <v>0</v>
      </c>
      <c r="X120" s="348"/>
      <c r="Y120" s="348"/>
      <c r="Z120" s="88"/>
      <c r="AB120" s="36" t="s">
        <v>31</v>
      </c>
      <c r="AC120" s="348">
        <v>1000</v>
      </c>
      <c r="AD120" s="348"/>
      <c r="AE120" s="348"/>
      <c r="AF120" s="348">
        <v>0</v>
      </c>
      <c r="AG120" s="348"/>
      <c r="AH120" s="348"/>
      <c r="AI120" s="88"/>
    </row>
    <row r="121" spans="1:42">
      <c r="A121" s="27"/>
      <c r="B121" s="28"/>
      <c r="C121" s="28"/>
      <c r="D121" s="28"/>
      <c r="E121" s="28"/>
      <c r="F121" s="28"/>
      <c r="G121" s="21"/>
      <c r="H121" s="88"/>
      <c r="J121" s="27"/>
      <c r="K121" s="28"/>
      <c r="L121" s="28"/>
      <c r="M121" s="28"/>
      <c r="N121" s="28"/>
      <c r="O121" s="28"/>
      <c r="P121" s="21"/>
      <c r="Q121" s="88"/>
      <c r="S121" s="27"/>
      <c r="T121" s="28"/>
      <c r="U121" s="28"/>
      <c r="V121" s="28"/>
      <c r="W121" s="28"/>
      <c r="X121" s="28"/>
      <c r="Y121" s="21"/>
      <c r="Z121" s="88"/>
      <c r="AB121" s="27"/>
      <c r="AC121" s="28"/>
      <c r="AD121" s="28"/>
      <c r="AE121" s="28"/>
      <c r="AF121" s="28"/>
      <c r="AG121" s="28"/>
      <c r="AH121" s="21"/>
      <c r="AI121" s="88"/>
    </row>
    <row r="122" spans="1:42">
      <c r="A122" s="93" t="s">
        <v>150</v>
      </c>
      <c r="B122" s="28" t="s">
        <v>151</v>
      </c>
      <c r="C122" s="28"/>
      <c r="D122" s="28"/>
      <c r="E122" s="28" t="s">
        <v>152</v>
      </c>
      <c r="F122" s="28"/>
      <c r="G122" s="21"/>
      <c r="H122" s="88"/>
      <c r="J122" s="93" t="s">
        <v>150</v>
      </c>
      <c r="K122" s="28" t="s">
        <v>151</v>
      </c>
      <c r="L122" s="28"/>
      <c r="M122" s="28"/>
      <c r="N122" s="28" t="s">
        <v>152</v>
      </c>
      <c r="O122" s="28"/>
      <c r="P122" s="21"/>
      <c r="Q122" s="88"/>
      <c r="S122" s="93" t="s">
        <v>150</v>
      </c>
      <c r="T122" s="28" t="s">
        <v>151</v>
      </c>
      <c r="U122" s="28"/>
      <c r="V122" s="28"/>
      <c r="W122" s="28" t="s">
        <v>152</v>
      </c>
      <c r="X122" s="28"/>
      <c r="Y122" s="21"/>
      <c r="Z122" s="88"/>
      <c r="AB122" s="93" t="s">
        <v>150</v>
      </c>
      <c r="AC122" s="28" t="s">
        <v>151</v>
      </c>
      <c r="AD122" s="28"/>
      <c r="AE122" s="28"/>
      <c r="AF122" s="28" t="s">
        <v>152</v>
      </c>
      <c r="AG122" s="28"/>
      <c r="AH122" s="21"/>
      <c r="AI122" s="88"/>
    </row>
    <row r="123" spans="1:42">
      <c r="A123" s="94">
        <f>B120+E120</f>
        <v>0</v>
      </c>
      <c r="B123" s="348">
        <v>1000</v>
      </c>
      <c r="C123" s="348"/>
      <c r="D123" s="348"/>
      <c r="E123" s="348">
        <v>0</v>
      </c>
      <c r="F123" s="348"/>
      <c r="G123" s="348"/>
      <c r="H123" s="88"/>
      <c r="J123" s="94">
        <f>K120+N120</f>
        <v>1000</v>
      </c>
      <c r="K123" s="348">
        <v>239.99</v>
      </c>
      <c r="L123" s="348"/>
      <c r="M123" s="348"/>
      <c r="N123" s="348">
        <v>0</v>
      </c>
      <c r="O123" s="348"/>
      <c r="P123" s="348"/>
      <c r="Q123" s="88"/>
      <c r="S123" s="94">
        <f>T120+W120</f>
        <v>1000</v>
      </c>
      <c r="T123" s="348">
        <v>199.99</v>
      </c>
      <c r="U123" s="348"/>
      <c r="V123" s="348"/>
      <c r="W123" s="348">
        <v>0</v>
      </c>
      <c r="X123" s="348"/>
      <c r="Y123" s="348"/>
      <c r="Z123" s="88"/>
      <c r="AB123" s="94">
        <f>AC120+AF120</f>
        <v>1000</v>
      </c>
      <c r="AC123" s="348">
        <v>239.99</v>
      </c>
      <c r="AD123" s="348"/>
      <c r="AE123" s="348"/>
      <c r="AF123" s="348">
        <v>0</v>
      </c>
      <c r="AG123" s="348"/>
      <c r="AH123" s="348"/>
      <c r="AI123" s="88"/>
    </row>
    <row r="124" spans="1:42" ht="14.25">
      <c r="A124" s="95"/>
      <c r="B124" s="21"/>
      <c r="C124" s="21"/>
      <c r="D124" s="21"/>
      <c r="E124" s="21"/>
      <c r="F124" s="21"/>
      <c r="G124" s="21"/>
      <c r="H124" s="88"/>
      <c r="J124" s="95"/>
      <c r="K124" s="21"/>
      <c r="L124" s="21"/>
      <c r="M124" s="21"/>
      <c r="N124" s="21"/>
      <c r="O124" s="21"/>
      <c r="P124" s="21"/>
      <c r="Q124" s="88"/>
      <c r="S124" s="95"/>
      <c r="T124" s="21"/>
      <c r="U124" s="21"/>
      <c r="V124" s="21"/>
      <c r="W124" s="21"/>
      <c r="X124" s="21"/>
      <c r="Y124" s="21"/>
      <c r="Z124" s="88"/>
      <c r="AB124" s="95"/>
      <c r="AC124" s="21"/>
      <c r="AD124" s="21"/>
      <c r="AE124" s="21"/>
      <c r="AF124" s="21"/>
      <c r="AG124" s="21"/>
      <c r="AH124" s="21"/>
      <c r="AI124" s="88"/>
    </row>
    <row r="125" spans="1:42" ht="14.25">
      <c r="A125" s="95"/>
      <c r="B125" s="21"/>
      <c r="C125" s="21"/>
      <c r="D125" s="21"/>
      <c r="E125" s="21"/>
      <c r="F125" s="21"/>
      <c r="G125" s="21"/>
      <c r="H125" s="88"/>
      <c r="J125" s="95"/>
      <c r="K125" s="21"/>
      <c r="L125" s="21"/>
      <c r="M125" s="21"/>
      <c r="N125" s="21"/>
      <c r="O125" s="21"/>
      <c r="P125" s="21"/>
      <c r="Q125" s="88"/>
      <c r="S125" s="95"/>
      <c r="T125" s="21"/>
      <c r="U125" s="21"/>
      <c r="V125" s="21"/>
      <c r="W125" s="21"/>
      <c r="X125" s="21"/>
      <c r="Y125" s="21"/>
      <c r="Z125" s="88"/>
      <c r="AB125" s="95"/>
      <c r="AC125" s="21"/>
      <c r="AD125" s="21"/>
      <c r="AE125" s="21"/>
      <c r="AF125" s="21"/>
      <c r="AG125" s="21"/>
      <c r="AH125" s="21"/>
      <c r="AI125" s="88"/>
    </row>
    <row r="126" spans="1:42" ht="23.25">
      <c r="A126" s="335" t="s">
        <v>153</v>
      </c>
      <c r="B126" s="335"/>
      <c r="C126" s="335"/>
      <c r="D126" s="335"/>
      <c r="E126" s="335"/>
      <c r="F126" s="335"/>
      <c r="G126" s="335"/>
      <c r="H126" s="335"/>
      <c r="J126" s="335" t="s">
        <v>153</v>
      </c>
      <c r="K126" s="335"/>
      <c r="L126" s="335"/>
      <c r="M126" s="335"/>
      <c r="N126" s="335"/>
      <c r="O126" s="335"/>
      <c r="P126" s="335"/>
      <c r="Q126" s="335"/>
      <c r="S126" s="335" t="s">
        <v>153</v>
      </c>
      <c r="T126" s="335"/>
      <c r="U126" s="335"/>
      <c r="V126" s="335"/>
      <c r="W126" s="335"/>
      <c r="X126" s="335"/>
      <c r="Y126" s="335"/>
      <c r="Z126" s="335"/>
      <c r="AB126" s="335" t="s">
        <v>153</v>
      </c>
      <c r="AC126" s="335"/>
      <c r="AD126" s="335"/>
      <c r="AE126" s="335"/>
      <c r="AF126" s="335"/>
      <c r="AG126" s="335"/>
      <c r="AH126" s="335"/>
      <c r="AI126" s="335"/>
    </row>
    <row r="127" spans="1:42" ht="14.25">
      <c r="A127" s="95"/>
      <c r="B127" s="21"/>
      <c r="C127" s="21"/>
      <c r="D127" s="21"/>
      <c r="E127" s="21"/>
      <c r="F127" s="21"/>
      <c r="G127" s="21"/>
      <c r="H127" s="88"/>
      <c r="J127" s="95"/>
      <c r="K127" s="21"/>
      <c r="L127" s="21"/>
      <c r="M127" s="21"/>
      <c r="N127" s="21"/>
      <c r="O127" s="21"/>
      <c r="P127" s="21"/>
      <c r="Q127" s="88"/>
      <c r="S127" s="95"/>
      <c r="T127" s="21"/>
      <c r="U127" s="21"/>
      <c r="V127" s="21"/>
      <c r="W127" s="21"/>
      <c r="X127" s="21"/>
      <c r="Y127" s="21"/>
      <c r="Z127" s="88"/>
      <c r="AB127" s="95"/>
      <c r="AC127" s="21"/>
      <c r="AD127" s="21"/>
      <c r="AE127" s="21"/>
      <c r="AF127" s="21"/>
      <c r="AG127" s="21"/>
      <c r="AH127" s="21"/>
      <c r="AI127" s="88"/>
    </row>
    <row r="128" spans="1:42" ht="21">
      <c r="A128" s="66"/>
      <c r="B128" s="351" t="s">
        <v>154</v>
      </c>
      <c r="C128" s="351"/>
      <c r="D128" s="351" t="s">
        <v>155</v>
      </c>
      <c r="E128" s="351"/>
      <c r="F128" s="351" t="s">
        <v>156</v>
      </c>
      <c r="G128" s="351"/>
      <c r="H128" s="96" t="s">
        <v>157</v>
      </c>
      <c r="J128" s="66"/>
      <c r="K128" s="351" t="s">
        <v>154</v>
      </c>
      <c r="L128" s="351"/>
      <c r="M128" s="351" t="s">
        <v>155</v>
      </c>
      <c r="N128" s="351"/>
      <c r="O128" s="351" t="s">
        <v>156</v>
      </c>
      <c r="P128" s="351"/>
      <c r="Q128" s="96" t="s">
        <v>157</v>
      </c>
      <c r="S128" s="66"/>
      <c r="T128" s="351" t="s">
        <v>154</v>
      </c>
      <c r="U128" s="351"/>
      <c r="V128" s="351" t="s">
        <v>155</v>
      </c>
      <c r="W128" s="351"/>
      <c r="X128" s="351" t="s">
        <v>156</v>
      </c>
      <c r="Y128" s="351"/>
      <c r="Z128" s="96" t="s">
        <v>157</v>
      </c>
      <c r="AB128" s="66"/>
      <c r="AC128" s="351" t="s">
        <v>154</v>
      </c>
      <c r="AD128" s="351"/>
      <c r="AE128" s="351" t="s">
        <v>155</v>
      </c>
      <c r="AF128" s="351"/>
      <c r="AG128" s="351" t="s">
        <v>156</v>
      </c>
      <c r="AH128" s="351"/>
      <c r="AI128" s="96" t="s">
        <v>157</v>
      </c>
    </row>
    <row r="129" spans="1:35" ht="21">
      <c r="A129" s="68"/>
      <c r="B129" s="97" t="s">
        <v>158</v>
      </c>
      <c r="C129" s="98" t="s">
        <v>159</v>
      </c>
      <c r="D129" s="97" t="s">
        <v>158</v>
      </c>
      <c r="E129" s="99" t="s">
        <v>159</v>
      </c>
      <c r="F129" s="97" t="s">
        <v>158</v>
      </c>
      <c r="G129" s="99" t="s">
        <v>159</v>
      </c>
      <c r="H129" s="100"/>
      <c r="J129" s="68"/>
      <c r="K129" s="97" t="s">
        <v>158</v>
      </c>
      <c r="L129" s="98" t="s">
        <v>159</v>
      </c>
      <c r="M129" s="97" t="s">
        <v>158</v>
      </c>
      <c r="N129" s="99" t="s">
        <v>159</v>
      </c>
      <c r="O129" s="97" t="s">
        <v>158</v>
      </c>
      <c r="P129" s="99" t="s">
        <v>159</v>
      </c>
      <c r="Q129" s="100"/>
      <c r="S129" s="68"/>
      <c r="T129" s="97" t="s">
        <v>158</v>
      </c>
      <c r="U129" s="98" t="s">
        <v>159</v>
      </c>
      <c r="V129" s="97" t="s">
        <v>158</v>
      </c>
      <c r="W129" s="99" t="s">
        <v>159</v>
      </c>
      <c r="X129" s="97" t="s">
        <v>158</v>
      </c>
      <c r="Y129" s="99" t="s">
        <v>159</v>
      </c>
      <c r="Z129" s="100"/>
      <c r="AB129" s="68"/>
      <c r="AC129" s="97" t="s">
        <v>158</v>
      </c>
      <c r="AD129" s="98" t="s">
        <v>159</v>
      </c>
      <c r="AE129" s="97" t="s">
        <v>158</v>
      </c>
      <c r="AF129" s="99" t="s">
        <v>159</v>
      </c>
      <c r="AG129" s="97" t="s">
        <v>158</v>
      </c>
      <c r="AH129" s="99" t="s">
        <v>159</v>
      </c>
      <c r="AI129" s="100"/>
    </row>
    <row r="130" spans="1:35">
      <c r="A130" s="22" t="s">
        <v>160</v>
      </c>
      <c r="B130" s="22">
        <f>B3</f>
        <v>20255</v>
      </c>
      <c r="C130" s="36">
        <f>B130</f>
        <v>20255</v>
      </c>
      <c r="D130" s="22">
        <f>D3</f>
        <v>0</v>
      </c>
      <c r="E130" s="36">
        <f>D130</f>
        <v>0</v>
      </c>
      <c r="F130" s="22">
        <f>F3</f>
        <v>0</v>
      </c>
      <c r="G130" s="36">
        <f>F130</f>
        <v>0</v>
      </c>
      <c r="H130" s="101">
        <f>H3</f>
        <v>0</v>
      </c>
      <c r="J130" s="22" t="s">
        <v>160</v>
      </c>
      <c r="K130" s="22">
        <f>B3</f>
        <v>20255</v>
      </c>
      <c r="L130" s="36">
        <v>28629.17</v>
      </c>
      <c r="M130" s="22">
        <f>D3</f>
        <v>0</v>
      </c>
      <c r="N130" s="36">
        <f>M130</f>
        <v>0</v>
      </c>
      <c r="O130" s="22">
        <f>F3</f>
        <v>0</v>
      </c>
      <c r="P130" s="36">
        <f>O130</f>
        <v>0</v>
      </c>
      <c r="Q130" s="101">
        <f>H3</f>
        <v>0</v>
      </c>
      <c r="S130" s="22" t="s">
        <v>160</v>
      </c>
      <c r="T130" s="22">
        <f>B3</f>
        <v>20255</v>
      </c>
      <c r="U130" s="36">
        <f>T130</f>
        <v>20255</v>
      </c>
      <c r="V130" s="22">
        <f>D3</f>
        <v>0</v>
      </c>
      <c r="W130" s="36">
        <f>V130</f>
        <v>0</v>
      </c>
      <c r="X130" s="22">
        <f>F3</f>
        <v>0</v>
      </c>
      <c r="Y130" s="36">
        <f>X130</f>
        <v>0</v>
      </c>
      <c r="Z130" s="101">
        <f>H3</f>
        <v>0</v>
      </c>
      <c r="AB130" s="22" t="s">
        <v>160</v>
      </c>
      <c r="AC130" s="22">
        <f>B3</f>
        <v>20255</v>
      </c>
      <c r="AD130" s="36">
        <f>AC130</f>
        <v>20255</v>
      </c>
      <c r="AE130" s="22">
        <f>D3</f>
        <v>0</v>
      </c>
      <c r="AF130" s="36">
        <f>AE130</f>
        <v>0</v>
      </c>
      <c r="AG130" s="22">
        <f>F3</f>
        <v>0</v>
      </c>
      <c r="AH130" s="36">
        <f>AG130</f>
        <v>0</v>
      </c>
      <c r="AI130" s="101">
        <f>H3</f>
        <v>0</v>
      </c>
    </row>
    <row r="131" spans="1:35">
      <c r="A131" s="27" t="s">
        <v>161</v>
      </c>
      <c r="B131" s="102">
        <f>B4</f>
        <v>0</v>
      </c>
      <c r="C131" s="323">
        <f>B131</f>
        <v>0</v>
      </c>
      <c r="D131" s="102">
        <f>D4</f>
        <v>0</v>
      </c>
      <c r="E131" s="106">
        <f>D131</f>
        <v>0</v>
      </c>
      <c r="F131" s="102">
        <f>F4</f>
        <v>0</v>
      </c>
      <c r="G131" s="106">
        <f>F131</f>
        <v>0</v>
      </c>
      <c r="H131" s="105"/>
      <c r="J131" s="27" t="s">
        <v>161</v>
      </c>
      <c r="K131" s="102">
        <f>B4</f>
        <v>0</v>
      </c>
      <c r="L131" s="106">
        <v>0</v>
      </c>
      <c r="M131" s="102">
        <f>D4</f>
        <v>0</v>
      </c>
      <c r="N131" s="106">
        <f>M131</f>
        <v>0</v>
      </c>
      <c r="O131" s="102">
        <f>F4</f>
        <v>0</v>
      </c>
      <c r="P131" s="106">
        <f>O131</f>
        <v>0</v>
      </c>
      <c r="Q131" s="105"/>
      <c r="S131" s="27" t="s">
        <v>161</v>
      </c>
      <c r="T131" s="102">
        <f>B4</f>
        <v>0</v>
      </c>
      <c r="U131" s="106">
        <v>0.25</v>
      </c>
      <c r="V131" s="102">
        <f>D4</f>
        <v>0</v>
      </c>
      <c r="W131" s="106">
        <f>V131</f>
        <v>0</v>
      </c>
      <c r="X131" s="102">
        <f>F4</f>
        <v>0</v>
      </c>
      <c r="Y131" s="106">
        <f>X131</f>
        <v>0</v>
      </c>
      <c r="Z131" s="105"/>
      <c r="AB131" s="27" t="s">
        <v>161</v>
      </c>
      <c r="AC131" s="102">
        <f>B4</f>
        <v>0</v>
      </c>
      <c r="AD131" s="106">
        <v>0.25</v>
      </c>
      <c r="AE131" s="102">
        <f>D4</f>
        <v>0</v>
      </c>
      <c r="AF131" s="106">
        <f>AE131</f>
        <v>0</v>
      </c>
      <c r="AG131" s="102">
        <f>F4</f>
        <v>0</v>
      </c>
      <c r="AH131" s="106">
        <f>AG131</f>
        <v>0</v>
      </c>
      <c r="AI131" s="105"/>
    </row>
    <row r="132" spans="1:35">
      <c r="A132" s="27" t="s">
        <v>162</v>
      </c>
      <c r="B132" s="27">
        <f>B5</f>
        <v>0</v>
      </c>
      <c r="C132" s="36">
        <f>B132</f>
        <v>0</v>
      </c>
      <c r="D132" s="27">
        <f>D5</f>
        <v>0</v>
      </c>
      <c r="E132" s="36">
        <f>D132</f>
        <v>0</v>
      </c>
      <c r="F132" s="27">
        <f>F5</f>
        <v>0</v>
      </c>
      <c r="G132" s="36">
        <f>F132</f>
        <v>0</v>
      </c>
      <c r="H132" s="29"/>
      <c r="J132" s="27" t="s">
        <v>162</v>
      </c>
      <c r="K132" s="27">
        <f>B5</f>
        <v>0</v>
      </c>
      <c r="L132" s="36">
        <v>0</v>
      </c>
      <c r="M132" s="27">
        <f>D5</f>
        <v>0</v>
      </c>
      <c r="N132" s="36">
        <f>M132</f>
        <v>0</v>
      </c>
      <c r="O132" s="27">
        <f>F5</f>
        <v>0</v>
      </c>
      <c r="P132" s="36">
        <f>O132</f>
        <v>0</v>
      </c>
      <c r="Q132" s="29"/>
      <c r="S132" s="27" t="s">
        <v>162</v>
      </c>
      <c r="T132" s="27">
        <f>B5</f>
        <v>0</v>
      </c>
      <c r="U132" s="36">
        <v>0</v>
      </c>
      <c r="V132" s="27">
        <f>D5</f>
        <v>0</v>
      </c>
      <c r="W132" s="36">
        <f>V132</f>
        <v>0</v>
      </c>
      <c r="X132" s="27">
        <f>F5</f>
        <v>0</v>
      </c>
      <c r="Y132" s="36">
        <f>X132</f>
        <v>0</v>
      </c>
      <c r="Z132" s="29"/>
      <c r="AB132" s="27" t="s">
        <v>162</v>
      </c>
      <c r="AC132" s="27">
        <f>B5</f>
        <v>0</v>
      </c>
      <c r="AD132" s="36">
        <v>0</v>
      </c>
      <c r="AE132" s="27">
        <f>D5</f>
        <v>0</v>
      </c>
      <c r="AF132" s="36">
        <f>AE132</f>
        <v>0</v>
      </c>
      <c r="AG132" s="27">
        <f>F5</f>
        <v>0</v>
      </c>
      <c r="AH132" s="36">
        <f>AG132</f>
        <v>0</v>
      </c>
      <c r="AI132" s="29"/>
    </row>
    <row r="133" spans="1:35">
      <c r="A133" s="27" t="s">
        <v>163</v>
      </c>
      <c r="B133" s="27">
        <f>(B130*B131)+B132</f>
        <v>0</v>
      </c>
      <c r="C133" s="24">
        <f>(C130*C131/100)+C132</f>
        <v>0</v>
      </c>
      <c r="D133" s="27">
        <f>(D130*D131)+D132</f>
        <v>0</v>
      </c>
      <c r="E133" s="24">
        <f>(E130*E131/100)+E132</f>
        <v>0</v>
      </c>
      <c r="F133" s="27">
        <f>(F130*F131)+F132</f>
        <v>0</v>
      </c>
      <c r="G133" s="24">
        <f>(G130*G131/100)+G132</f>
        <v>0</v>
      </c>
      <c r="H133" s="29"/>
      <c r="J133" s="27" t="s">
        <v>163</v>
      </c>
      <c r="K133" s="27">
        <f t="shared" ref="K133:P133" si="0">(K130*K131)+K132</f>
        <v>0</v>
      </c>
      <c r="L133" s="24">
        <f t="shared" si="0"/>
        <v>0</v>
      </c>
      <c r="M133" s="27">
        <f t="shared" si="0"/>
        <v>0</v>
      </c>
      <c r="N133" s="24">
        <f t="shared" si="0"/>
        <v>0</v>
      </c>
      <c r="O133" s="27">
        <f t="shared" si="0"/>
        <v>0</v>
      </c>
      <c r="P133" s="24">
        <f t="shared" si="0"/>
        <v>0</v>
      </c>
      <c r="Q133" s="29"/>
      <c r="S133" s="27" t="s">
        <v>163</v>
      </c>
      <c r="T133" s="27">
        <f t="shared" ref="T133:Y133" si="1">(T130*T131)+T132</f>
        <v>0</v>
      </c>
      <c r="U133" s="24">
        <f t="shared" si="1"/>
        <v>5063.75</v>
      </c>
      <c r="V133" s="27">
        <f t="shared" si="1"/>
        <v>0</v>
      </c>
      <c r="W133" s="24">
        <f t="shared" si="1"/>
        <v>0</v>
      </c>
      <c r="X133" s="27">
        <f t="shared" si="1"/>
        <v>0</v>
      </c>
      <c r="Y133" s="24">
        <f t="shared" si="1"/>
        <v>0</v>
      </c>
      <c r="Z133" s="29"/>
      <c r="AB133" s="27" t="s">
        <v>163</v>
      </c>
      <c r="AC133" s="27">
        <f t="shared" ref="AC133:AH133" si="2">(AC130*AC131)+AC132</f>
        <v>0</v>
      </c>
      <c r="AD133" s="24">
        <f t="shared" si="2"/>
        <v>5063.75</v>
      </c>
      <c r="AE133" s="27">
        <f t="shared" si="2"/>
        <v>0</v>
      </c>
      <c r="AF133" s="24">
        <f t="shared" si="2"/>
        <v>0</v>
      </c>
      <c r="AG133" s="27">
        <f t="shared" si="2"/>
        <v>0</v>
      </c>
      <c r="AH133" s="24">
        <f t="shared" si="2"/>
        <v>0</v>
      </c>
      <c r="AI133" s="29"/>
    </row>
    <row r="134" spans="1:35">
      <c r="A134" s="49" t="s">
        <v>164</v>
      </c>
      <c r="B134" s="49">
        <f t="shared" ref="B134:G134" si="3">B130-B133</f>
        <v>20255</v>
      </c>
      <c r="C134" s="57">
        <f t="shared" si="3"/>
        <v>20255</v>
      </c>
      <c r="D134" s="49">
        <f t="shared" si="3"/>
        <v>0</v>
      </c>
      <c r="E134" s="57">
        <f t="shared" si="3"/>
        <v>0</v>
      </c>
      <c r="F134" s="49">
        <f t="shared" si="3"/>
        <v>0</v>
      </c>
      <c r="G134" s="57">
        <f t="shared" si="3"/>
        <v>0</v>
      </c>
      <c r="H134" s="57"/>
      <c r="J134" s="49" t="s">
        <v>164</v>
      </c>
      <c r="K134" s="49">
        <f t="shared" ref="K134:P134" si="4">K130-K133</f>
        <v>20255</v>
      </c>
      <c r="L134" s="57">
        <f t="shared" si="4"/>
        <v>28629.17</v>
      </c>
      <c r="M134" s="49">
        <f t="shared" si="4"/>
        <v>0</v>
      </c>
      <c r="N134" s="57">
        <f t="shared" si="4"/>
        <v>0</v>
      </c>
      <c r="O134" s="49">
        <f t="shared" si="4"/>
        <v>0</v>
      </c>
      <c r="P134" s="57">
        <f t="shared" si="4"/>
        <v>0</v>
      </c>
      <c r="Q134" s="57"/>
      <c r="S134" s="49" t="s">
        <v>164</v>
      </c>
      <c r="T134" s="49">
        <f t="shared" ref="T134:Y134" si="5">T130-T133</f>
        <v>20255</v>
      </c>
      <c r="U134" s="57">
        <f t="shared" si="5"/>
        <v>15191.25</v>
      </c>
      <c r="V134" s="49">
        <f t="shared" si="5"/>
        <v>0</v>
      </c>
      <c r="W134" s="57">
        <f t="shared" si="5"/>
        <v>0</v>
      </c>
      <c r="X134" s="49">
        <f t="shared" si="5"/>
        <v>0</v>
      </c>
      <c r="Y134" s="57">
        <f t="shared" si="5"/>
        <v>0</v>
      </c>
      <c r="Z134" s="57"/>
      <c r="AB134" s="49" t="s">
        <v>164</v>
      </c>
      <c r="AC134" s="49">
        <f t="shared" ref="AC134:AH134" si="6">AC130-AC133</f>
        <v>20255</v>
      </c>
      <c r="AD134" s="57">
        <f t="shared" si="6"/>
        <v>15191.25</v>
      </c>
      <c r="AE134" s="49">
        <f t="shared" si="6"/>
        <v>0</v>
      </c>
      <c r="AF134" s="57">
        <f t="shared" si="6"/>
        <v>0</v>
      </c>
      <c r="AG134" s="49">
        <f t="shared" si="6"/>
        <v>0</v>
      </c>
      <c r="AH134" s="57">
        <f t="shared" si="6"/>
        <v>0</v>
      </c>
      <c r="AI134" s="57"/>
    </row>
    <row r="135" spans="1:35">
      <c r="A135" s="27"/>
      <c r="B135" s="28"/>
      <c r="C135" s="28"/>
      <c r="D135" s="28"/>
      <c r="E135" s="28"/>
      <c r="F135" s="28"/>
      <c r="G135" s="28"/>
      <c r="H135" s="29"/>
      <c r="J135" s="27"/>
      <c r="K135" s="28"/>
      <c r="L135" s="28"/>
      <c r="M135" s="28"/>
      <c r="N135" s="28"/>
      <c r="O135" s="28"/>
      <c r="P135" s="28"/>
      <c r="Q135" s="29"/>
      <c r="S135" s="27"/>
      <c r="T135" s="28"/>
      <c r="U135" s="28"/>
      <c r="V135" s="28"/>
      <c r="W135" s="28"/>
      <c r="X135" s="28"/>
      <c r="Y135" s="28"/>
      <c r="Z135" s="29"/>
      <c r="AB135" s="27"/>
      <c r="AC135" s="28"/>
      <c r="AD135" s="28"/>
      <c r="AE135" s="28"/>
      <c r="AF135" s="28"/>
      <c r="AG135" s="28"/>
      <c r="AH135" s="28"/>
      <c r="AI135" s="29"/>
    </row>
    <row r="136" spans="1:35" ht="21">
      <c r="A136" s="107"/>
      <c r="B136" s="108"/>
      <c r="C136" s="108"/>
      <c r="D136" s="108"/>
      <c r="E136" s="108"/>
      <c r="F136" s="108"/>
      <c r="G136" s="109" t="s">
        <v>158</v>
      </c>
      <c r="H136" s="110" t="s">
        <v>159</v>
      </c>
      <c r="J136" s="107"/>
      <c r="K136" s="108"/>
      <c r="L136" s="108"/>
      <c r="M136" s="108"/>
      <c r="N136" s="108"/>
      <c r="O136" s="108"/>
      <c r="P136" s="109" t="s">
        <v>158</v>
      </c>
      <c r="Q136" s="110" t="s">
        <v>159</v>
      </c>
      <c r="S136" s="107"/>
      <c r="T136" s="108"/>
      <c r="U136" s="108"/>
      <c r="V136" s="108"/>
      <c r="W136" s="108"/>
      <c r="X136" s="108"/>
      <c r="Y136" s="109" t="s">
        <v>158</v>
      </c>
      <c r="Z136" s="110" t="s">
        <v>159</v>
      </c>
      <c r="AB136" s="107"/>
      <c r="AC136" s="108"/>
      <c r="AD136" s="108"/>
      <c r="AE136" s="108"/>
      <c r="AF136" s="108"/>
      <c r="AG136" s="108"/>
      <c r="AH136" s="109" t="s">
        <v>158</v>
      </c>
      <c r="AI136" s="110" t="s">
        <v>159</v>
      </c>
    </row>
    <row r="137" spans="1:35">
      <c r="A137" s="111" t="s">
        <v>165</v>
      </c>
      <c r="B137" s="112"/>
      <c r="C137" s="112"/>
      <c r="D137" s="112"/>
      <c r="E137" s="112"/>
      <c r="F137" s="112"/>
      <c r="G137" s="113">
        <f>H130</f>
        <v>0</v>
      </c>
      <c r="H137" s="114">
        <f>SUM(H140:H142)</f>
        <v>0</v>
      </c>
      <c r="J137" s="111" t="s">
        <v>165</v>
      </c>
      <c r="K137" s="112"/>
      <c r="L137" s="112"/>
      <c r="M137" s="112"/>
      <c r="N137" s="112"/>
      <c r="O137" s="112"/>
      <c r="P137" s="113">
        <f>Q130</f>
        <v>0</v>
      </c>
      <c r="Q137" s="114">
        <f>SUM(Q140:Q142)</f>
        <v>0</v>
      </c>
      <c r="S137" s="111" t="s">
        <v>165</v>
      </c>
      <c r="T137" s="112"/>
      <c r="U137" s="112"/>
      <c r="V137" s="112"/>
      <c r="W137" s="112"/>
      <c r="X137" s="112"/>
      <c r="Y137" s="113">
        <f>Z130</f>
        <v>0</v>
      </c>
      <c r="Z137" s="114">
        <f>SUM(Z140:Z142)</f>
        <v>0</v>
      </c>
      <c r="AB137" s="111" t="s">
        <v>165</v>
      </c>
      <c r="AC137" s="112"/>
      <c r="AD137" s="112"/>
      <c r="AE137" s="112"/>
      <c r="AF137" s="112"/>
      <c r="AG137" s="112"/>
      <c r="AH137" s="113">
        <f>AI130</f>
        <v>0</v>
      </c>
      <c r="AI137" s="114">
        <f>SUM(AI140:AI142)</f>
        <v>0</v>
      </c>
    </row>
    <row r="138" spans="1:35">
      <c r="A138" s="27"/>
      <c r="B138" s="28"/>
      <c r="C138" s="28"/>
      <c r="D138" s="28"/>
      <c r="E138" s="28"/>
      <c r="F138" s="28"/>
      <c r="G138" s="115"/>
      <c r="H138" s="116"/>
      <c r="J138" s="27"/>
      <c r="K138" s="28"/>
      <c r="L138" s="28"/>
      <c r="M138" s="28"/>
      <c r="N138" s="28"/>
      <c r="O138" s="28"/>
      <c r="P138" s="115"/>
      <c r="Q138" s="116"/>
      <c r="S138" s="27"/>
      <c r="T138" s="28"/>
      <c r="U138" s="28"/>
      <c r="V138" s="28"/>
      <c r="W138" s="28"/>
      <c r="X138" s="28"/>
      <c r="Y138" s="115"/>
      <c r="Z138" s="116"/>
      <c r="AB138" s="27"/>
      <c r="AC138" s="28"/>
      <c r="AD138" s="28"/>
      <c r="AE138" s="28"/>
      <c r="AF138" s="28"/>
      <c r="AG138" s="28"/>
      <c r="AH138" s="115"/>
      <c r="AI138" s="116"/>
    </row>
    <row r="139" spans="1:35">
      <c r="A139" s="117" t="s">
        <v>166</v>
      </c>
      <c r="B139" s="352" t="s">
        <v>167</v>
      </c>
      <c r="C139" s="352"/>
      <c r="D139" s="352" t="s">
        <v>168</v>
      </c>
      <c r="E139" s="352"/>
      <c r="F139" s="352" t="s">
        <v>162</v>
      </c>
      <c r="G139" s="352"/>
      <c r="H139" s="116" t="s">
        <v>159</v>
      </c>
      <c r="J139" s="117" t="s">
        <v>166</v>
      </c>
      <c r="K139" s="353" t="s">
        <v>167</v>
      </c>
      <c r="L139" s="353"/>
      <c r="M139" s="352" t="s">
        <v>168</v>
      </c>
      <c r="N139" s="352"/>
      <c r="O139" s="352" t="s">
        <v>162</v>
      </c>
      <c r="P139" s="352"/>
      <c r="Q139" s="116" t="s">
        <v>159</v>
      </c>
      <c r="S139" s="117" t="s">
        <v>166</v>
      </c>
      <c r="T139" s="352" t="s">
        <v>167</v>
      </c>
      <c r="U139" s="352"/>
      <c r="V139" s="352" t="s">
        <v>168</v>
      </c>
      <c r="W139" s="352"/>
      <c r="X139" s="352" t="s">
        <v>162</v>
      </c>
      <c r="Y139" s="352"/>
      <c r="Z139" s="116" t="s">
        <v>159</v>
      </c>
      <c r="AB139" s="117" t="s">
        <v>166</v>
      </c>
      <c r="AC139" s="352" t="s">
        <v>167</v>
      </c>
      <c r="AD139" s="352"/>
      <c r="AE139" s="352" t="s">
        <v>168</v>
      </c>
      <c r="AF139" s="352"/>
      <c r="AG139" s="352" t="s">
        <v>162</v>
      </c>
      <c r="AH139" s="352"/>
      <c r="AI139" s="116" t="s">
        <v>159</v>
      </c>
    </row>
    <row r="140" spans="1:35">
      <c r="A140" s="27" t="s">
        <v>169</v>
      </c>
      <c r="B140" s="354">
        <f>G137</f>
        <v>0</v>
      </c>
      <c r="C140" s="354"/>
      <c r="D140" s="355">
        <v>0</v>
      </c>
      <c r="E140" s="355"/>
      <c r="F140" s="354">
        <v>0</v>
      </c>
      <c r="G140" s="354"/>
      <c r="H140" s="119">
        <f>(B140-(B140*D140))-F140</f>
        <v>0</v>
      </c>
      <c r="J140" s="27" t="s">
        <v>169</v>
      </c>
      <c r="K140" s="354">
        <f>P137</f>
        <v>0</v>
      </c>
      <c r="L140" s="354"/>
      <c r="M140" s="355">
        <v>0</v>
      </c>
      <c r="N140" s="355"/>
      <c r="O140" s="354">
        <v>0</v>
      </c>
      <c r="P140" s="354"/>
      <c r="Q140" s="119">
        <f>(K140-(K140*M140))-O140</f>
        <v>0</v>
      </c>
      <c r="S140" s="27" t="s">
        <v>169</v>
      </c>
      <c r="T140" s="354">
        <f>Y137</f>
        <v>0</v>
      </c>
      <c r="U140" s="354"/>
      <c r="V140" s="355">
        <v>0</v>
      </c>
      <c r="W140" s="355"/>
      <c r="X140" s="354">
        <v>0</v>
      </c>
      <c r="Y140" s="354"/>
      <c r="Z140" s="119">
        <f>(T140-(T140*V140))-X140</f>
        <v>0</v>
      </c>
      <c r="AB140" s="27" t="s">
        <v>169</v>
      </c>
      <c r="AC140" s="354">
        <f>AH137</f>
        <v>0</v>
      </c>
      <c r="AD140" s="354"/>
      <c r="AE140" s="355">
        <v>0</v>
      </c>
      <c r="AF140" s="355"/>
      <c r="AG140" s="354">
        <v>0</v>
      </c>
      <c r="AH140" s="354"/>
      <c r="AI140" s="119">
        <f>(AC140-(AC140*AE140))-AG140</f>
        <v>0</v>
      </c>
    </row>
    <row r="141" spans="1:35">
      <c r="A141" s="27" t="s">
        <v>170</v>
      </c>
      <c r="B141" s="354">
        <v>0</v>
      </c>
      <c r="C141" s="354"/>
      <c r="D141" s="355">
        <v>0</v>
      </c>
      <c r="E141" s="355"/>
      <c r="F141" s="354">
        <v>0</v>
      </c>
      <c r="G141" s="354"/>
      <c r="H141" s="119">
        <f>(B141-(B141*D141))-F141</f>
        <v>0</v>
      </c>
      <c r="J141" s="27" t="s">
        <v>170</v>
      </c>
      <c r="K141" s="354">
        <v>0</v>
      </c>
      <c r="L141" s="354"/>
      <c r="M141" s="355">
        <v>0</v>
      </c>
      <c r="N141" s="355"/>
      <c r="O141" s="354">
        <v>0</v>
      </c>
      <c r="P141" s="354"/>
      <c r="Q141" s="119">
        <f>(K141-(K141*M141))-O141</f>
        <v>0</v>
      </c>
      <c r="S141" s="27" t="s">
        <v>170</v>
      </c>
      <c r="T141" s="354">
        <v>0</v>
      </c>
      <c r="U141" s="354"/>
      <c r="V141" s="355">
        <v>0</v>
      </c>
      <c r="W141" s="355"/>
      <c r="X141" s="354">
        <v>0</v>
      </c>
      <c r="Y141" s="354"/>
      <c r="Z141" s="119">
        <f>(T141-(T141*V141))-X141</f>
        <v>0</v>
      </c>
      <c r="AB141" s="27" t="s">
        <v>170</v>
      </c>
      <c r="AC141" s="354">
        <v>0</v>
      </c>
      <c r="AD141" s="354"/>
      <c r="AE141" s="355">
        <v>0</v>
      </c>
      <c r="AF141" s="355"/>
      <c r="AG141" s="354">
        <v>0</v>
      </c>
      <c r="AH141" s="354"/>
      <c r="AI141" s="119">
        <f>(AC141-(AC141*AE141))-AG141</f>
        <v>0</v>
      </c>
    </row>
    <row r="142" spans="1:35">
      <c r="A142" s="27" t="s">
        <v>171</v>
      </c>
      <c r="B142" s="354">
        <v>0</v>
      </c>
      <c r="C142" s="354"/>
      <c r="D142" s="355">
        <v>0</v>
      </c>
      <c r="E142" s="355"/>
      <c r="F142" s="354">
        <v>0</v>
      </c>
      <c r="G142" s="354"/>
      <c r="H142" s="119">
        <f>(B142-(B142*D142))-F142</f>
        <v>0</v>
      </c>
      <c r="J142" s="27" t="s">
        <v>171</v>
      </c>
      <c r="K142" s="354">
        <v>0</v>
      </c>
      <c r="L142" s="354"/>
      <c r="M142" s="355">
        <v>0</v>
      </c>
      <c r="N142" s="355"/>
      <c r="O142" s="354">
        <v>0</v>
      </c>
      <c r="P142" s="354"/>
      <c r="Q142" s="119">
        <f>(K142-(K142*M142))-O142</f>
        <v>0</v>
      </c>
      <c r="S142" s="27" t="s">
        <v>171</v>
      </c>
      <c r="T142" s="354">
        <v>0</v>
      </c>
      <c r="U142" s="354"/>
      <c r="V142" s="355">
        <v>0</v>
      </c>
      <c r="W142" s="355"/>
      <c r="X142" s="354">
        <v>0</v>
      </c>
      <c r="Y142" s="354"/>
      <c r="Z142" s="119">
        <f>(T142-(T142*V142))-X142</f>
        <v>0</v>
      </c>
      <c r="AB142" s="27" t="s">
        <v>171</v>
      </c>
      <c r="AC142" s="354">
        <v>0</v>
      </c>
      <c r="AD142" s="354"/>
      <c r="AE142" s="355">
        <v>0</v>
      </c>
      <c r="AF142" s="355"/>
      <c r="AG142" s="354">
        <v>0</v>
      </c>
      <c r="AH142" s="354"/>
      <c r="AI142" s="119">
        <f>(AC142-(AC142*AE142))-AG142</f>
        <v>0</v>
      </c>
    </row>
    <row r="143" spans="1:35">
      <c r="A143" s="27"/>
      <c r="B143" s="28"/>
      <c r="C143" s="28"/>
      <c r="D143" s="28"/>
      <c r="E143" s="28"/>
      <c r="F143" s="28"/>
      <c r="G143" s="115"/>
      <c r="H143" s="116"/>
      <c r="J143" s="27"/>
      <c r="K143" s="28"/>
      <c r="L143" s="28"/>
      <c r="M143" s="28"/>
      <c r="N143" s="28"/>
      <c r="O143" s="28"/>
      <c r="P143" s="115"/>
      <c r="Q143" s="116"/>
      <c r="S143" s="27"/>
      <c r="T143" s="28"/>
      <c r="U143" s="28"/>
      <c r="V143" s="28"/>
      <c r="W143" s="28"/>
      <c r="X143" s="28"/>
      <c r="Y143" s="115"/>
      <c r="Z143" s="116"/>
      <c r="AB143" s="27"/>
      <c r="AC143" s="28"/>
      <c r="AD143" s="28"/>
      <c r="AE143" s="28"/>
      <c r="AF143" s="28"/>
      <c r="AG143" s="28"/>
      <c r="AH143" s="115"/>
      <c r="AI143" s="116"/>
    </row>
    <row r="144" spans="1:35" ht="21">
      <c r="A144" s="356" t="s">
        <v>172</v>
      </c>
      <c r="B144" s="356"/>
      <c r="C144" s="356"/>
      <c r="D144" s="356"/>
      <c r="E144" s="356"/>
      <c r="F144" s="356"/>
      <c r="G144" s="109">
        <f t="shared" ref="G144:G151" si="7">H9</f>
        <v>20255</v>
      </c>
      <c r="H144" s="120">
        <f>C134+E134+G134+H137</f>
        <v>20255</v>
      </c>
      <c r="J144" s="356" t="s">
        <v>172</v>
      </c>
      <c r="K144" s="356"/>
      <c r="L144" s="356"/>
      <c r="M144" s="356"/>
      <c r="N144" s="356"/>
      <c r="O144" s="356"/>
      <c r="P144" s="109">
        <f t="shared" ref="P144:P151" si="8">H9</f>
        <v>20255</v>
      </c>
      <c r="Q144" s="120">
        <f>L134+N134+P134+Q137</f>
        <v>28629.17</v>
      </c>
      <c r="S144" s="356" t="s">
        <v>172</v>
      </c>
      <c r="T144" s="356"/>
      <c r="U144" s="356"/>
      <c r="V144" s="356"/>
      <c r="W144" s="356"/>
      <c r="X144" s="356"/>
      <c r="Y144" s="109">
        <f t="shared" ref="Y144:Y151" si="9">H9</f>
        <v>20255</v>
      </c>
      <c r="Z144" s="120">
        <f>U134+W134+Y134+Z137</f>
        <v>15191.25</v>
      </c>
      <c r="AB144" s="356" t="s">
        <v>172</v>
      </c>
      <c r="AC144" s="356"/>
      <c r="AD144" s="356"/>
      <c r="AE144" s="356"/>
      <c r="AF144" s="356"/>
      <c r="AG144" s="356"/>
      <c r="AH144" s="109">
        <f t="shared" ref="AH144:AH151" si="10">H9</f>
        <v>20255</v>
      </c>
      <c r="AI144" s="120">
        <f>AD134+AF134+AH134+AI137</f>
        <v>15191.25</v>
      </c>
    </row>
    <row r="145" spans="1:35">
      <c r="A145" s="357" t="s">
        <v>173</v>
      </c>
      <c r="B145" s="357"/>
      <c r="C145" s="357"/>
      <c r="D145" s="357"/>
      <c r="E145" s="357"/>
      <c r="F145" s="357"/>
      <c r="G145" s="121">
        <f t="shared" si="7"/>
        <v>695</v>
      </c>
      <c r="H145" s="29">
        <f>G145</f>
        <v>695</v>
      </c>
      <c r="J145" s="357" t="s">
        <v>173</v>
      </c>
      <c r="K145" s="357"/>
      <c r="L145" s="357"/>
      <c r="M145" s="357"/>
      <c r="N145" s="357"/>
      <c r="O145" s="357"/>
      <c r="P145" s="121">
        <f t="shared" si="8"/>
        <v>695</v>
      </c>
      <c r="Q145" s="29">
        <f>P145</f>
        <v>695</v>
      </c>
      <c r="S145" s="357" t="s">
        <v>173</v>
      </c>
      <c r="T145" s="357"/>
      <c r="U145" s="357"/>
      <c r="V145" s="357"/>
      <c r="W145" s="357"/>
      <c r="X145" s="357"/>
      <c r="Y145" s="121">
        <f t="shared" si="9"/>
        <v>695</v>
      </c>
      <c r="Z145" s="29">
        <f>Y145</f>
        <v>695</v>
      </c>
      <c r="AB145" s="357" t="s">
        <v>173</v>
      </c>
      <c r="AC145" s="357"/>
      <c r="AD145" s="357"/>
      <c r="AE145" s="357"/>
      <c r="AF145" s="357"/>
      <c r="AG145" s="357"/>
      <c r="AH145" s="121">
        <f t="shared" si="10"/>
        <v>695</v>
      </c>
      <c r="AI145" s="29">
        <f>AH145</f>
        <v>695</v>
      </c>
    </row>
    <row r="146" spans="1:35">
      <c r="A146" s="357" t="s">
        <v>174</v>
      </c>
      <c r="B146" s="357"/>
      <c r="C146" s="357"/>
      <c r="D146" s="357"/>
      <c r="E146" s="357"/>
      <c r="F146" s="357"/>
      <c r="G146" s="121">
        <f t="shared" si="7"/>
        <v>4190</v>
      </c>
      <c r="H146" s="29">
        <f>(H144+H145)*20%</f>
        <v>4190</v>
      </c>
      <c r="J146" s="357" t="s">
        <v>174</v>
      </c>
      <c r="K146" s="357"/>
      <c r="L146" s="357"/>
      <c r="M146" s="357"/>
      <c r="N146" s="357"/>
      <c r="O146" s="357"/>
      <c r="P146" s="121">
        <f t="shared" si="8"/>
        <v>4190</v>
      </c>
      <c r="Q146" s="29">
        <f>(Q144+Q145)*20%</f>
        <v>5864.8339999999998</v>
      </c>
      <c r="S146" s="357" t="s">
        <v>174</v>
      </c>
      <c r="T146" s="357"/>
      <c r="U146" s="357"/>
      <c r="V146" s="357"/>
      <c r="W146" s="357"/>
      <c r="X146" s="357"/>
      <c r="Y146" s="121">
        <f t="shared" si="9"/>
        <v>4190</v>
      </c>
      <c r="Z146" s="29">
        <f>(Z144+Z145)*20%</f>
        <v>3177.25</v>
      </c>
      <c r="AB146" s="357" t="s">
        <v>174</v>
      </c>
      <c r="AC146" s="357"/>
      <c r="AD146" s="357"/>
      <c r="AE146" s="357"/>
      <c r="AF146" s="357"/>
      <c r="AG146" s="357"/>
      <c r="AH146" s="121">
        <f t="shared" si="10"/>
        <v>4190</v>
      </c>
      <c r="AI146" s="29">
        <f>(AI144+AI145)*20%</f>
        <v>3177.25</v>
      </c>
    </row>
    <row r="147" spans="1:35">
      <c r="A147" s="357" t="s">
        <v>175</v>
      </c>
      <c r="B147" s="357"/>
      <c r="C147" s="357"/>
      <c r="D147" s="357"/>
      <c r="E147" s="357"/>
      <c r="F147" s="357"/>
      <c r="G147" s="121">
        <f t="shared" si="7"/>
        <v>0</v>
      </c>
      <c r="H147" s="29">
        <v>0</v>
      </c>
      <c r="J147" s="357" t="s">
        <v>175</v>
      </c>
      <c r="K147" s="357"/>
      <c r="L147" s="357"/>
      <c r="M147" s="357"/>
      <c r="N147" s="357"/>
      <c r="O147" s="357"/>
      <c r="P147" s="121">
        <f t="shared" si="8"/>
        <v>0</v>
      </c>
      <c r="Q147" s="29">
        <f>P147</f>
        <v>0</v>
      </c>
      <c r="S147" s="357" t="s">
        <v>175</v>
      </c>
      <c r="T147" s="357"/>
      <c r="U147" s="357"/>
      <c r="V147" s="357"/>
      <c r="W147" s="357"/>
      <c r="X147" s="357"/>
      <c r="Y147" s="121">
        <f t="shared" si="9"/>
        <v>0</v>
      </c>
      <c r="Z147" s="29">
        <f>Y147</f>
        <v>0</v>
      </c>
      <c r="AB147" s="357" t="s">
        <v>175</v>
      </c>
      <c r="AC147" s="357"/>
      <c r="AD147" s="357"/>
      <c r="AE147" s="357"/>
      <c r="AF147" s="357"/>
      <c r="AG147" s="357"/>
      <c r="AH147" s="121">
        <f t="shared" si="10"/>
        <v>0</v>
      </c>
      <c r="AI147" s="29">
        <f>AH147</f>
        <v>0</v>
      </c>
    </row>
    <row r="148" spans="1:35">
      <c r="A148" s="357" t="s">
        <v>176</v>
      </c>
      <c r="B148" s="357"/>
      <c r="C148" s="357"/>
      <c r="D148" s="357"/>
      <c r="E148" s="357"/>
      <c r="F148" s="357"/>
      <c r="G148" s="121">
        <f t="shared" si="7"/>
        <v>275</v>
      </c>
      <c r="H148" s="29">
        <f>G148</f>
        <v>275</v>
      </c>
      <c r="J148" s="357" t="s">
        <v>176</v>
      </c>
      <c r="K148" s="357"/>
      <c r="L148" s="357"/>
      <c r="M148" s="357"/>
      <c r="N148" s="357"/>
      <c r="O148" s="357"/>
      <c r="P148" s="121">
        <f t="shared" si="8"/>
        <v>275</v>
      </c>
      <c r="Q148" s="29">
        <f>P148</f>
        <v>275</v>
      </c>
      <c r="S148" s="357" t="s">
        <v>176</v>
      </c>
      <c r="T148" s="357"/>
      <c r="U148" s="357"/>
      <c r="V148" s="357"/>
      <c r="W148" s="357"/>
      <c r="X148" s="357"/>
      <c r="Y148" s="121">
        <f t="shared" si="9"/>
        <v>275</v>
      </c>
      <c r="Z148" s="29">
        <f>Y148</f>
        <v>275</v>
      </c>
      <c r="AB148" s="357" t="s">
        <v>176</v>
      </c>
      <c r="AC148" s="357"/>
      <c r="AD148" s="357"/>
      <c r="AE148" s="357"/>
      <c r="AF148" s="357"/>
      <c r="AG148" s="357"/>
      <c r="AH148" s="121">
        <f t="shared" si="10"/>
        <v>275</v>
      </c>
      <c r="AI148" s="29">
        <f>AH148</f>
        <v>275</v>
      </c>
    </row>
    <row r="149" spans="1:35">
      <c r="A149" s="357" t="s">
        <v>177</v>
      </c>
      <c r="B149" s="357"/>
      <c r="C149" s="357"/>
      <c r="D149" s="357"/>
      <c r="E149" s="357"/>
      <c r="F149" s="357"/>
      <c r="G149" s="121">
        <f t="shared" si="7"/>
        <v>65</v>
      </c>
      <c r="H149" s="29">
        <f>G149</f>
        <v>65</v>
      </c>
      <c r="J149" s="357" t="s">
        <v>177</v>
      </c>
      <c r="K149" s="357"/>
      <c r="L149" s="357"/>
      <c r="M149" s="357"/>
      <c r="N149" s="357"/>
      <c r="O149" s="357"/>
      <c r="P149" s="121">
        <f t="shared" si="8"/>
        <v>65</v>
      </c>
      <c r="Q149" s="29">
        <v>55</v>
      </c>
      <c r="S149" s="357" t="s">
        <v>177</v>
      </c>
      <c r="T149" s="357"/>
      <c r="U149" s="357"/>
      <c r="V149" s="357"/>
      <c r="W149" s="357"/>
      <c r="X149" s="357"/>
      <c r="Y149" s="121">
        <f t="shared" si="9"/>
        <v>65</v>
      </c>
      <c r="Z149" s="29">
        <v>55</v>
      </c>
      <c r="AB149" s="357" t="s">
        <v>177</v>
      </c>
      <c r="AC149" s="357"/>
      <c r="AD149" s="357"/>
      <c r="AE149" s="357"/>
      <c r="AF149" s="357"/>
      <c r="AG149" s="357"/>
      <c r="AH149" s="121">
        <f t="shared" si="10"/>
        <v>65</v>
      </c>
      <c r="AI149" s="29">
        <v>55</v>
      </c>
    </row>
    <row r="150" spans="1:35" ht="21">
      <c r="A150" s="357" t="s">
        <v>178</v>
      </c>
      <c r="B150" s="357"/>
      <c r="C150" s="357"/>
      <c r="D150" s="357"/>
      <c r="E150" s="357"/>
      <c r="F150" s="357"/>
      <c r="G150" s="123">
        <f t="shared" si="7"/>
        <v>25480</v>
      </c>
      <c r="H150" s="122">
        <f>(H144+H145+H148+H149+H146)-H147</f>
        <v>25480</v>
      </c>
      <c r="J150" s="357" t="s">
        <v>178</v>
      </c>
      <c r="K150" s="357"/>
      <c r="L150" s="357"/>
      <c r="M150" s="357"/>
      <c r="N150" s="357"/>
      <c r="O150" s="357"/>
      <c r="P150" s="123">
        <f t="shared" si="8"/>
        <v>25480</v>
      </c>
      <c r="Q150" s="122">
        <f>(Q144+Q145+Q148+Q149+Q146)-Q147</f>
        <v>35519.004000000001</v>
      </c>
      <c r="S150" s="357" t="s">
        <v>178</v>
      </c>
      <c r="T150" s="357"/>
      <c r="U150" s="357"/>
      <c r="V150" s="357"/>
      <c r="W150" s="357"/>
      <c r="X150" s="357"/>
      <c r="Y150" s="123">
        <f t="shared" si="9"/>
        <v>25480</v>
      </c>
      <c r="Z150" s="122">
        <f>(Z144+Z145+Z148+Z149+Z146)-Z147</f>
        <v>19393.5</v>
      </c>
      <c r="AB150" s="357" t="s">
        <v>178</v>
      </c>
      <c r="AC150" s="357"/>
      <c r="AD150" s="357"/>
      <c r="AE150" s="357"/>
      <c r="AF150" s="357"/>
      <c r="AG150" s="357"/>
      <c r="AH150" s="123">
        <f t="shared" si="10"/>
        <v>25480</v>
      </c>
      <c r="AI150" s="122">
        <f>(AI144+AI145+AI148+AI149+AI146)-AI147</f>
        <v>19393.5</v>
      </c>
    </row>
    <row r="151" spans="1:35">
      <c r="A151" s="357" t="s">
        <v>179</v>
      </c>
      <c r="B151" s="357"/>
      <c r="C151" s="357"/>
      <c r="D151" s="357"/>
      <c r="E151" s="357"/>
      <c r="F151" s="357"/>
      <c r="G151" s="121">
        <f t="shared" si="7"/>
        <v>0</v>
      </c>
      <c r="H151" s="36">
        <f>G151</f>
        <v>0</v>
      </c>
      <c r="J151" s="357" t="s">
        <v>179</v>
      </c>
      <c r="K151" s="357"/>
      <c r="L151" s="357"/>
      <c r="M151" s="357"/>
      <c r="N151" s="357"/>
      <c r="O151" s="357"/>
      <c r="P151" s="121">
        <f t="shared" si="8"/>
        <v>0</v>
      </c>
      <c r="Q151" s="36">
        <f>P151</f>
        <v>0</v>
      </c>
      <c r="S151" s="357" t="s">
        <v>179</v>
      </c>
      <c r="T151" s="357"/>
      <c r="U151" s="357"/>
      <c r="V151" s="357"/>
      <c r="W151" s="357"/>
      <c r="X151" s="357"/>
      <c r="Y151" s="121">
        <f t="shared" si="9"/>
        <v>0</v>
      </c>
      <c r="Z151" s="36">
        <f>Y151</f>
        <v>0</v>
      </c>
      <c r="AB151" s="357" t="s">
        <v>179</v>
      </c>
      <c r="AC151" s="357"/>
      <c r="AD151" s="357"/>
      <c r="AE151" s="357"/>
      <c r="AF151" s="357"/>
      <c r="AG151" s="357"/>
      <c r="AH151" s="121">
        <f t="shared" si="10"/>
        <v>0</v>
      </c>
      <c r="AI151" s="36">
        <f>AH151</f>
        <v>0</v>
      </c>
    </row>
    <row r="152" spans="1:35">
      <c r="A152" s="358" t="s">
        <v>180</v>
      </c>
      <c r="B152" s="358"/>
      <c r="C152" s="358"/>
      <c r="D152" s="358"/>
      <c r="E152" s="358">
        <v>0</v>
      </c>
      <c r="F152" s="358"/>
      <c r="G152" s="34">
        <v>0</v>
      </c>
      <c r="H152" s="29"/>
      <c r="J152" s="359" t="s">
        <v>180</v>
      </c>
      <c r="K152" s="359"/>
      <c r="L152" s="359"/>
      <c r="M152" s="359"/>
      <c r="N152" s="359"/>
      <c r="O152" s="359"/>
      <c r="P152" s="34"/>
      <c r="Q152" s="29"/>
      <c r="S152" s="358" t="s">
        <v>180</v>
      </c>
      <c r="T152" s="358"/>
      <c r="U152" s="358"/>
      <c r="V152" s="358"/>
      <c r="W152" s="358"/>
      <c r="X152" s="358"/>
      <c r="Y152" s="34"/>
      <c r="Z152" s="29"/>
      <c r="AB152" s="358" t="s">
        <v>180</v>
      </c>
      <c r="AC152" s="358"/>
      <c r="AD152" s="358"/>
      <c r="AE152" s="358"/>
      <c r="AF152" s="358"/>
      <c r="AG152" s="358"/>
      <c r="AH152" s="34"/>
      <c r="AI152" s="29"/>
    </row>
    <row r="153" spans="1:35">
      <c r="A153" s="124" t="s">
        <v>26</v>
      </c>
      <c r="B153" s="360" t="s">
        <v>181</v>
      </c>
      <c r="C153" s="360"/>
      <c r="D153" s="360"/>
      <c r="E153" s="360"/>
      <c r="F153" s="360"/>
      <c r="G153" s="121">
        <f>H18</f>
        <v>0</v>
      </c>
      <c r="H153" s="36">
        <f>G153</f>
        <v>0</v>
      </c>
      <c r="J153" s="124" t="s">
        <v>26</v>
      </c>
      <c r="K153" s="360" t="s">
        <v>181</v>
      </c>
      <c r="L153" s="360"/>
      <c r="M153" s="360"/>
      <c r="N153" s="360"/>
      <c r="O153" s="360"/>
      <c r="P153" s="121">
        <f>H18</f>
        <v>0</v>
      </c>
      <c r="Q153" s="36">
        <f>P153</f>
        <v>0</v>
      </c>
      <c r="S153" s="124" t="s">
        <v>26</v>
      </c>
      <c r="T153" s="360" t="s">
        <v>181</v>
      </c>
      <c r="U153" s="360"/>
      <c r="V153" s="360"/>
      <c r="W153" s="360"/>
      <c r="X153" s="360"/>
      <c r="Y153" s="121">
        <f>H18</f>
        <v>0</v>
      </c>
      <c r="Z153" s="36">
        <f>Y153</f>
        <v>0</v>
      </c>
      <c r="AB153" s="124" t="s">
        <v>26</v>
      </c>
      <c r="AC153" s="360" t="s">
        <v>181</v>
      </c>
      <c r="AD153" s="360"/>
      <c r="AE153" s="360"/>
      <c r="AF153" s="360"/>
      <c r="AG153" s="360"/>
      <c r="AH153" s="121">
        <f>H18</f>
        <v>0</v>
      </c>
      <c r="AI153" s="36">
        <f>AH153</f>
        <v>0</v>
      </c>
    </row>
    <row r="154" spans="1:35">
      <c r="A154" s="124" t="s">
        <v>28</v>
      </c>
      <c r="B154" s="360" t="s">
        <v>181</v>
      </c>
      <c r="C154" s="360"/>
      <c r="D154" s="360"/>
      <c r="E154" s="360"/>
      <c r="F154" s="360"/>
      <c r="G154" s="121">
        <f>H19</f>
        <v>0</v>
      </c>
      <c r="H154" s="36">
        <v>0</v>
      </c>
      <c r="I154" s="4">
        <f>(G151+G154+G155+G153)</f>
        <v>0</v>
      </c>
      <c r="J154" s="124" t="s">
        <v>28</v>
      </c>
      <c r="K154" s="360" t="s">
        <v>181</v>
      </c>
      <c r="L154" s="360"/>
      <c r="M154" s="360"/>
      <c r="N154" s="360"/>
      <c r="O154" s="360"/>
      <c r="P154" s="121">
        <f>H19</f>
        <v>0</v>
      </c>
      <c r="Q154" s="36">
        <f>P154</f>
        <v>0</v>
      </c>
      <c r="S154" s="124" t="s">
        <v>28</v>
      </c>
      <c r="T154" s="360" t="s">
        <v>181</v>
      </c>
      <c r="U154" s="360"/>
      <c r="V154" s="360"/>
      <c r="W154" s="360"/>
      <c r="X154" s="360"/>
      <c r="Y154" s="121">
        <f>H19</f>
        <v>0</v>
      </c>
      <c r="Z154" s="36">
        <f>Y154</f>
        <v>0</v>
      </c>
      <c r="AB154" s="124" t="s">
        <v>28</v>
      </c>
      <c r="AC154" s="360" t="s">
        <v>181</v>
      </c>
      <c r="AD154" s="360"/>
      <c r="AE154" s="360"/>
      <c r="AF154" s="360"/>
      <c r="AG154" s="360"/>
      <c r="AH154" s="121">
        <f>H19</f>
        <v>0</v>
      </c>
      <c r="AI154" s="36">
        <f>AH154</f>
        <v>0</v>
      </c>
    </row>
    <row r="155" spans="1:35">
      <c r="A155" s="125" t="s">
        <v>29</v>
      </c>
      <c r="B155" s="361" t="s">
        <v>181</v>
      </c>
      <c r="C155" s="361"/>
      <c r="D155" s="361"/>
      <c r="E155" s="361"/>
      <c r="F155" s="361"/>
      <c r="G155" s="121">
        <f>H20</f>
        <v>0</v>
      </c>
      <c r="H155" s="36">
        <v>0</v>
      </c>
      <c r="I155" s="4">
        <f>(H151+H153+H154+H155)</f>
        <v>0</v>
      </c>
      <c r="J155" s="125" t="s">
        <v>29</v>
      </c>
      <c r="K155" s="361" t="s">
        <v>181</v>
      </c>
      <c r="L155" s="361"/>
      <c r="M155" s="361"/>
      <c r="N155" s="361"/>
      <c r="O155" s="361"/>
      <c r="P155" s="121">
        <f>H20</f>
        <v>0</v>
      </c>
      <c r="Q155" s="36">
        <f>P155</f>
        <v>0</v>
      </c>
      <c r="S155" s="125" t="s">
        <v>29</v>
      </c>
      <c r="T155" s="361" t="s">
        <v>181</v>
      </c>
      <c r="U155" s="361"/>
      <c r="V155" s="361"/>
      <c r="W155" s="361"/>
      <c r="X155" s="361"/>
      <c r="Y155" s="121">
        <f>H20</f>
        <v>0</v>
      </c>
      <c r="Z155" s="36">
        <f>Y155</f>
        <v>0</v>
      </c>
      <c r="AB155" s="125" t="s">
        <v>29</v>
      </c>
      <c r="AC155" s="361" t="s">
        <v>181</v>
      </c>
      <c r="AD155" s="361"/>
      <c r="AE155" s="361"/>
      <c r="AF155" s="361"/>
      <c r="AG155" s="361"/>
      <c r="AH155" s="121">
        <f>H20</f>
        <v>0</v>
      </c>
      <c r="AI155" s="36">
        <f>AH155</f>
        <v>0</v>
      </c>
    </row>
    <row r="156" spans="1:35" ht="21">
      <c r="A156" s="357" t="s">
        <v>182</v>
      </c>
      <c r="B156" s="357"/>
      <c r="C156" s="357"/>
      <c r="D156" s="357"/>
      <c r="E156" s="357"/>
      <c r="F156" s="357"/>
      <c r="G156" s="123">
        <f>G150-((G153*1.2)+(G154*1.2)+(G155*1.2)+(G151*1.2))</f>
        <v>25480</v>
      </c>
      <c r="H156" s="126">
        <f>H150-((H153*1.2)+(H154*1.2)+(H155*1.2)+(H151*1.2))</f>
        <v>25480</v>
      </c>
      <c r="J156" s="362" t="s">
        <v>182</v>
      </c>
      <c r="K156" s="362"/>
      <c r="L156" s="362"/>
      <c r="M156" s="362"/>
      <c r="N156" s="362"/>
      <c r="O156" s="362"/>
      <c r="P156" s="123">
        <f>P150-((P153*1.2)+(P154*1.2)+(P155*1.2)+(P151*1.2))</f>
        <v>25480</v>
      </c>
      <c r="Q156" s="126">
        <f>Q150-((Q153*1.2)+(Q154*1.2)+(Q155*1.2)+(Q151*1.2))</f>
        <v>35519.004000000001</v>
      </c>
      <c r="S156" s="357" t="s">
        <v>182</v>
      </c>
      <c r="T156" s="357"/>
      <c r="U156" s="357"/>
      <c r="V156" s="357"/>
      <c r="W156" s="357"/>
      <c r="X156" s="357"/>
      <c r="Y156" s="123">
        <f>Y150-((Y153*1.2)+(Y154*1.2)+(Y155*1.2)+(Y151*1.2))</f>
        <v>25480</v>
      </c>
      <c r="Z156" s="126">
        <f>Z150-((Z153*1.2)+(Z154*1.2)+(Z155*1.2)+(Z151*1.2))</f>
        <v>19393.5</v>
      </c>
      <c r="AB156" s="357" t="s">
        <v>182</v>
      </c>
      <c r="AC156" s="357"/>
      <c r="AD156" s="357"/>
      <c r="AE156" s="357"/>
      <c r="AF156" s="357"/>
      <c r="AG156" s="357"/>
      <c r="AH156" s="123">
        <f>AH150-((AH153*1.2)+(AH154*1.2)+(AH155*1.2)+(AH151*1.2))</f>
        <v>25480</v>
      </c>
      <c r="AI156" s="126">
        <f>AI150-((AI153*1.2)+(AI154*1.2)+(AI155*1.2)+(AI151*1.2))</f>
        <v>19393.5</v>
      </c>
    </row>
    <row r="157" spans="1:35">
      <c r="A157" s="357" t="s">
        <v>183</v>
      </c>
      <c r="B157" s="357"/>
      <c r="C157" s="357"/>
      <c r="D157" s="357"/>
      <c r="E157" s="357"/>
      <c r="F157" s="357"/>
      <c r="G157" s="121"/>
      <c r="H157" s="36">
        <f>((H156-G156)-(H146-G146))+((I155-I154)*0.2)</f>
        <v>0</v>
      </c>
      <c r="I157" s="4">
        <f>(H157-G90)/1.2</f>
        <v>-20400</v>
      </c>
      <c r="J157" s="357" t="s">
        <v>183</v>
      </c>
      <c r="K157" s="357"/>
      <c r="L157" s="357"/>
      <c r="M157" s="357"/>
      <c r="N157" s="357"/>
      <c r="O157" s="357"/>
      <c r="P157" s="121"/>
      <c r="Q157" s="36">
        <f>Q156-P156</f>
        <v>10039.004000000001</v>
      </c>
      <c r="S157" s="357" t="s">
        <v>183</v>
      </c>
      <c r="T157" s="357"/>
      <c r="U157" s="357"/>
      <c r="V157" s="357"/>
      <c r="W157" s="357"/>
      <c r="X157" s="357"/>
      <c r="Y157" s="121"/>
      <c r="Z157" s="36">
        <f>Z156-Y156</f>
        <v>-6086.5</v>
      </c>
      <c r="AB157" s="357" t="s">
        <v>183</v>
      </c>
      <c r="AC157" s="357"/>
      <c r="AD157" s="357"/>
      <c r="AE157" s="357"/>
      <c r="AF157" s="357"/>
      <c r="AG157" s="357"/>
      <c r="AH157" s="121"/>
      <c r="AI157" s="36">
        <f>AI156-AH156</f>
        <v>-6086.5</v>
      </c>
    </row>
    <row r="158" spans="1:35">
      <c r="A158" s="27"/>
      <c r="B158" s="28"/>
      <c r="C158" s="28"/>
      <c r="D158" s="28"/>
      <c r="E158" s="21"/>
      <c r="F158" s="21"/>
      <c r="G158" s="21"/>
      <c r="H158" s="29"/>
      <c r="J158" s="27"/>
      <c r="K158" s="28"/>
      <c r="L158" s="28"/>
      <c r="M158" s="28"/>
      <c r="N158" s="21"/>
      <c r="O158" s="21"/>
      <c r="P158" s="21"/>
      <c r="Q158" s="29"/>
      <c r="S158" s="27"/>
      <c r="T158" s="28"/>
      <c r="U158" s="28"/>
      <c r="V158" s="28"/>
      <c r="W158" s="21"/>
      <c r="X158" s="21"/>
      <c r="Y158" s="21"/>
      <c r="Z158" s="29"/>
      <c r="AB158" s="27"/>
      <c r="AC158" s="28"/>
      <c r="AD158" s="28"/>
      <c r="AE158" s="28"/>
      <c r="AF158" s="21"/>
      <c r="AG158" s="21"/>
      <c r="AH158" s="21"/>
      <c r="AI158" s="29"/>
    </row>
    <row r="159" spans="1:35" ht="23.25">
      <c r="A159" s="335" t="s">
        <v>184</v>
      </c>
      <c r="B159" s="335"/>
      <c r="C159" s="335"/>
      <c r="D159" s="335"/>
      <c r="E159" s="335"/>
      <c r="F159" s="335"/>
      <c r="G159" s="335"/>
      <c r="H159" s="335"/>
      <c r="J159" s="335" t="s">
        <v>184</v>
      </c>
      <c r="K159" s="335"/>
      <c r="L159" s="335"/>
      <c r="M159" s="335"/>
      <c r="N159" s="335"/>
      <c r="O159" s="335"/>
      <c r="P159" s="335"/>
      <c r="Q159" s="335"/>
      <c r="S159" s="335" t="s">
        <v>184</v>
      </c>
      <c r="T159" s="335"/>
      <c r="U159" s="335"/>
      <c r="V159" s="335"/>
      <c r="W159" s="335"/>
      <c r="X159" s="335"/>
      <c r="Y159" s="335"/>
      <c r="Z159" s="335"/>
      <c r="AB159" s="335" t="s">
        <v>184</v>
      </c>
      <c r="AC159" s="335"/>
      <c r="AD159" s="335"/>
      <c r="AE159" s="335"/>
      <c r="AF159" s="335"/>
      <c r="AG159" s="335"/>
      <c r="AH159" s="335"/>
      <c r="AI159" s="335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 t="s">
        <v>185</v>
      </c>
      <c r="B161" s="28"/>
      <c r="C161" s="28"/>
      <c r="D161" s="21"/>
      <c r="E161" s="348">
        <v>0</v>
      </c>
      <c r="F161" s="348"/>
      <c r="G161" s="348">
        <v>0</v>
      </c>
      <c r="H161" s="348"/>
      <c r="J161" s="27" t="s">
        <v>185</v>
      </c>
      <c r="K161" s="28"/>
      <c r="L161" s="28"/>
      <c r="M161" s="21"/>
      <c r="N161" s="348">
        <v>10000</v>
      </c>
      <c r="O161" s="348"/>
      <c r="P161" s="348">
        <v>5000</v>
      </c>
      <c r="Q161" s="348"/>
      <c r="S161" s="27" t="s">
        <v>185</v>
      </c>
      <c r="T161" s="28"/>
      <c r="U161" s="28"/>
      <c r="V161" s="21"/>
      <c r="W161" s="348">
        <v>10000</v>
      </c>
      <c r="X161" s="348"/>
      <c r="Y161" s="348">
        <v>5000</v>
      </c>
      <c r="Z161" s="348"/>
      <c r="AB161" s="27" t="s">
        <v>185</v>
      </c>
      <c r="AC161" s="28"/>
      <c r="AD161" s="28"/>
      <c r="AE161" s="21"/>
      <c r="AF161" s="348">
        <v>10000</v>
      </c>
      <c r="AG161" s="348"/>
      <c r="AH161" s="348">
        <v>5000</v>
      </c>
      <c r="AI161" s="348"/>
    </row>
    <row r="162" spans="1:35">
      <c r="A162" s="27" t="s">
        <v>186</v>
      </c>
      <c r="B162" s="28"/>
      <c r="C162" s="28"/>
      <c r="D162" s="21"/>
      <c r="E162" s="363">
        <f>G162</f>
        <v>0</v>
      </c>
      <c r="F162" s="363"/>
      <c r="G162" s="348">
        <v>0</v>
      </c>
      <c r="H162" s="348"/>
      <c r="J162" s="27" t="s">
        <v>186</v>
      </c>
      <c r="K162" s="28"/>
      <c r="L162" s="28"/>
      <c r="M162" s="21"/>
      <c r="N162" s="363">
        <f>P162</f>
        <v>7000</v>
      </c>
      <c r="O162" s="363"/>
      <c r="P162" s="348">
        <v>7000</v>
      </c>
      <c r="Q162" s="348"/>
      <c r="S162" s="27" t="s">
        <v>186</v>
      </c>
      <c r="T162" s="28"/>
      <c r="U162" s="28"/>
      <c r="V162" s="21"/>
      <c r="W162" s="363">
        <f>Y162</f>
        <v>7000</v>
      </c>
      <c r="X162" s="363"/>
      <c r="Y162" s="348">
        <v>7000</v>
      </c>
      <c r="Z162" s="348"/>
      <c r="AB162" s="27" t="s">
        <v>186</v>
      </c>
      <c r="AC162" s="28"/>
      <c r="AD162" s="28"/>
      <c r="AE162" s="21"/>
      <c r="AF162" s="363">
        <f>AH162</f>
        <v>7000</v>
      </c>
      <c r="AG162" s="363"/>
      <c r="AH162" s="348">
        <v>7000</v>
      </c>
      <c r="AI162" s="348"/>
    </row>
    <row r="163" spans="1:35">
      <c r="A163" s="27" t="s">
        <v>187</v>
      </c>
      <c r="B163" s="28"/>
      <c r="C163" s="28"/>
      <c r="D163" s="21"/>
      <c r="E163" s="363">
        <f>E161-E162</f>
        <v>0</v>
      </c>
      <c r="F163" s="363"/>
      <c r="G163" s="364">
        <f>G161-G162</f>
        <v>0</v>
      </c>
      <c r="H163" s="364"/>
      <c r="J163" s="27" t="s">
        <v>187</v>
      </c>
      <c r="K163" s="28"/>
      <c r="L163" s="28"/>
      <c r="M163" s="21"/>
      <c r="N163" s="363">
        <f>N161-N162</f>
        <v>3000</v>
      </c>
      <c r="O163" s="363"/>
      <c r="P163" s="364">
        <f>P161-P162</f>
        <v>-2000</v>
      </c>
      <c r="Q163" s="364"/>
      <c r="S163" s="27" t="s">
        <v>187</v>
      </c>
      <c r="T163" s="28"/>
      <c r="U163" s="28"/>
      <c r="V163" s="21"/>
      <c r="W163" s="363">
        <f>W161-W162</f>
        <v>3000</v>
      </c>
      <c r="X163" s="363"/>
      <c r="Y163" s="364">
        <f>Y161-Y162</f>
        <v>-2000</v>
      </c>
      <c r="Z163" s="364"/>
      <c r="AB163" s="27" t="s">
        <v>187</v>
      </c>
      <c r="AC163" s="28"/>
      <c r="AD163" s="28"/>
      <c r="AE163" s="21"/>
      <c r="AF163" s="363">
        <f>AF161-AF162</f>
        <v>3000</v>
      </c>
      <c r="AG163" s="363"/>
      <c r="AH163" s="364">
        <f>AH161-AH162</f>
        <v>-2000</v>
      </c>
      <c r="AI163" s="364"/>
    </row>
    <row r="164" spans="1:35">
      <c r="A164" s="27" t="s">
        <v>188</v>
      </c>
      <c r="B164" s="28"/>
      <c r="C164" s="28"/>
      <c r="D164" s="21"/>
      <c r="E164" s="363">
        <f>E163-G163</f>
        <v>0</v>
      </c>
      <c r="F164" s="363"/>
      <c r="G164" s="21"/>
      <c r="H164" s="29"/>
      <c r="J164" s="27" t="s">
        <v>188</v>
      </c>
      <c r="K164" s="28"/>
      <c r="L164" s="28"/>
      <c r="M164" s="21"/>
      <c r="N164" s="363">
        <f>N163-P163</f>
        <v>5000</v>
      </c>
      <c r="O164" s="363"/>
      <c r="P164" s="21"/>
      <c r="Q164" s="29"/>
      <c r="S164" s="27" t="s">
        <v>188</v>
      </c>
      <c r="T164" s="28"/>
      <c r="U164" s="28"/>
      <c r="V164" s="21"/>
      <c r="W164" s="363">
        <f>W163-Y163</f>
        <v>5000</v>
      </c>
      <c r="X164" s="363"/>
      <c r="Y164" s="21"/>
      <c r="Z164" s="29"/>
      <c r="AB164" s="27" t="s">
        <v>188</v>
      </c>
      <c r="AC164" s="28"/>
      <c r="AD164" s="28"/>
      <c r="AE164" s="21"/>
      <c r="AF164" s="363">
        <f>AF163-AH163</f>
        <v>5000</v>
      </c>
      <c r="AG164" s="363"/>
      <c r="AH164" s="21"/>
      <c r="AI164" s="29"/>
    </row>
    <row r="165" spans="1:35">
      <c r="A165" s="22" t="s">
        <v>189</v>
      </c>
      <c r="B165" s="23"/>
      <c r="C165" s="23"/>
      <c r="D165" s="63"/>
      <c r="E165" s="23"/>
      <c r="F165" s="63"/>
      <c r="G165" s="128" t="s">
        <v>10</v>
      </c>
      <c r="H165" s="36">
        <v>1100</v>
      </c>
      <c r="J165" s="27"/>
      <c r="K165" s="28"/>
      <c r="L165" s="28"/>
      <c r="M165" s="21"/>
      <c r="N165" s="28"/>
      <c r="O165" s="21"/>
      <c r="P165" s="21"/>
      <c r="Q165" s="29"/>
      <c r="S165" s="27"/>
      <c r="T165" s="28"/>
      <c r="U165" s="28"/>
      <c r="V165" s="21"/>
      <c r="W165" s="28"/>
      <c r="X165" s="21"/>
      <c r="Y165" s="21"/>
      <c r="Z165" s="29"/>
      <c r="AB165" s="27"/>
      <c r="AC165" s="28"/>
      <c r="AD165" s="28"/>
      <c r="AE165" s="21"/>
      <c r="AF165" s="28"/>
      <c r="AG165" s="21"/>
      <c r="AH165" s="21"/>
      <c r="AI165" s="29"/>
    </row>
    <row r="166" spans="1:35">
      <c r="A166" s="22" t="s">
        <v>190</v>
      </c>
      <c r="B166" s="23"/>
      <c r="C166" s="23"/>
      <c r="D166" s="63"/>
      <c r="E166" s="23"/>
      <c r="F166" s="63"/>
      <c r="G166" s="365">
        <f>B120</f>
        <v>0</v>
      </c>
      <c r="H166" s="365"/>
      <c r="J166" s="22" t="s">
        <v>190</v>
      </c>
      <c r="K166" s="23"/>
      <c r="L166" s="23"/>
      <c r="M166" s="63"/>
      <c r="N166" s="23"/>
      <c r="O166" s="63"/>
      <c r="P166" s="365">
        <f>K120</f>
        <v>1000</v>
      </c>
      <c r="Q166" s="365"/>
      <c r="S166" s="22" t="s">
        <v>190</v>
      </c>
      <c r="T166" s="23"/>
      <c r="U166" s="23"/>
      <c r="V166" s="63"/>
      <c r="W166" s="23"/>
      <c r="X166" s="63"/>
      <c r="Y166" s="365">
        <f>T120</f>
        <v>1000</v>
      </c>
      <c r="Z166" s="365"/>
      <c r="AB166" s="22" t="s">
        <v>190</v>
      </c>
      <c r="AC166" s="23"/>
      <c r="AD166" s="23"/>
      <c r="AE166" s="63"/>
      <c r="AF166" s="23"/>
      <c r="AG166" s="63"/>
      <c r="AH166" s="365">
        <f>AC120</f>
        <v>1000</v>
      </c>
      <c r="AI166" s="365"/>
    </row>
    <row r="167" spans="1:35" ht="21">
      <c r="A167" s="129" t="s">
        <v>191</v>
      </c>
      <c r="B167" s="28"/>
      <c r="C167" s="28"/>
      <c r="D167" s="21"/>
      <c r="E167" s="28"/>
      <c r="F167" s="21"/>
      <c r="G167" s="366">
        <f>H156-G163-G166+H165</f>
        <v>26580</v>
      </c>
      <c r="H167" s="366"/>
      <c r="J167" s="129" t="s">
        <v>191</v>
      </c>
      <c r="K167" s="28"/>
      <c r="L167" s="28"/>
      <c r="M167" s="21"/>
      <c r="N167" s="28"/>
      <c r="O167" s="21"/>
      <c r="P167" s="366">
        <f>Q156-P163-P166</f>
        <v>36519.004000000001</v>
      </c>
      <c r="Q167" s="366"/>
      <c r="S167" s="129" t="s">
        <v>191</v>
      </c>
      <c r="T167" s="28"/>
      <c r="U167" s="28"/>
      <c r="V167" s="21"/>
      <c r="W167" s="28"/>
      <c r="X167" s="21"/>
      <c r="Y167" s="366">
        <f>Z156-Y163-Y166</f>
        <v>20393.5</v>
      </c>
      <c r="Z167" s="366"/>
      <c r="AB167" s="129" t="s">
        <v>191</v>
      </c>
      <c r="AC167" s="28"/>
      <c r="AD167" s="28"/>
      <c r="AE167" s="21"/>
      <c r="AF167" s="28"/>
      <c r="AG167" s="21"/>
      <c r="AH167" s="366">
        <f>AI156-AH163-AH166</f>
        <v>20393.5</v>
      </c>
      <c r="AI167" s="366"/>
    </row>
    <row r="168" spans="1:35">
      <c r="A168" s="49" t="s">
        <v>66</v>
      </c>
      <c r="B168" s="50"/>
      <c r="C168" s="50"/>
      <c r="D168" s="85"/>
      <c r="E168" s="50"/>
      <c r="F168" s="85"/>
      <c r="G168" s="367">
        <f>B123</f>
        <v>1000</v>
      </c>
      <c r="H168" s="367"/>
      <c r="J168" s="49" t="s">
        <v>66</v>
      </c>
      <c r="K168" s="50"/>
      <c r="L168" s="50"/>
      <c r="M168" s="85"/>
      <c r="N168" s="50"/>
      <c r="O168" s="85"/>
      <c r="P168" s="367">
        <f>K123</f>
        <v>239.99</v>
      </c>
      <c r="Q168" s="367"/>
      <c r="S168" s="49" t="s">
        <v>66</v>
      </c>
      <c r="T168" s="50"/>
      <c r="U168" s="50"/>
      <c r="V168" s="85"/>
      <c r="W168" s="50"/>
      <c r="X168" s="85"/>
      <c r="Y168" s="367">
        <f>T123</f>
        <v>199.99</v>
      </c>
      <c r="Z168" s="367"/>
      <c r="AB168" s="49" t="s">
        <v>66</v>
      </c>
      <c r="AC168" s="50"/>
      <c r="AD168" s="50"/>
      <c r="AE168" s="85"/>
      <c r="AF168" s="50"/>
      <c r="AG168" s="85"/>
      <c r="AH168" s="367">
        <f>AC123</f>
        <v>239.99</v>
      </c>
      <c r="AI168" s="367"/>
    </row>
    <row r="169" spans="1:35">
      <c r="A169" s="27"/>
      <c r="B169" s="28"/>
      <c r="C169" s="28"/>
      <c r="D169" s="28"/>
      <c r="E169" s="21"/>
      <c r="F169" s="21"/>
      <c r="G169" s="21"/>
      <c r="H169" s="29"/>
      <c r="J169" s="27"/>
      <c r="K169" s="28"/>
      <c r="L169" s="28"/>
      <c r="M169" s="28"/>
      <c r="N169" s="21"/>
      <c r="O169" s="21"/>
      <c r="P169" s="21"/>
      <c r="Q169" s="29"/>
      <c r="S169" s="27"/>
      <c r="T169" s="28"/>
      <c r="U169" s="28"/>
      <c r="V169" s="28"/>
      <c r="W169" s="21"/>
      <c r="X169" s="21"/>
      <c r="Y169" s="21"/>
      <c r="Z169" s="29"/>
      <c r="AB169" s="27"/>
      <c r="AC169" s="28"/>
      <c r="AD169" s="28"/>
      <c r="AE169" s="28"/>
      <c r="AF169" s="21"/>
      <c r="AG169" s="21"/>
      <c r="AH169" s="21"/>
      <c r="AI169" s="29"/>
    </row>
    <row r="170" spans="1:35">
      <c r="A170" s="27"/>
      <c r="B170" s="28"/>
      <c r="C170" s="28"/>
      <c r="D170" s="28"/>
      <c r="E170" s="21">
        <v>7200</v>
      </c>
      <c r="F170" s="21"/>
      <c r="G170" s="21"/>
      <c r="H170" s="29"/>
      <c r="J170" s="27"/>
      <c r="K170" s="28"/>
      <c r="L170" s="28"/>
      <c r="M170" s="28"/>
      <c r="N170" s="21"/>
      <c r="O170" s="21"/>
      <c r="P170" s="21"/>
      <c r="Q170" s="29"/>
      <c r="S170" s="27"/>
      <c r="T170" s="28"/>
      <c r="U170" s="28"/>
      <c r="V170" s="28"/>
      <c r="W170" s="21"/>
      <c r="X170" s="21"/>
      <c r="Y170" s="21"/>
      <c r="Z170" s="29"/>
      <c r="AB170" s="27"/>
      <c r="AC170" s="28"/>
      <c r="AD170" s="28"/>
      <c r="AE170" s="28"/>
      <c r="AF170" s="21"/>
      <c r="AG170" s="21"/>
      <c r="AH170" s="21"/>
      <c r="AI170" s="29"/>
    </row>
    <row r="171" spans="1:35" ht="23.25">
      <c r="A171" s="335" t="s">
        <v>192</v>
      </c>
      <c r="B171" s="335"/>
      <c r="C171" s="335"/>
      <c r="D171" s="335"/>
      <c r="E171" s="335"/>
      <c r="F171" s="335"/>
      <c r="G171" s="335"/>
      <c r="H171" s="335"/>
      <c r="J171" s="335" t="s">
        <v>192</v>
      </c>
      <c r="K171" s="335"/>
      <c r="L171" s="335"/>
      <c r="M171" s="335"/>
      <c r="N171" s="335"/>
      <c r="O171" s="335"/>
      <c r="P171" s="335"/>
      <c r="Q171" s="335"/>
      <c r="S171" s="335" t="s">
        <v>192</v>
      </c>
      <c r="T171" s="335"/>
      <c r="U171" s="335"/>
      <c r="V171" s="335"/>
      <c r="W171" s="335"/>
      <c r="X171" s="335"/>
      <c r="Y171" s="335"/>
      <c r="Z171" s="335"/>
      <c r="AB171" s="335" t="s">
        <v>192</v>
      </c>
      <c r="AC171" s="335"/>
      <c r="AD171" s="335"/>
      <c r="AE171" s="335"/>
      <c r="AF171" s="335"/>
      <c r="AG171" s="335"/>
      <c r="AH171" s="335"/>
      <c r="AI171" s="335"/>
    </row>
    <row r="172" spans="1:35">
      <c r="A172" s="27"/>
      <c r="B172" s="28"/>
      <c r="C172" s="28"/>
      <c r="D172" s="28"/>
      <c r="E172" s="21"/>
      <c r="F172" s="21"/>
      <c r="G172" s="21"/>
      <c r="H172" s="29"/>
      <c r="J172" s="27"/>
      <c r="K172" s="28"/>
      <c r="L172" s="28"/>
      <c r="M172" s="28"/>
      <c r="N172" s="21"/>
      <c r="O172" s="21"/>
      <c r="P172" s="21"/>
      <c r="Q172" s="29"/>
      <c r="S172" s="27"/>
      <c r="T172" s="28"/>
      <c r="U172" s="28"/>
      <c r="V172" s="28"/>
      <c r="W172" s="21"/>
      <c r="X172" s="21"/>
      <c r="Y172" s="21"/>
      <c r="Z172" s="29"/>
      <c r="AB172" s="27"/>
      <c r="AC172" s="28"/>
      <c r="AD172" s="28"/>
      <c r="AE172" s="28"/>
      <c r="AF172" s="21"/>
      <c r="AG172" s="21"/>
      <c r="AH172" s="21"/>
      <c r="AI172" s="29"/>
    </row>
    <row r="173" spans="1:35">
      <c r="A173" s="27" t="s">
        <v>193</v>
      </c>
      <c r="B173" s="368">
        <v>0</v>
      </c>
      <c r="C173" s="368"/>
      <c r="D173" s="28"/>
      <c r="E173" s="21"/>
      <c r="F173" s="21"/>
      <c r="G173" s="21"/>
      <c r="H173" s="29"/>
      <c r="J173" s="27" t="s">
        <v>193</v>
      </c>
      <c r="K173" s="368">
        <v>0</v>
      </c>
      <c r="L173" s="368"/>
      <c r="M173" s="28"/>
      <c r="N173" s="21"/>
      <c r="O173" s="21"/>
      <c r="P173" s="21"/>
      <c r="Q173" s="29"/>
      <c r="S173" s="27" t="s">
        <v>193</v>
      </c>
      <c r="T173" s="368">
        <v>0</v>
      </c>
      <c r="U173" s="368"/>
      <c r="V173" s="28"/>
      <c r="W173" s="21"/>
      <c r="X173" s="21"/>
      <c r="Y173" s="21"/>
      <c r="Z173" s="29"/>
      <c r="AB173" s="27" t="s">
        <v>193</v>
      </c>
      <c r="AC173" s="368">
        <v>0</v>
      </c>
      <c r="AD173" s="368"/>
      <c r="AE173" s="28"/>
      <c r="AF173" s="21"/>
      <c r="AG173" s="21"/>
      <c r="AH173" s="21"/>
      <c r="AI173" s="29"/>
    </row>
    <row r="174" spans="1:35">
      <c r="A174" s="27"/>
      <c r="B174" s="28"/>
      <c r="C174" s="28"/>
      <c r="D174" s="28"/>
      <c r="E174" s="21"/>
      <c r="F174" s="21"/>
      <c r="G174" s="21"/>
      <c r="H174" s="29"/>
      <c r="J174" s="27"/>
      <c r="K174" s="28"/>
      <c r="L174" s="28"/>
      <c r="M174" s="28"/>
      <c r="N174" s="21"/>
      <c r="O174" s="21"/>
      <c r="P174" s="21"/>
      <c r="Q174" s="29"/>
      <c r="S174" s="27"/>
      <c r="T174" s="28"/>
      <c r="U174" s="28"/>
      <c r="V174" s="28"/>
      <c r="W174" s="21"/>
      <c r="X174" s="21"/>
      <c r="Y174" s="21"/>
      <c r="Z174" s="29"/>
      <c r="AB174" s="27"/>
      <c r="AC174" s="28"/>
      <c r="AD174" s="28"/>
      <c r="AE174" s="28"/>
      <c r="AF174" s="21"/>
      <c r="AG174" s="21"/>
      <c r="AH174" s="21"/>
      <c r="AI174" s="29"/>
    </row>
    <row r="175" spans="1:35">
      <c r="A175" s="130" t="s">
        <v>194</v>
      </c>
      <c r="B175" s="131" t="s">
        <v>195</v>
      </c>
      <c r="C175" s="131"/>
      <c r="D175" s="131"/>
      <c r="E175" s="131" t="s">
        <v>196</v>
      </c>
      <c r="F175" s="21"/>
      <c r="G175" s="21" t="s">
        <v>197</v>
      </c>
      <c r="H175" s="29"/>
      <c r="J175" s="130" t="s">
        <v>194</v>
      </c>
      <c r="K175" s="131" t="s">
        <v>195</v>
      </c>
      <c r="L175" s="131"/>
      <c r="M175" s="131"/>
      <c r="N175" s="131" t="s">
        <v>196</v>
      </c>
      <c r="O175" s="21"/>
      <c r="P175" s="21"/>
      <c r="Q175" s="29"/>
      <c r="S175" s="130" t="s">
        <v>194</v>
      </c>
      <c r="T175" s="131" t="s">
        <v>195</v>
      </c>
      <c r="U175" s="131"/>
      <c r="V175" s="131"/>
      <c r="W175" s="131" t="s">
        <v>196</v>
      </c>
      <c r="X175" s="21"/>
      <c r="Y175" s="21"/>
      <c r="Z175" s="29"/>
      <c r="AB175" s="130" t="s">
        <v>194</v>
      </c>
      <c r="AC175" s="131" t="s">
        <v>195</v>
      </c>
      <c r="AD175" s="131"/>
      <c r="AE175" s="131"/>
      <c r="AF175" s="131" t="s">
        <v>196</v>
      </c>
      <c r="AG175" s="21"/>
      <c r="AH175" s="21"/>
      <c r="AI175" s="29"/>
    </row>
    <row r="176" spans="1:35">
      <c r="A176" s="132">
        <f>B104</f>
        <v>700.4238585605882</v>
      </c>
      <c r="B176" s="133">
        <f>B103</f>
        <v>80.4375</v>
      </c>
      <c r="C176" s="131"/>
      <c r="D176" s="131"/>
      <c r="E176" s="133">
        <f>B105</f>
        <v>780.8613585605882</v>
      </c>
      <c r="F176" s="21"/>
      <c r="G176" s="21">
        <f>ROUND(G104,2)</f>
        <v>629.72</v>
      </c>
      <c r="H176" s="29"/>
      <c r="J176" s="132">
        <f>K104</f>
        <v>1522.3505950758695</v>
      </c>
      <c r="K176" s="133">
        <f>K103</f>
        <v>0</v>
      </c>
      <c r="L176" s="131"/>
      <c r="M176" s="131"/>
      <c r="N176" s="133">
        <f>K105</f>
        <v>1522.3505950758695</v>
      </c>
      <c r="O176" s="21"/>
      <c r="P176" s="21"/>
      <c r="Q176" s="29"/>
      <c r="S176" s="132">
        <f>T104</f>
        <v>750.91741561770073</v>
      </c>
      <c r="T176" s="133">
        <f>T103</f>
        <v>0</v>
      </c>
      <c r="U176" s="131"/>
      <c r="V176" s="131"/>
      <c r="W176" s="133">
        <f>T105</f>
        <v>750.91741561770073</v>
      </c>
      <c r="X176" s="21"/>
      <c r="Y176" s="21"/>
      <c r="Z176" s="29"/>
      <c r="AB176" s="132">
        <f>AC104</f>
        <v>750.91741561770073</v>
      </c>
      <c r="AC176" s="133">
        <f>AC103</f>
        <v>0</v>
      </c>
      <c r="AD176" s="131"/>
      <c r="AE176" s="131"/>
      <c r="AF176" s="133">
        <f>AC105</f>
        <v>750.91741561770073</v>
      </c>
      <c r="AG176" s="21"/>
      <c r="AH176" s="21"/>
      <c r="AI176" s="29"/>
    </row>
    <row r="177" spans="1:35">
      <c r="A177" s="27"/>
      <c r="B177" s="28"/>
      <c r="C177" s="28"/>
      <c r="D177" s="28"/>
      <c r="E177" s="21"/>
      <c r="F177" s="21"/>
      <c r="G177" s="21"/>
      <c r="H177" s="29"/>
      <c r="J177" s="27"/>
      <c r="K177" s="28"/>
      <c r="L177" s="28"/>
      <c r="M177" s="28"/>
      <c r="N177" s="21"/>
      <c r="O177" s="21"/>
      <c r="P177" s="21"/>
      <c r="Q177" s="29"/>
      <c r="S177" s="27"/>
      <c r="T177" s="28"/>
      <c r="U177" s="28"/>
      <c r="V177" s="28"/>
      <c r="W177" s="21"/>
      <c r="X177" s="21"/>
      <c r="Y177" s="21"/>
      <c r="Z177" s="29"/>
      <c r="AB177" s="27"/>
      <c r="AC177" s="28"/>
      <c r="AD177" s="28"/>
      <c r="AE177" s="28"/>
      <c r="AF177" s="21"/>
      <c r="AG177" s="21"/>
      <c r="AH177" s="21"/>
      <c r="AI177" s="29"/>
    </row>
    <row r="178" spans="1:35">
      <c r="A178" s="27" t="s">
        <v>94</v>
      </c>
      <c r="B178" s="28" t="s">
        <v>95</v>
      </c>
      <c r="C178" s="28"/>
      <c r="D178" s="21"/>
      <c r="E178" s="28" t="s">
        <v>198</v>
      </c>
      <c r="F178" s="21"/>
      <c r="G178" s="21"/>
      <c r="H178" s="29"/>
      <c r="J178" s="27" t="s">
        <v>94</v>
      </c>
      <c r="K178" s="28" t="s">
        <v>95</v>
      </c>
      <c r="L178" s="28"/>
      <c r="M178" s="21"/>
      <c r="N178" s="28" t="s">
        <v>198</v>
      </c>
      <c r="O178" s="21"/>
      <c r="P178" s="21"/>
      <c r="Q178" s="29"/>
      <c r="S178" s="27" t="s">
        <v>94</v>
      </c>
      <c r="T178" s="28" t="s">
        <v>95</v>
      </c>
      <c r="U178" s="28"/>
      <c r="V178" s="21"/>
      <c r="W178" s="28" t="s">
        <v>198</v>
      </c>
      <c r="X178" s="21"/>
      <c r="Y178" s="21"/>
      <c r="Z178" s="29"/>
      <c r="AB178" s="27" t="s">
        <v>94</v>
      </c>
      <c r="AC178" s="28" t="s">
        <v>95</v>
      </c>
      <c r="AD178" s="28"/>
      <c r="AE178" s="21"/>
      <c r="AF178" s="28" t="s">
        <v>198</v>
      </c>
      <c r="AG178" s="21"/>
      <c r="AH178" s="21"/>
      <c r="AI178" s="29"/>
    </row>
    <row r="179" spans="1:35">
      <c r="A179" s="134">
        <f>B38</f>
        <v>0</v>
      </c>
      <c r="B179" s="135">
        <f>B39</f>
        <v>0</v>
      </c>
      <c r="C179" s="136"/>
      <c r="D179" s="21"/>
      <c r="E179" s="137">
        <f>B91</f>
        <v>7200</v>
      </c>
      <c r="F179" s="21"/>
      <c r="G179" s="21"/>
      <c r="H179" s="29"/>
      <c r="J179" s="134" t="str">
        <f>K29</f>
        <v>33</v>
      </c>
      <c r="K179" s="135" t="str">
        <f>K30</f>
        <v>5000</v>
      </c>
      <c r="L179" s="136"/>
      <c r="M179" s="21"/>
      <c r="N179" s="137" t="str">
        <f>IF(A120="YES",A40,0)</f>
        <v>12</v>
      </c>
      <c r="O179" s="21"/>
      <c r="P179" s="21"/>
      <c r="Q179" s="29"/>
      <c r="S179" s="134" t="str">
        <f>K29</f>
        <v>33</v>
      </c>
      <c r="T179" s="135" t="str">
        <f>K30</f>
        <v>5000</v>
      </c>
      <c r="U179" s="136"/>
      <c r="V179" s="21"/>
      <c r="W179" s="137" t="str">
        <f>IF(A120="YES",A40,0)</f>
        <v>12</v>
      </c>
      <c r="X179" s="21"/>
      <c r="Y179" s="21"/>
      <c r="Z179" s="29"/>
      <c r="AB179" s="134" t="str">
        <f>K29</f>
        <v>33</v>
      </c>
      <c r="AC179" s="135" t="str">
        <f>K30</f>
        <v>5000</v>
      </c>
      <c r="AD179" s="136"/>
      <c r="AE179" s="21"/>
      <c r="AF179" s="137" t="str">
        <f>IF(A120="YES",A40,0)</f>
        <v>12</v>
      </c>
      <c r="AG179" s="21"/>
      <c r="AH179" s="21"/>
      <c r="AI179" s="29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199</v>
      </c>
      <c r="B181" s="28" t="s">
        <v>200</v>
      </c>
      <c r="C181" s="28"/>
      <c r="D181" s="21"/>
      <c r="E181" s="28" t="s">
        <v>201</v>
      </c>
      <c r="F181" s="21"/>
      <c r="G181" s="21"/>
      <c r="H181" s="29"/>
      <c r="J181" s="27" t="s">
        <v>199</v>
      </c>
      <c r="K181" s="28" t="s">
        <v>200</v>
      </c>
      <c r="L181" s="28"/>
      <c r="M181" s="21"/>
      <c r="N181" s="28" t="s">
        <v>201</v>
      </c>
      <c r="O181" s="21"/>
      <c r="P181" s="21"/>
      <c r="Q181" s="29"/>
      <c r="S181" s="27" t="s">
        <v>199</v>
      </c>
      <c r="T181" s="28" t="s">
        <v>200</v>
      </c>
      <c r="U181" s="28"/>
      <c r="V181" s="21"/>
      <c r="W181" s="28" t="s">
        <v>201</v>
      </c>
      <c r="X181" s="21"/>
      <c r="Y181" s="21"/>
      <c r="Z181" s="29"/>
      <c r="AB181" s="27" t="s">
        <v>199</v>
      </c>
      <c r="AC181" s="28" t="s">
        <v>200</v>
      </c>
      <c r="AD181" s="28"/>
      <c r="AE181" s="21"/>
      <c r="AF181" s="28" t="s">
        <v>201</v>
      </c>
      <c r="AG181" s="21"/>
      <c r="AH181" s="21"/>
      <c r="AI181" s="29"/>
    </row>
    <row r="182" spans="1:35">
      <c r="A182" s="138">
        <f>H150-H146-H148-H149</f>
        <v>20950</v>
      </c>
      <c r="B182" s="34">
        <f>H146</f>
        <v>4190</v>
      </c>
      <c r="C182" s="38"/>
      <c r="D182" s="21"/>
      <c r="E182" s="137">
        <f>H148+H149</f>
        <v>340</v>
      </c>
      <c r="F182" s="21"/>
      <c r="G182" s="21"/>
      <c r="H182" s="29"/>
      <c r="J182" s="138">
        <f>Q150-Q146-Q148-Q149</f>
        <v>29324.170000000002</v>
      </c>
      <c r="K182" s="34">
        <f>Q146</f>
        <v>5864.8339999999998</v>
      </c>
      <c r="L182" s="38"/>
      <c r="M182" s="21"/>
      <c r="N182" s="137">
        <f>Q148+Q149</f>
        <v>330</v>
      </c>
      <c r="O182" s="21"/>
      <c r="P182" s="21"/>
      <c r="Q182" s="29"/>
      <c r="S182" s="138">
        <f>Z150-Z146-Z148-Z149</f>
        <v>15886.25</v>
      </c>
      <c r="T182" s="34">
        <f>Z146</f>
        <v>3177.25</v>
      </c>
      <c r="U182" s="38"/>
      <c r="V182" s="21"/>
      <c r="W182" s="137">
        <f>Z148+Z149</f>
        <v>330</v>
      </c>
      <c r="X182" s="21"/>
      <c r="Y182" s="21"/>
      <c r="Z182" s="29"/>
      <c r="AB182" s="138">
        <f>AI150-AI146-AI148-AI149</f>
        <v>15886.25</v>
      </c>
      <c r="AC182" s="34">
        <f>AI146</f>
        <v>3177.25</v>
      </c>
      <c r="AD182" s="38"/>
      <c r="AE182" s="21"/>
      <c r="AF182" s="137">
        <f>AI148+AI149</f>
        <v>330</v>
      </c>
      <c r="AG182" s="21"/>
      <c r="AH182" s="21"/>
      <c r="AI182" s="29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202</v>
      </c>
      <c r="B184" s="28" t="s">
        <v>148</v>
      </c>
      <c r="C184" s="28"/>
      <c r="D184" s="21"/>
      <c r="E184" s="28" t="s">
        <v>149</v>
      </c>
      <c r="F184" s="21"/>
      <c r="G184" s="21"/>
      <c r="H184" s="29"/>
      <c r="J184" s="27" t="s">
        <v>202</v>
      </c>
      <c r="K184" s="28" t="s">
        <v>148</v>
      </c>
      <c r="L184" s="28"/>
      <c r="M184" s="21"/>
      <c r="N184" s="28" t="s">
        <v>149</v>
      </c>
      <c r="O184" s="21"/>
      <c r="P184" s="21"/>
      <c r="Q184" s="29"/>
      <c r="S184" s="27" t="s">
        <v>202</v>
      </c>
      <c r="T184" s="28" t="s">
        <v>148</v>
      </c>
      <c r="U184" s="28"/>
      <c r="V184" s="21"/>
      <c r="W184" s="28" t="s">
        <v>149</v>
      </c>
      <c r="X184" s="21"/>
      <c r="Y184" s="21"/>
      <c r="Z184" s="29"/>
      <c r="AB184" s="27" t="s">
        <v>202</v>
      </c>
      <c r="AC184" s="28" t="s">
        <v>148</v>
      </c>
      <c r="AD184" s="28"/>
      <c r="AE184" s="21"/>
      <c r="AF184" s="28" t="s">
        <v>149</v>
      </c>
      <c r="AG184" s="21"/>
      <c r="AH184" s="21"/>
      <c r="AI184" s="29"/>
    </row>
    <row r="185" spans="1:35">
      <c r="A185" s="138">
        <f>H150</f>
        <v>25480</v>
      </c>
      <c r="B185" s="34">
        <f>B120</f>
        <v>0</v>
      </c>
      <c r="C185" s="34"/>
      <c r="D185" s="21"/>
      <c r="E185" s="34">
        <f>E120</f>
        <v>0</v>
      </c>
      <c r="F185" s="21"/>
      <c r="G185" s="21"/>
      <c r="H185" s="90"/>
      <c r="J185" s="138">
        <f>Q150</f>
        <v>35519.004000000001</v>
      </c>
      <c r="K185" s="34">
        <f>K120</f>
        <v>1000</v>
      </c>
      <c r="L185" s="34"/>
      <c r="M185" s="21"/>
      <c r="N185" s="34">
        <f>N120</f>
        <v>0</v>
      </c>
      <c r="O185" s="21"/>
      <c r="P185" s="21"/>
      <c r="Q185" s="90"/>
      <c r="S185" s="138">
        <f>Z150</f>
        <v>19393.5</v>
      </c>
      <c r="T185" s="34">
        <f>T120</f>
        <v>1000</v>
      </c>
      <c r="U185" s="34"/>
      <c r="V185" s="21"/>
      <c r="W185" s="34">
        <f>W120</f>
        <v>0</v>
      </c>
      <c r="X185" s="21"/>
      <c r="Y185" s="21"/>
      <c r="Z185" s="90"/>
      <c r="AB185" s="138">
        <f>AI150</f>
        <v>19393.5</v>
      </c>
      <c r="AC185" s="34">
        <f>AC120</f>
        <v>1000</v>
      </c>
      <c r="AD185" s="34"/>
      <c r="AE185" s="21"/>
      <c r="AF185" s="34">
        <f>AF120</f>
        <v>0</v>
      </c>
      <c r="AG185" s="21"/>
      <c r="AH185" s="21"/>
      <c r="AI185" s="90"/>
    </row>
    <row r="186" spans="1:35">
      <c r="A186" s="27"/>
      <c r="B186" s="28"/>
      <c r="C186" s="28"/>
      <c r="D186" s="21"/>
      <c r="E186" s="28"/>
      <c r="F186" s="21"/>
      <c r="G186" s="21"/>
      <c r="H186" s="29"/>
      <c r="J186" s="27"/>
      <c r="K186" s="28"/>
      <c r="L186" s="28"/>
      <c r="M186" s="21"/>
      <c r="N186" s="28"/>
      <c r="O186" s="21"/>
      <c r="P186" s="21"/>
      <c r="Q186" s="29"/>
      <c r="S186" s="27"/>
      <c r="T186" s="28"/>
      <c r="U186" s="28"/>
      <c r="V186" s="21"/>
      <c r="W186" s="28"/>
      <c r="X186" s="21"/>
      <c r="Y186" s="21"/>
      <c r="Z186" s="29"/>
      <c r="AB186" s="27"/>
      <c r="AC186" s="28"/>
      <c r="AD186" s="28"/>
      <c r="AE186" s="21"/>
      <c r="AF186" s="28"/>
      <c r="AG186" s="21"/>
      <c r="AH186" s="21"/>
      <c r="AI186" s="29"/>
    </row>
    <row r="187" spans="1:35">
      <c r="A187" s="27" t="s">
        <v>150</v>
      </c>
      <c r="B187" s="28" t="s">
        <v>185</v>
      </c>
      <c r="C187" s="28"/>
      <c r="D187" s="21"/>
      <c r="E187" s="28" t="s">
        <v>191</v>
      </c>
      <c r="F187" s="21"/>
      <c r="G187" s="21"/>
      <c r="H187" s="29"/>
      <c r="J187" s="27" t="s">
        <v>150</v>
      </c>
      <c r="K187" s="28" t="s">
        <v>185</v>
      </c>
      <c r="L187" s="28"/>
      <c r="M187" s="21"/>
      <c r="N187" s="28" t="s">
        <v>191</v>
      </c>
      <c r="O187" s="21"/>
      <c r="P187" s="21"/>
      <c r="Q187" s="29"/>
      <c r="S187" s="27" t="s">
        <v>150</v>
      </c>
      <c r="T187" s="28" t="s">
        <v>185</v>
      </c>
      <c r="U187" s="28"/>
      <c r="V187" s="21"/>
      <c r="W187" s="28" t="s">
        <v>191</v>
      </c>
      <c r="X187" s="21"/>
      <c r="Y187" s="21"/>
      <c r="Z187" s="29"/>
      <c r="AB187" s="27" t="s">
        <v>150</v>
      </c>
      <c r="AC187" s="28" t="s">
        <v>185</v>
      </c>
      <c r="AD187" s="28"/>
      <c r="AE187" s="21"/>
      <c r="AF187" s="28" t="s">
        <v>191</v>
      </c>
      <c r="AG187" s="21"/>
      <c r="AH187" s="21"/>
      <c r="AI187" s="29"/>
    </row>
    <row r="188" spans="1:35">
      <c r="A188" s="94">
        <f>B185+E185</f>
        <v>0</v>
      </c>
      <c r="B188" s="34">
        <f>G163</f>
        <v>0</v>
      </c>
      <c r="C188" s="34"/>
      <c r="D188" s="21"/>
      <c r="E188" s="34">
        <f>G167</f>
        <v>26580</v>
      </c>
      <c r="F188" s="21"/>
      <c r="G188" s="21"/>
      <c r="H188" s="90"/>
      <c r="J188" s="94">
        <f>K185+N185</f>
        <v>1000</v>
      </c>
      <c r="K188" s="34">
        <f>P163</f>
        <v>-2000</v>
      </c>
      <c r="L188" s="34"/>
      <c r="M188" s="21"/>
      <c r="N188" s="34">
        <f>J185-J188-K188</f>
        <v>36519.004000000001</v>
      </c>
      <c r="O188" s="21"/>
      <c r="P188" s="21"/>
      <c r="Q188" s="90"/>
      <c r="S188" s="94">
        <f>T185+W185</f>
        <v>1000</v>
      </c>
      <c r="T188" s="34">
        <f>Y163</f>
        <v>-2000</v>
      </c>
      <c r="U188" s="34"/>
      <c r="V188" s="21"/>
      <c r="W188" s="34">
        <f>S185-S188-T188</f>
        <v>20393.5</v>
      </c>
      <c r="X188" s="21"/>
      <c r="Y188" s="21"/>
      <c r="Z188" s="90"/>
      <c r="AB188" s="94">
        <f>AC185+AF185</f>
        <v>1000</v>
      </c>
      <c r="AC188" s="34">
        <f>AH163</f>
        <v>-2000</v>
      </c>
      <c r="AD188" s="34"/>
      <c r="AE188" s="21"/>
      <c r="AF188" s="34">
        <f>AB185-AB188-AC188</f>
        <v>20393.5</v>
      </c>
      <c r="AG188" s="21"/>
      <c r="AH188" s="21"/>
      <c r="AI188" s="90"/>
    </row>
    <row r="189" spans="1:35">
      <c r="A189" s="27"/>
      <c r="B189" s="28"/>
      <c r="C189" s="28"/>
      <c r="D189" s="21"/>
      <c r="E189" s="28"/>
      <c r="F189" s="21"/>
      <c r="G189" s="21"/>
      <c r="H189" s="29"/>
      <c r="J189" s="27"/>
      <c r="K189" s="28"/>
      <c r="L189" s="28"/>
      <c r="M189" s="21"/>
      <c r="N189" s="28"/>
      <c r="O189" s="21"/>
      <c r="P189" s="21"/>
      <c r="Q189" s="29"/>
      <c r="S189" s="27"/>
      <c r="T189" s="28"/>
      <c r="U189" s="28"/>
      <c r="V189" s="21"/>
      <c r="W189" s="28"/>
      <c r="X189" s="21"/>
      <c r="Y189" s="21"/>
      <c r="Z189" s="29"/>
      <c r="AB189" s="27"/>
      <c r="AC189" s="28"/>
      <c r="AD189" s="28"/>
      <c r="AE189" s="21"/>
      <c r="AF189" s="28"/>
      <c r="AG189" s="21"/>
      <c r="AH189" s="21"/>
      <c r="AI189" s="29"/>
    </row>
    <row r="190" spans="1:35">
      <c r="A190" s="27" t="s">
        <v>203</v>
      </c>
      <c r="B190" s="28" t="s">
        <v>66</v>
      </c>
      <c r="C190" s="28"/>
      <c r="D190" s="21"/>
      <c r="E190" s="28" t="s">
        <v>204</v>
      </c>
      <c r="F190" s="21"/>
      <c r="G190" s="21"/>
      <c r="H190" s="29"/>
      <c r="J190" s="27" t="s">
        <v>203</v>
      </c>
      <c r="K190" s="28" t="s">
        <v>66</v>
      </c>
      <c r="L190" s="28"/>
      <c r="M190" s="21"/>
      <c r="N190" s="28" t="s">
        <v>204</v>
      </c>
      <c r="O190" s="21"/>
      <c r="P190" s="21"/>
      <c r="Q190" s="29"/>
      <c r="S190" s="27" t="s">
        <v>203</v>
      </c>
      <c r="T190" s="28" t="s">
        <v>66</v>
      </c>
      <c r="U190" s="28"/>
      <c r="V190" s="21"/>
      <c r="W190" s="28" t="s">
        <v>204</v>
      </c>
      <c r="X190" s="21"/>
      <c r="Y190" s="21"/>
      <c r="Z190" s="29"/>
      <c r="AB190" s="27" t="s">
        <v>203</v>
      </c>
      <c r="AC190" s="28" t="s">
        <v>66</v>
      </c>
      <c r="AD190" s="28"/>
      <c r="AE190" s="21"/>
      <c r="AF190" s="28" t="s">
        <v>204</v>
      </c>
      <c r="AG190" s="21"/>
      <c r="AH190" s="21"/>
      <c r="AI190" s="29"/>
    </row>
    <row r="191" spans="1:35">
      <c r="A191" s="94">
        <f>(A176*B68)+E194-E188-A194</f>
        <v>3033.5634739388224</v>
      </c>
      <c r="B191" s="34">
        <f>B123</f>
        <v>1000</v>
      </c>
      <c r="C191" s="34"/>
      <c r="D191" s="21"/>
      <c r="E191" s="34">
        <f>E188+A191+B191+A194</f>
        <v>30623.563473938822</v>
      </c>
      <c r="F191" s="21"/>
      <c r="G191" s="21"/>
      <c r="H191" s="90"/>
      <c r="J191" s="94">
        <f>(J176*K68)+N194-N188-J194</f>
        <v>12208.215042427822</v>
      </c>
      <c r="K191" s="34">
        <f>K123</f>
        <v>239.99</v>
      </c>
      <c r="L191" s="34"/>
      <c r="M191" s="21"/>
      <c r="N191" s="34">
        <f>N188+J191+K191+J194</f>
        <v>48987.209042427821</v>
      </c>
      <c r="O191" s="21"/>
      <c r="P191" s="21"/>
      <c r="Q191" s="90"/>
      <c r="S191" s="94">
        <f>(S176*T68)+W194-W188-S194</f>
        <v>3647.8572997664232</v>
      </c>
      <c r="T191" s="34">
        <f>T123</f>
        <v>199.99</v>
      </c>
      <c r="U191" s="34"/>
      <c r="V191" s="21"/>
      <c r="W191" s="34">
        <f>W188+S191+T191+S194</f>
        <v>24251.347299766425</v>
      </c>
      <c r="X191" s="21"/>
      <c r="Y191" s="21"/>
      <c r="Z191" s="90"/>
      <c r="AB191" s="94">
        <f>(AB176*AC68)+AF194-AF188-AB194</f>
        <v>3647.8572997664232</v>
      </c>
      <c r="AC191" s="34">
        <f>AC123</f>
        <v>239.99</v>
      </c>
      <c r="AD191" s="34"/>
      <c r="AE191" s="21"/>
      <c r="AF191" s="34">
        <f>AF188+AB191+AC191+AB194</f>
        <v>24291.347299766425</v>
      </c>
      <c r="AG191" s="21"/>
      <c r="AH191" s="21"/>
      <c r="AI191" s="90"/>
    </row>
    <row r="192" spans="1:35">
      <c r="A192" s="27"/>
      <c r="B192" s="28"/>
      <c r="C192" s="28"/>
      <c r="D192" s="21"/>
      <c r="E192" s="28"/>
      <c r="F192" s="21"/>
      <c r="G192" s="21"/>
      <c r="H192" s="29"/>
      <c r="J192" s="27"/>
      <c r="K192" s="28"/>
      <c r="L192" s="28"/>
      <c r="M192" s="21"/>
      <c r="N192" s="28"/>
      <c r="O192" s="21"/>
      <c r="P192" s="21"/>
      <c r="Q192" s="29"/>
      <c r="S192" s="27"/>
      <c r="T192" s="28"/>
      <c r="U192" s="28"/>
      <c r="V192" s="21"/>
      <c r="W192" s="28"/>
      <c r="X192" s="21"/>
      <c r="Y192" s="21"/>
      <c r="Z192" s="29"/>
      <c r="AB192" s="27"/>
      <c r="AC192" s="28"/>
      <c r="AD192" s="28"/>
      <c r="AE192" s="21"/>
      <c r="AF192" s="28"/>
      <c r="AG192" s="21"/>
      <c r="AH192" s="21"/>
      <c r="AI192" s="29"/>
    </row>
    <row r="193" spans="1:35">
      <c r="A193" s="27" t="s">
        <v>205</v>
      </c>
      <c r="B193" s="28" t="s">
        <v>206</v>
      </c>
      <c r="C193" s="28"/>
      <c r="D193" s="21"/>
      <c r="E193" s="28" t="s">
        <v>207</v>
      </c>
      <c r="F193" s="21"/>
      <c r="G193" s="21"/>
      <c r="H193" s="29"/>
      <c r="J193" s="27" t="s">
        <v>205</v>
      </c>
      <c r="K193" s="28" t="s">
        <v>206</v>
      </c>
      <c r="L193" s="28"/>
      <c r="M193" s="21"/>
      <c r="N193" s="28" t="s">
        <v>207</v>
      </c>
      <c r="O193" s="21"/>
      <c r="P193" s="21"/>
      <c r="Q193" s="29"/>
      <c r="S193" s="27" t="s">
        <v>205</v>
      </c>
      <c r="T193" s="28" t="s">
        <v>206</v>
      </c>
      <c r="U193" s="28"/>
      <c r="V193" s="21"/>
      <c r="W193" s="28" t="s">
        <v>207</v>
      </c>
      <c r="X193" s="21"/>
      <c r="Y193" s="21"/>
      <c r="Z193" s="29"/>
      <c r="AB193" s="27" t="s">
        <v>205</v>
      </c>
      <c r="AC193" s="28" t="s">
        <v>206</v>
      </c>
      <c r="AD193" s="28"/>
      <c r="AE193" s="21"/>
      <c r="AF193" s="28" t="s">
        <v>207</v>
      </c>
      <c r="AG193" s="21"/>
      <c r="AH193" s="21"/>
      <c r="AI193" s="29"/>
    </row>
    <row r="194" spans="1:35">
      <c r="A194" s="94">
        <f>B69</f>
        <v>10</v>
      </c>
      <c r="B194" s="34">
        <f>A188+B191</f>
        <v>1000</v>
      </c>
      <c r="C194" s="34"/>
      <c r="D194" s="21"/>
      <c r="E194" s="34">
        <f>IF( E179=0, A194+E176, E179+A194)</f>
        <v>7210</v>
      </c>
      <c r="F194" s="21"/>
      <c r="G194" s="21"/>
      <c r="H194" s="90"/>
      <c r="J194" s="94">
        <f>K69</f>
        <v>20</v>
      </c>
      <c r="K194" s="34">
        <f>J188+K191</f>
        <v>1239.99</v>
      </c>
      <c r="L194" s="34"/>
      <c r="M194" s="21"/>
      <c r="N194" s="34">
        <f>N179+J194</f>
        <v>32</v>
      </c>
      <c r="O194" s="21"/>
      <c r="P194" s="21"/>
      <c r="Q194" s="90"/>
      <c r="S194" s="94">
        <f>T69</f>
        <v>10</v>
      </c>
      <c r="T194" s="34">
        <f>S188+T191</f>
        <v>1199.99</v>
      </c>
      <c r="U194" s="34"/>
      <c r="V194" s="21"/>
      <c r="W194" s="34">
        <f>W179+S194</f>
        <v>22</v>
      </c>
      <c r="X194" s="21"/>
      <c r="Y194" s="21"/>
      <c r="Z194" s="90"/>
      <c r="AB194" s="94">
        <f>AC69</f>
        <v>10</v>
      </c>
      <c r="AC194" s="34">
        <f>AB188+AC191</f>
        <v>1239.99</v>
      </c>
      <c r="AD194" s="34"/>
      <c r="AE194" s="21"/>
      <c r="AF194" s="34">
        <f>AF179+AB194</f>
        <v>22</v>
      </c>
      <c r="AG194" s="21"/>
      <c r="AH194" s="21"/>
      <c r="AI194" s="90"/>
    </row>
    <row r="195" spans="1:35">
      <c r="A195" s="27"/>
      <c r="B195" s="28"/>
      <c r="C195" s="28"/>
      <c r="D195" s="28"/>
      <c r="E195" s="21"/>
      <c r="F195" s="21"/>
      <c r="G195" s="21"/>
      <c r="H195" s="29"/>
      <c r="J195" s="27"/>
      <c r="K195" s="28"/>
      <c r="L195" s="28"/>
      <c r="M195" s="28"/>
      <c r="N195" s="21"/>
      <c r="O195" s="21"/>
      <c r="P195" s="21"/>
      <c r="Q195" s="29"/>
      <c r="S195" s="27"/>
      <c r="T195" s="28"/>
      <c r="U195" s="28"/>
      <c r="V195" s="28"/>
      <c r="W195" s="21"/>
      <c r="X195" s="28"/>
      <c r="Y195" s="28"/>
      <c r="Z195" s="29"/>
      <c r="AB195" s="27"/>
      <c r="AC195" s="28"/>
      <c r="AD195" s="28"/>
      <c r="AE195" s="28"/>
      <c r="AF195" s="21"/>
      <c r="AG195" s="21"/>
      <c r="AH195" s="21"/>
      <c r="AI195" s="29"/>
    </row>
    <row r="196" spans="1:35">
      <c r="A196" s="27" t="s">
        <v>208</v>
      </c>
      <c r="B196" s="28" t="s">
        <v>209</v>
      </c>
      <c r="C196" s="28"/>
      <c r="D196" s="28"/>
      <c r="E196" s="35" t="s">
        <v>210</v>
      </c>
      <c r="F196" s="21"/>
      <c r="G196" s="21"/>
      <c r="H196" s="29"/>
      <c r="J196" s="27" t="s">
        <v>208</v>
      </c>
      <c r="K196" s="28" t="s">
        <v>209</v>
      </c>
      <c r="L196" s="28"/>
      <c r="M196" s="28"/>
      <c r="N196" s="35" t="s">
        <v>210</v>
      </c>
      <c r="O196" s="21"/>
      <c r="P196" s="21"/>
      <c r="Q196" s="29"/>
      <c r="S196" s="27" t="s">
        <v>208</v>
      </c>
      <c r="T196" s="28" t="s">
        <v>209</v>
      </c>
      <c r="U196" s="28"/>
      <c r="V196" s="28"/>
      <c r="W196" s="35" t="s">
        <v>210</v>
      </c>
      <c r="X196" s="28"/>
      <c r="Y196" s="28"/>
      <c r="Z196" s="29"/>
      <c r="AB196" s="27" t="s">
        <v>208</v>
      </c>
      <c r="AC196" s="28" t="s">
        <v>209</v>
      </c>
      <c r="AD196" s="28"/>
      <c r="AE196" s="28"/>
      <c r="AF196" s="35" t="s">
        <v>210</v>
      </c>
      <c r="AG196" s="28"/>
      <c r="AH196" s="28"/>
      <c r="AI196" s="29"/>
    </row>
    <row r="197" spans="1:35">
      <c r="A197" s="94">
        <f>J18*0.000002*100*1.2</f>
        <v>6.033599999999999</v>
      </c>
      <c r="B197" s="34">
        <f>(G167*B76)</f>
        <v>797.4</v>
      </c>
      <c r="C197" s="28"/>
      <c r="D197" s="28"/>
      <c r="E197" s="34">
        <f>IF(E114="YES",(K55*A117*0.1),0)</f>
        <v>49.5</v>
      </c>
      <c r="F197" s="21"/>
      <c r="G197" s="21"/>
      <c r="H197" s="29"/>
      <c r="J197" s="94">
        <f>IF(N114="YES",H15*0.000002,0)</f>
        <v>5.0959999999999998E-2</v>
      </c>
      <c r="K197" s="34">
        <f>(P167*K76)/1.2</f>
        <v>2187.336177083334</v>
      </c>
      <c r="L197" s="28"/>
      <c r="M197" s="28"/>
      <c r="N197" s="34">
        <f>(E40*J117)*0.1</f>
        <v>0</v>
      </c>
      <c r="O197" s="21"/>
      <c r="P197" s="21"/>
      <c r="Q197" s="29"/>
      <c r="S197" s="94">
        <f>IF(W114="YES",Z15*0.000002,0)</f>
        <v>0</v>
      </c>
      <c r="T197" s="34">
        <f>(Y167*T76)/1.2</f>
        <v>159.32421875000003</v>
      </c>
      <c r="U197" s="28"/>
      <c r="V197" s="28"/>
      <c r="W197" s="34">
        <f>(E40*S117)*0.1</f>
        <v>0</v>
      </c>
      <c r="X197" s="28"/>
      <c r="Y197" s="28"/>
      <c r="Z197" s="29"/>
      <c r="AB197" s="94">
        <f>IF(AF114="YES",AI15*0.000002,0)</f>
        <v>0</v>
      </c>
      <c r="AC197" s="34">
        <f>(AH167*AC76)/1.2</f>
        <v>159.32421875000003</v>
      </c>
      <c r="AD197" s="28"/>
      <c r="AE197" s="28"/>
      <c r="AF197" s="34">
        <f>(E40*AB117)*0.1</f>
        <v>0</v>
      </c>
      <c r="AG197" s="28"/>
      <c r="AH197" s="28"/>
      <c r="AI197" s="29"/>
    </row>
    <row r="198" spans="1:35">
      <c r="A198" s="94"/>
      <c r="B198" s="34"/>
      <c r="C198" s="28"/>
      <c r="D198" s="28"/>
      <c r="E198" s="21"/>
      <c r="F198" s="21"/>
      <c r="G198" s="21"/>
      <c r="H198" s="29"/>
      <c r="J198" s="94"/>
      <c r="K198" s="34"/>
      <c r="L198" s="28"/>
      <c r="M198" s="28"/>
      <c r="N198" s="21"/>
      <c r="O198" s="21"/>
      <c r="P198" s="21"/>
      <c r="Q198" s="29"/>
      <c r="S198" s="94"/>
      <c r="T198" s="34"/>
      <c r="U198" s="28"/>
      <c r="V198" s="28"/>
      <c r="W198" s="21"/>
      <c r="X198" s="28"/>
      <c r="Y198" s="28"/>
      <c r="Z198" s="29"/>
      <c r="AB198" s="94"/>
      <c r="AC198" s="34"/>
      <c r="AD198" s="28"/>
      <c r="AE198" s="28"/>
      <c r="AF198" s="21"/>
      <c r="AG198" s="28"/>
      <c r="AH198" s="28"/>
      <c r="AI198" s="29"/>
    </row>
    <row r="199" spans="1:35">
      <c r="A199" s="53" t="s">
        <v>211</v>
      </c>
      <c r="B199" s="35" t="s">
        <v>212</v>
      </c>
      <c r="C199" s="28"/>
      <c r="D199" s="28"/>
      <c r="E199" s="35" t="s">
        <v>213</v>
      </c>
      <c r="F199" s="21"/>
      <c r="G199" s="21"/>
      <c r="H199" s="29"/>
      <c r="J199" s="53" t="s">
        <v>211</v>
      </c>
      <c r="K199" s="35" t="s">
        <v>212</v>
      </c>
      <c r="L199" s="28"/>
      <c r="M199" s="28"/>
      <c r="N199" s="35" t="s">
        <v>213</v>
      </c>
      <c r="O199" s="21"/>
      <c r="P199" s="21"/>
      <c r="Q199" s="29"/>
      <c r="S199" s="53" t="s">
        <v>211</v>
      </c>
      <c r="T199" s="35" t="s">
        <v>212</v>
      </c>
      <c r="U199" s="28"/>
      <c r="V199" s="28"/>
      <c r="W199" s="35" t="s">
        <v>213</v>
      </c>
      <c r="X199" s="28"/>
      <c r="Y199" s="28"/>
      <c r="Z199" s="29"/>
      <c r="AB199" s="53" t="s">
        <v>211</v>
      </c>
      <c r="AC199" s="35" t="s">
        <v>212</v>
      </c>
      <c r="AD199" s="28"/>
      <c r="AE199" s="28"/>
      <c r="AF199" s="35" t="s">
        <v>213</v>
      </c>
      <c r="AG199" s="28"/>
      <c r="AH199" s="28"/>
      <c r="AI199" s="29"/>
    </row>
    <row r="200" spans="1:35">
      <c r="A200" s="94">
        <v>10</v>
      </c>
      <c r="B200" s="34">
        <f>B197+E197+A200</f>
        <v>856.9</v>
      </c>
      <c r="C200" s="28"/>
      <c r="D200" s="28"/>
      <c r="E200" s="34">
        <f>H157</f>
        <v>0</v>
      </c>
      <c r="F200" s="21"/>
      <c r="G200" s="21"/>
      <c r="H200" s="29"/>
      <c r="J200" s="94">
        <f>K194-100</f>
        <v>1139.99</v>
      </c>
      <c r="K200" s="34">
        <f>K197+N197+J200</f>
        <v>3327.3261770833342</v>
      </c>
      <c r="L200" s="28"/>
      <c r="M200" s="28"/>
      <c r="N200" s="34">
        <f>Q157</f>
        <v>10039.004000000001</v>
      </c>
      <c r="O200" s="21"/>
      <c r="P200" s="21"/>
      <c r="Q200" s="29"/>
      <c r="S200" s="94">
        <f>T194-100</f>
        <v>1099.99</v>
      </c>
      <c r="T200" s="34">
        <f>T197+W197+S200</f>
        <v>1259.31421875</v>
      </c>
      <c r="U200" s="28"/>
      <c r="V200" s="28"/>
      <c r="W200" s="34">
        <f>Z157</f>
        <v>-6086.5</v>
      </c>
      <c r="X200" s="28"/>
      <c r="Y200" s="28"/>
      <c r="Z200" s="29"/>
      <c r="AB200" s="94">
        <f>AC194-100</f>
        <v>1139.99</v>
      </c>
      <c r="AC200" s="34">
        <f>AC197+AF197+AB200</f>
        <v>1299.31421875</v>
      </c>
      <c r="AD200" s="28"/>
      <c r="AE200" s="28"/>
      <c r="AF200" s="34">
        <f>AI157</f>
        <v>-6086.5</v>
      </c>
      <c r="AG200" s="28"/>
      <c r="AH200" s="28"/>
      <c r="AI200" s="29"/>
    </row>
    <row r="201" spans="1:35">
      <c r="A201" s="27"/>
      <c r="B201" s="28"/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58" t="s">
        <v>214</v>
      </c>
      <c r="B202" s="28"/>
      <c r="C202" s="28"/>
      <c r="D202" s="59"/>
      <c r="E202" s="59"/>
      <c r="F202" s="59"/>
      <c r="G202" s="59"/>
      <c r="H202" s="60"/>
      <c r="J202" s="58" t="s">
        <v>214</v>
      </c>
      <c r="K202" s="28"/>
      <c r="L202" s="28"/>
      <c r="M202" s="59"/>
      <c r="N202" s="59"/>
      <c r="O202" s="59"/>
      <c r="P202" s="59"/>
      <c r="Q202" s="60"/>
      <c r="S202" s="58" t="s">
        <v>214</v>
      </c>
      <c r="T202" s="28"/>
      <c r="U202" s="28"/>
      <c r="V202" s="59"/>
      <c r="W202" s="59"/>
      <c r="X202" s="59"/>
      <c r="Y202" s="59"/>
      <c r="Z202" s="60"/>
      <c r="AB202" s="58" t="s">
        <v>214</v>
      </c>
      <c r="AC202" s="28"/>
      <c r="AD202" s="28"/>
      <c r="AE202" s="59"/>
      <c r="AF202" s="59"/>
      <c r="AG202" s="59"/>
      <c r="AH202" s="59"/>
      <c r="AI202" s="60"/>
    </row>
    <row r="203" spans="1:35">
      <c r="A203" s="27"/>
      <c r="B203" s="61"/>
      <c r="C203" s="61"/>
      <c r="D203" s="28"/>
      <c r="E203" s="21"/>
      <c r="F203" s="21"/>
      <c r="G203" s="21"/>
      <c r="H203" s="29"/>
      <c r="J203" s="27"/>
      <c r="K203" s="61"/>
      <c r="L203" s="61"/>
      <c r="M203" s="28"/>
      <c r="N203" s="21"/>
      <c r="O203" s="21"/>
      <c r="P203" s="21"/>
      <c r="Q203" s="29"/>
      <c r="S203" s="27"/>
      <c r="T203" s="61"/>
      <c r="U203" s="61"/>
      <c r="V203" s="28"/>
      <c r="W203" s="21"/>
      <c r="X203" s="21"/>
      <c r="Y203" s="21"/>
      <c r="Z203" s="29"/>
      <c r="AB203" s="27"/>
      <c r="AC203" s="61"/>
      <c r="AD203" s="61"/>
      <c r="AE203" s="28"/>
      <c r="AF203" s="21"/>
      <c r="AG203" s="21"/>
      <c r="AH203" s="21"/>
      <c r="AI203" s="29"/>
    </row>
    <row r="204" spans="1:35" ht="21">
      <c r="A204" s="369" t="s">
        <v>94</v>
      </c>
      <c r="B204" s="341" t="s">
        <v>95</v>
      </c>
      <c r="C204" s="341"/>
      <c r="D204" s="341"/>
      <c r="E204" s="21"/>
      <c r="F204" s="21"/>
      <c r="G204" s="21"/>
      <c r="H204" s="29"/>
      <c r="J204" s="369" t="s">
        <v>94</v>
      </c>
      <c r="K204" s="370" t="s">
        <v>95</v>
      </c>
      <c r="L204" s="370"/>
      <c r="M204" s="370"/>
      <c r="N204" s="21"/>
      <c r="O204" s="21"/>
      <c r="P204" s="21"/>
      <c r="Q204" s="29"/>
      <c r="S204" s="369" t="s">
        <v>94</v>
      </c>
      <c r="T204" s="341" t="s">
        <v>95</v>
      </c>
      <c r="U204" s="341"/>
      <c r="V204" s="341"/>
      <c r="W204" s="21"/>
      <c r="X204" s="21"/>
      <c r="Y204" s="21"/>
      <c r="Z204" s="29"/>
      <c r="AB204" s="369" t="s">
        <v>94</v>
      </c>
      <c r="AC204" s="341" t="s">
        <v>95</v>
      </c>
      <c r="AD204" s="341"/>
      <c r="AE204" s="341"/>
      <c r="AF204" s="21"/>
      <c r="AG204" s="21"/>
      <c r="AH204" s="21"/>
      <c r="AI204" s="29"/>
    </row>
    <row r="205" spans="1:35" ht="19.5" customHeight="1">
      <c r="A205" s="369"/>
      <c r="B205" s="342" t="str">
        <f>K30</f>
        <v>5000</v>
      </c>
      <c r="C205" s="342"/>
      <c r="D205" s="342"/>
      <c r="E205" s="21"/>
      <c r="F205" s="21"/>
      <c r="G205" s="21"/>
      <c r="H205" s="29"/>
      <c r="J205" s="369"/>
      <c r="K205" s="371" t="str">
        <f>K30</f>
        <v>5000</v>
      </c>
      <c r="L205" s="371"/>
      <c r="M205" s="371"/>
      <c r="N205" s="21"/>
      <c r="O205" s="21"/>
      <c r="P205" s="21"/>
      <c r="Q205" s="29"/>
      <c r="S205" s="369"/>
      <c r="T205" s="342" t="str">
        <f>K30</f>
        <v>5000</v>
      </c>
      <c r="U205" s="342"/>
      <c r="V205" s="342"/>
      <c r="W205" s="21"/>
      <c r="X205" s="21"/>
      <c r="Y205" s="21"/>
      <c r="Z205" s="29"/>
      <c r="AB205" s="369"/>
      <c r="AC205" s="342" t="str">
        <f>K30</f>
        <v>5000</v>
      </c>
      <c r="AD205" s="342"/>
      <c r="AE205" s="342"/>
      <c r="AF205" s="21"/>
      <c r="AG205" s="21"/>
      <c r="AH205" s="21"/>
      <c r="AI205" s="29"/>
    </row>
    <row r="206" spans="1:35">
      <c r="A206" s="62" t="str">
        <f>K29</f>
        <v>33</v>
      </c>
      <c r="B206" s="343">
        <f>B105</f>
        <v>780.8613585605882</v>
      </c>
      <c r="C206" s="343"/>
      <c r="D206" s="343"/>
      <c r="E206" s="21"/>
      <c r="F206" s="21"/>
      <c r="G206" s="21"/>
      <c r="H206" s="29"/>
      <c r="J206" s="62" t="str">
        <f>K29</f>
        <v>33</v>
      </c>
      <c r="K206" s="343">
        <f>K105</f>
        <v>1522.3505950758695</v>
      </c>
      <c r="L206" s="343"/>
      <c r="M206" s="343"/>
      <c r="N206" s="21"/>
      <c r="O206" s="21"/>
      <c r="P206" s="21"/>
      <c r="Q206" s="29"/>
      <c r="S206" s="62" t="str">
        <f>K29</f>
        <v>33</v>
      </c>
      <c r="T206" s="343">
        <f>T105</f>
        <v>750.91741561770073</v>
      </c>
      <c r="U206" s="343"/>
      <c r="V206" s="343"/>
      <c r="W206" s="21"/>
      <c r="X206" s="21"/>
      <c r="Y206" s="21"/>
      <c r="Z206" s="29"/>
      <c r="AB206" s="62" t="str">
        <f>K29</f>
        <v>33</v>
      </c>
      <c r="AC206" s="343">
        <f>AC105</f>
        <v>750.91741561770073</v>
      </c>
      <c r="AD206" s="343"/>
      <c r="AE206" s="343"/>
      <c r="AF206" s="21"/>
      <c r="AG206" s="21"/>
      <c r="AH206" s="21"/>
      <c r="AI206" s="29"/>
    </row>
    <row r="207" spans="1:35">
      <c r="A207" s="27"/>
      <c r="B207" s="28"/>
      <c r="C207" s="28"/>
      <c r="D207" s="28"/>
      <c r="E207" s="21"/>
      <c r="F207" s="21"/>
      <c r="G207" s="21"/>
      <c r="H207" s="29"/>
      <c r="J207" s="27"/>
      <c r="K207" s="28"/>
      <c r="L207" s="28"/>
      <c r="M207" s="28"/>
      <c r="N207" s="21"/>
      <c r="O207" s="21"/>
      <c r="P207" s="21"/>
      <c r="Q207" s="29"/>
      <c r="S207" s="27"/>
      <c r="T207" s="28"/>
      <c r="U207" s="28"/>
      <c r="V207" s="28"/>
      <c r="W207" s="21"/>
      <c r="X207" s="21"/>
      <c r="Y207" s="21"/>
      <c r="Z207" s="29"/>
      <c r="AB207" s="27"/>
      <c r="AC207" s="28"/>
      <c r="AD207" s="28"/>
      <c r="AE207" s="28"/>
      <c r="AF207" s="21"/>
      <c r="AG207" s="21"/>
      <c r="AH207" s="21"/>
      <c r="AI207" s="29"/>
    </row>
    <row r="208" spans="1:35">
      <c r="A208" s="27"/>
      <c r="B208" s="28"/>
      <c r="C208" s="28"/>
      <c r="D208" s="28"/>
      <c r="E208" s="21"/>
      <c r="F208" s="21"/>
      <c r="G208" s="21"/>
      <c r="H208" s="29"/>
      <c r="J208" s="27"/>
      <c r="K208" s="28"/>
      <c r="L208" s="28"/>
      <c r="M208" s="28"/>
      <c r="N208" s="21"/>
      <c r="O208" s="21"/>
      <c r="P208" s="21"/>
      <c r="Q208" s="29"/>
      <c r="S208" s="27"/>
      <c r="T208" s="28"/>
      <c r="U208" s="28"/>
      <c r="V208" s="28"/>
      <c r="W208" s="21"/>
      <c r="X208" s="21"/>
      <c r="Y208" s="21"/>
      <c r="Z208" s="29"/>
      <c r="AB208" s="27"/>
      <c r="AC208" s="28"/>
      <c r="AD208" s="28"/>
      <c r="AE208" s="28"/>
      <c r="AF208" s="21"/>
      <c r="AG208" s="21"/>
      <c r="AH208" s="21"/>
      <c r="AI208" s="29"/>
    </row>
    <row r="209" spans="1:35">
      <c r="A209" s="27" t="s">
        <v>215</v>
      </c>
      <c r="B209" s="28" t="s">
        <v>216</v>
      </c>
      <c r="C209" s="28"/>
      <c r="D209" s="28"/>
      <c r="E209" s="21"/>
      <c r="F209" s="21"/>
      <c r="G209" s="21"/>
      <c r="H209" s="29"/>
      <c r="J209" s="27"/>
      <c r="K209" s="28"/>
      <c r="L209" s="28"/>
      <c r="M209" s="28"/>
      <c r="N209" s="21"/>
      <c r="O209" s="21"/>
      <c r="P209" s="21"/>
      <c r="Q209" s="29"/>
      <c r="S209" s="27"/>
      <c r="T209" s="28"/>
      <c r="U209" s="28"/>
      <c r="V209" s="28"/>
      <c r="W209" s="21"/>
      <c r="X209" s="21"/>
      <c r="Y209" s="21"/>
      <c r="Z209" s="29"/>
      <c r="AB209" s="27"/>
      <c r="AC209" s="28"/>
      <c r="AD209" s="28"/>
      <c r="AE209" s="28"/>
      <c r="AF209" s="21"/>
      <c r="AG209" s="21"/>
      <c r="AH209" s="21"/>
      <c r="AI209" s="29"/>
    </row>
    <row r="210" spans="1:35">
      <c r="A210" s="32">
        <f>IF(A49=0,((G176*(B68+1))-E188),((G176*B68)+E194-E188-A194))</f>
        <v>771.04000000000087</v>
      </c>
      <c r="B210" s="38">
        <f>E188+A210+B191+A194</f>
        <v>28361.040000000001</v>
      </c>
      <c r="C210" s="28"/>
      <c r="D210" s="28"/>
      <c r="E210" s="21"/>
      <c r="F210" s="21"/>
      <c r="G210" s="21"/>
      <c r="H210" s="29"/>
      <c r="J210" s="27"/>
      <c r="K210" s="28"/>
      <c r="L210" s="28"/>
      <c r="M210" s="28"/>
      <c r="N210" s="21"/>
      <c r="O210" s="21"/>
      <c r="P210" s="21"/>
      <c r="Q210" s="29"/>
      <c r="S210" s="27"/>
      <c r="T210" s="28"/>
      <c r="U210" s="28"/>
      <c r="V210" s="28"/>
      <c r="W210" s="21"/>
      <c r="X210" s="21"/>
      <c r="Y210" s="21"/>
      <c r="Z210" s="29"/>
      <c r="AB210" s="27"/>
      <c r="AC210" s="28"/>
      <c r="AD210" s="28"/>
      <c r="AE210" s="28"/>
      <c r="AF210" s="21"/>
      <c r="AG210" s="21"/>
      <c r="AH210" s="21"/>
      <c r="AI210" s="29"/>
    </row>
    <row r="211" spans="1:35">
      <c r="A211" s="49"/>
      <c r="B211" s="50"/>
      <c r="C211" s="50"/>
      <c r="D211" s="50"/>
      <c r="E211" s="50"/>
      <c r="F211" s="50"/>
      <c r="G211" s="50"/>
      <c r="H211" s="57"/>
      <c r="J211" s="49"/>
      <c r="K211" s="50"/>
      <c r="L211" s="50"/>
      <c r="M211" s="50"/>
      <c r="N211" s="50"/>
      <c r="O211" s="50"/>
      <c r="P211" s="50"/>
      <c r="Q211" s="57"/>
      <c r="S211" s="49"/>
      <c r="T211" s="50"/>
      <c r="U211" s="50"/>
      <c r="V211" s="50"/>
      <c r="W211" s="50"/>
      <c r="X211" s="50"/>
      <c r="Y211" s="50"/>
      <c r="Z211" s="57"/>
      <c r="AB211" s="49"/>
      <c r="AC211" s="50"/>
      <c r="AD211" s="50"/>
      <c r="AE211" s="50"/>
      <c r="AF211" s="50"/>
      <c r="AG211" s="50"/>
      <c r="AH211" s="50"/>
      <c r="AI211" s="57"/>
    </row>
    <row r="215" spans="1:35" ht="23.25">
      <c r="A215" s="372" t="s">
        <v>192</v>
      </c>
      <c r="B215" s="372"/>
      <c r="C215" s="372"/>
      <c r="D215" s="372"/>
      <c r="E215" s="372"/>
      <c r="F215" s="372"/>
      <c r="G215" s="372"/>
      <c r="H215" s="372"/>
    </row>
    <row r="216" spans="1:35">
      <c r="A216" s="27"/>
      <c r="B216" s="28"/>
      <c r="C216" s="28"/>
      <c r="D216" s="28"/>
      <c r="E216" s="21"/>
      <c r="F216" s="21"/>
      <c r="G216" s="21"/>
      <c r="H216" s="29"/>
    </row>
    <row r="217" spans="1:35">
      <c r="A217" s="139" t="s">
        <v>137</v>
      </c>
      <c r="B217" s="140" t="s">
        <v>52</v>
      </c>
      <c r="C217" s="140"/>
      <c r="D217" s="140"/>
      <c r="E217" s="140" t="s">
        <v>53</v>
      </c>
      <c r="F217" s="141"/>
      <c r="G217" s="21"/>
      <c r="H217" s="29"/>
    </row>
    <row r="218" spans="1:35">
      <c r="A218" s="142" t="s">
        <v>217</v>
      </c>
      <c r="B218" s="131" t="str">
        <f>A206</f>
        <v>33</v>
      </c>
      <c r="C218" s="131"/>
      <c r="D218" s="131"/>
      <c r="E218" s="131" t="str">
        <f>B205</f>
        <v>5000</v>
      </c>
      <c r="F218" s="141"/>
      <c r="G218" s="21"/>
      <c r="H218" s="29"/>
    </row>
    <row r="219" spans="1:35">
      <c r="A219" s="27"/>
      <c r="B219" s="28"/>
      <c r="C219" s="28"/>
      <c r="D219" s="28"/>
      <c r="E219" s="21"/>
      <c r="F219" s="21"/>
      <c r="G219" s="21"/>
      <c r="H219" s="29"/>
    </row>
    <row r="220" spans="1:35">
      <c r="A220" s="139" t="s">
        <v>194</v>
      </c>
      <c r="B220" s="140" t="s">
        <v>195</v>
      </c>
      <c r="C220" s="140"/>
      <c r="D220" s="140"/>
      <c r="E220" s="140" t="s">
        <v>196</v>
      </c>
      <c r="F220" s="21"/>
      <c r="G220" s="21"/>
      <c r="H220" s="29"/>
    </row>
    <row r="221" spans="1:35">
      <c r="A221" s="132">
        <f>A176</f>
        <v>700.4238585605882</v>
      </c>
      <c r="B221" s="133">
        <f>B176</f>
        <v>80.4375</v>
      </c>
      <c r="C221" s="131"/>
      <c r="D221" s="131"/>
      <c r="E221" s="133">
        <f>E176</f>
        <v>780.8613585605882</v>
      </c>
      <c r="F221" s="21"/>
      <c r="G221" s="21"/>
      <c r="H221" s="29"/>
    </row>
    <row r="222" spans="1:35">
      <c r="A222" s="27"/>
      <c r="B222" s="28"/>
      <c r="C222" s="28"/>
      <c r="D222" s="28"/>
      <c r="E222" s="21"/>
      <c r="F222" s="21"/>
      <c r="G222" s="21"/>
      <c r="H222" s="29"/>
    </row>
    <row r="223" spans="1:35">
      <c r="A223" s="27" t="s">
        <v>199</v>
      </c>
      <c r="B223" s="28" t="s">
        <v>200</v>
      </c>
      <c r="C223" s="28"/>
      <c r="D223" s="21"/>
      <c r="E223" s="28" t="s">
        <v>201</v>
      </c>
      <c r="F223" s="21"/>
      <c r="G223" s="21"/>
      <c r="H223" s="29"/>
    </row>
    <row r="224" spans="1:35">
      <c r="A224" s="138">
        <f>A182</f>
        <v>20950</v>
      </c>
      <c r="B224" s="34">
        <f>B182</f>
        <v>4190</v>
      </c>
      <c r="C224" s="38"/>
      <c r="D224" s="21"/>
      <c r="E224" s="137">
        <f>E182</f>
        <v>340</v>
      </c>
      <c r="F224" s="21"/>
      <c r="G224" s="21"/>
      <c r="H224" s="29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202</v>
      </c>
      <c r="B226" s="28" t="s">
        <v>148</v>
      </c>
      <c r="C226" s="28"/>
      <c r="D226" s="21"/>
      <c r="E226" s="28" t="s">
        <v>149</v>
      </c>
      <c r="F226" s="21"/>
      <c r="G226" s="21"/>
      <c r="H226" s="29"/>
    </row>
    <row r="227" spans="1:8">
      <c r="A227" s="138">
        <f>A185</f>
        <v>25480</v>
      </c>
      <c r="B227" s="34">
        <f>B185</f>
        <v>0</v>
      </c>
      <c r="C227" s="34"/>
      <c r="D227" s="21"/>
      <c r="E227" s="34">
        <f>E185</f>
        <v>0</v>
      </c>
      <c r="F227" s="21"/>
      <c r="G227" s="21"/>
      <c r="H227" s="90"/>
    </row>
    <row r="228" spans="1:8">
      <c r="A228" s="27"/>
      <c r="B228" s="28"/>
      <c r="C228" s="28"/>
      <c r="D228" s="21"/>
      <c r="E228" s="28"/>
      <c r="F228" s="21"/>
      <c r="G228" s="21"/>
      <c r="H228" s="29"/>
    </row>
    <row r="229" spans="1:8">
      <c r="A229" s="27" t="s">
        <v>150</v>
      </c>
      <c r="B229" s="28" t="s">
        <v>185</v>
      </c>
      <c r="C229" s="28"/>
      <c r="D229" s="21"/>
      <c r="E229" s="28" t="s">
        <v>191</v>
      </c>
      <c r="F229" s="21"/>
      <c r="G229" s="21"/>
      <c r="H229" s="29"/>
    </row>
    <row r="230" spans="1:8">
      <c r="A230" s="94">
        <f>A188</f>
        <v>0</v>
      </c>
      <c r="B230" s="34">
        <f>B188</f>
        <v>0</v>
      </c>
      <c r="C230" s="34"/>
      <c r="D230" s="21"/>
      <c r="E230" s="34">
        <f>E188</f>
        <v>26580</v>
      </c>
      <c r="F230" s="21"/>
      <c r="G230" s="21"/>
      <c r="H230" s="90"/>
    </row>
    <row r="231" spans="1:8">
      <c r="A231" s="27"/>
      <c r="B231" s="28"/>
      <c r="C231" s="28"/>
      <c r="D231" s="21"/>
      <c r="E231" s="28"/>
      <c r="F231" s="21"/>
      <c r="G231" s="21"/>
      <c r="H231" s="29"/>
    </row>
    <row r="232" spans="1:8">
      <c r="A232" s="27" t="s">
        <v>203</v>
      </c>
      <c r="B232" s="28" t="s">
        <v>66</v>
      </c>
      <c r="C232" s="28"/>
      <c r="D232" s="21"/>
      <c r="E232" s="28" t="s">
        <v>204</v>
      </c>
      <c r="F232" s="21"/>
      <c r="G232" s="21"/>
      <c r="H232" s="29"/>
    </row>
    <row r="233" spans="1:8">
      <c r="A233" s="94">
        <f>A191</f>
        <v>3033.5634739388224</v>
      </c>
      <c r="B233" s="34">
        <f>B191</f>
        <v>1000</v>
      </c>
      <c r="C233" s="34"/>
      <c r="D233" s="21"/>
      <c r="E233" s="34">
        <f>E191</f>
        <v>30623.563473938822</v>
      </c>
      <c r="F233" s="21"/>
      <c r="G233" s="21"/>
      <c r="H233" s="90"/>
    </row>
    <row r="234" spans="1:8">
      <c r="A234" s="27"/>
      <c r="B234" s="28"/>
      <c r="C234" s="28"/>
      <c r="D234" s="21"/>
      <c r="E234" s="28"/>
      <c r="F234" s="21"/>
      <c r="G234" s="21"/>
      <c r="H234" s="29"/>
    </row>
    <row r="235" spans="1:8">
      <c r="A235" s="27" t="s">
        <v>205</v>
      </c>
      <c r="B235" s="28" t="s">
        <v>206</v>
      </c>
      <c r="C235" s="28"/>
      <c r="D235" s="21"/>
      <c r="E235" s="28" t="s">
        <v>218</v>
      </c>
      <c r="F235" s="21"/>
      <c r="G235" s="21"/>
      <c r="H235" s="29"/>
    </row>
    <row r="236" spans="1:8">
      <c r="A236" s="94">
        <f>A194</f>
        <v>10</v>
      </c>
      <c r="B236" s="34">
        <f>B194</f>
        <v>1000</v>
      </c>
      <c r="C236" s="34"/>
      <c r="D236" s="21"/>
      <c r="E236" s="34">
        <f>B68</f>
        <v>32</v>
      </c>
      <c r="F236" s="21"/>
      <c r="G236" s="21"/>
      <c r="H236" s="90"/>
    </row>
    <row r="237" spans="1:8">
      <c r="A237" s="27"/>
      <c r="B237" s="28"/>
      <c r="C237" s="28"/>
      <c r="D237" s="28"/>
      <c r="E237" s="21"/>
      <c r="F237" s="21"/>
      <c r="G237" s="21"/>
      <c r="H237" s="29"/>
    </row>
    <row r="238" spans="1:8">
      <c r="A238" s="27" t="s">
        <v>194</v>
      </c>
      <c r="B238" s="28" t="s">
        <v>195</v>
      </c>
      <c r="C238" s="28"/>
      <c r="D238" s="28"/>
      <c r="E238" s="28" t="s">
        <v>196</v>
      </c>
      <c r="F238" s="21"/>
      <c r="G238" s="21"/>
      <c r="H238" s="29"/>
    </row>
    <row r="239" spans="1:8">
      <c r="A239" s="94">
        <f>A176</f>
        <v>700.4238585605882</v>
      </c>
      <c r="B239" s="34">
        <f>B176</f>
        <v>80.4375</v>
      </c>
      <c r="C239" s="38"/>
      <c r="D239" s="38"/>
      <c r="E239" s="34">
        <f>E176</f>
        <v>780.8613585605882</v>
      </c>
      <c r="F239" s="21"/>
      <c r="G239" s="21"/>
      <c r="H239" s="29"/>
    </row>
    <row r="240" spans="1:8">
      <c r="A240" s="27"/>
      <c r="B240" s="28"/>
      <c r="C240" s="28"/>
      <c r="D240" s="28"/>
      <c r="E240" s="21"/>
      <c r="F240" s="21"/>
      <c r="G240" s="21"/>
      <c r="H240" s="29"/>
    </row>
    <row r="241" spans="1:8">
      <c r="A241" s="27" t="s">
        <v>219</v>
      </c>
      <c r="B241" s="28" t="s">
        <v>220</v>
      </c>
      <c r="C241" s="28"/>
      <c r="D241" s="28"/>
      <c r="E241" s="28" t="s">
        <v>80</v>
      </c>
      <c r="F241" s="21"/>
      <c r="G241" s="21"/>
      <c r="H241" s="29"/>
    </row>
    <row r="242" spans="1:8">
      <c r="A242" s="94">
        <f>E179</f>
        <v>7200</v>
      </c>
      <c r="B242" s="34">
        <f>E194</f>
        <v>7210</v>
      </c>
      <c r="C242" s="28"/>
      <c r="D242" s="28"/>
      <c r="E242" s="34">
        <f>J18*0.000006*100*1.2</f>
        <v>18.1008</v>
      </c>
      <c r="F242" s="21"/>
      <c r="G242" s="21"/>
      <c r="H242" s="29"/>
    </row>
    <row r="243" spans="1:8">
      <c r="A243" s="94"/>
      <c r="B243" s="34"/>
      <c r="C243" s="28"/>
      <c r="D243" s="28"/>
      <c r="E243" s="34"/>
      <c r="F243" s="21"/>
      <c r="G243" s="21"/>
      <c r="H243" s="29"/>
    </row>
    <row r="244" spans="1:8">
      <c r="A244" s="53" t="s">
        <v>221</v>
      </c>
      <c r="B244" s="35" t="s">
        <v>85</v>
      </c>
      <c r="C244" s="28"/>
      <c r="D244" s="28"/>
      <c r="E244" s="35" t="s">
        <v>142</v>
      </c>
      <c r="F244" s="21"/>
      <c r="G244" s="21"/>
      <c r="H244" s="29"/>
    </row>
    <row r="245" spans="1:8">
      <c r="A245" s="94">
        <f>A197</f>
        <v>6.033599999999999</v>
      </c>
      <c r="B245" s="34">
        <f>E242+A245</f>
        <v>24.134399999999999</v>
      </c>
      <c r="C245" s="28"/>
      <c r="D245" s="28"/>
      <c r="E245" s="34"/>
      <c r="F245" s="21"/>
      <c r="G245" s="21"/>
      <c r="H245" s="29"/>
    </row>
    <row r="246" spans="1:8">
      <c r="A246" s="94"/>
      <c r="B246" s="34"/>
      <c r="C246" s="28"/>
      <c r="D246" s="28"/>
      <c r="E246" s="34"/>
      <c r="F246" s="21"/>
      <c r="G246" s="21"/>
      <c r="H246" s="29"/>
    </row>
    <row r="247" spans="1:8" ht="23.25">
      <c r="A247" s="373" t="s">
        <v>222</v>
      </c>
      <c r="B247" s="373"/>
      <c r="C247" s="373"/>
      <c r="D247" s="373"/>
      <c r="E247" s="373"/>
      <c r="F247" s="373"/>
      <c r="G247" s="373"/>
      <c r="H247" s="373"/>
    </row>
    <row r="248" spans="1:8">
      <c r="A248" s="27" t="s">
        <v>223</v>
      </c>
      <c r="B248" s="28" t="s">
        <v>209</v>
      </c>
      <c r="C248" s="28"/>
      <c r="D248" s="28"/>
      <c r="E248" s="35" t="s">
        <v>210</v>
      </c>
      <c r="F248" s="21"/>
      <c r="G248" s="21"/>
      <c r="H248" s="29"/>
    </row>
    <row r="249" spans="1:8">
      <c r="A249" s="94">
        <f>H157</f>
        <v>0</v>
      </c>
      <c r="B249" s="34">
        <f>B197</f>
        <v>797.4</v>
      </c>
      <c r="C249" s="28"/>
      <c r="D249" s="28"/>
      <c r="E249" s="34">
        <f>E197</f>
        <v>49.5</v>
      </c>
      <c r="F249" s="21"/>
      <c r="G249" s="21"/>
      <c r="H249" s="29"/>
    </row>
    <row r="250" spans="1:8">
      <c r="A250" s="94"/>
      <c r="B250" s="34"/>
      <c r="C250" s="28"/>
      <c r="D250" s="28"/>
      <c r="E250" s="21"/>
      <c r="F250" s="21"/>
      <c r="G250" s="21"/>
      <c r="H250" s="29"/>
    </row>
    <row r="251" spans="1:8">
      <c r="A251" s="53" t="s">
        <v>211</v>
      </c>
      <c r="B251" s="35" t="s">
        <v>212</v>
      </c>
      <c r="C251" s="28"/>
      <c r="D251" s="28"/>
      <c r="E251" s="35"/>
      <c r="F251" s="21"/>
      <c r="G251" s="21"/>
      <c r="H251" s="29"/>
    </row>
    <row r="252" spans="1:8">
      <c r="A252" s="94">
        <f>A200</f>
        <v>10</v>
      </c>
      <c r="B252" s="34">
        <f>B249+E249+A252+A249-H165</f>
        <v>-243.10000000000002</v>
      </c>
      <c r="C252" s="28"/>
      <c r="D252" s="28"/>
      <c r="E252" s="34"/>
      <c r="F252" s="21"/>
      <c r="G252" s="21"/>
      <c r="H252" s="29"/>
    </row>
    <row r="253" spans="1:8">
      <c r="A253" s="27"/>
      <c r="B253" s="28"/>
      <c r="C253" s="28"/>
      <c r="D253" s="28"/>
      <c r="E253" s="21"/>
      <c r="F253" s="21"/>
      <c r="G253" s="21"/>
      <c r="H253" s="29"/>
    </row>
    <row r="254" spans="1:8">
      <c r="A254" s="49"/>
      <c r="B254" s="50"/>
      <c r="C254" s="50"/>
      <c r="D254" s="50"/>
      <c r="E254" s="50"/>
      <c r="F254" s="50"/>
      <c r="G254" s="50"/>
      <c r="H254" s="57"/>
    </row>
    <row r="260" spans="1:8" ht="23.25">
      <c r="A260" s="372" t="s">
        <v>224</v>
      </c>
      <c r="B260" s="372"/>
      <c r="C260" s="372"/>
      <c r="D260" s="372"/>
      <c r="E260" s="372"/>
      <c r="F260" s="372"/>
      <c r="G260" s="372"/>
      <c r="H260" s="372"/>
    </row>
    <row r="261" spans="1:8">
      <c r="A261" s="27"/>
      <c r="B261" s="28"/>
      <c r="C261" s="28"/>
      <c r="D261" s="28"/>
      <c r="E261" s="21"/>
      <c r="F261" s="21"/>
      <c r="G261" s="21"/>
      <c r="H261" s="29"/>
    </row>
    <row r="262" spans="1:8">
      <c r="A262" s="139" t="s">
        <v>225</v>
      </c>
      <c r="B262" s="143">
        <f>B72</f>
        <v>6.5000000000000002E-2</v>
      </c>
      <c r="C262" s="144"/>
      <c r="D262" s="374" t="s">
        <v>226</v>
      </c>
      <c r="E262" s="374"/>
      <c r="F262" s="143">
        <f>B92</f>
        <v>0.115</v>
      </c>
      <c r="G262" s="21"/>
      <c r="H262" s="29"/>
    </row>
    <row r="263" spans="1:8">
      <c r="A263" s="139" t="s">
        <v>227</v>
      </c>
      <c r="B263" s="145">
        <f>(E191-B191)-(B210-B191-A194)</f>
        <v>2272.5234739388216</v>
      </c>
      <c r="C263" s="144"/>
      <c r="D263" s="374" t="s">
        <v>228</v>
      </c>
      <c r="E263" s="374"/>
      <c r="F263" s="146">
        <f>F270+F276+F278+B279+B280</f>
        <v>797.4</v>
      </c>
      <c r="G263" s="21"/>
      <c r="H263" s="29"/>
    </row>
    <row r="264" spans="1:8">
      <c r="A264" s="139" t="s">
        <v>229</v>
      </c>
      <c r="B264" s="146">
        <f>F271+B272</f>
        <v>505</v>
      </c>
      <c r="C264" s="144"/>
      <c r="D264" s="374" t="s">
        <v>230</v>
      </c>
      <c r="E264" s="374"/>
      <c r="F264" s="146">
        <f>(B263-F263)+B264</f>
        <v>1980.1234739388215</v>
      </c>
      <c r="G264" s="21"/>
      <c r="H264" s="29"/>
    </row>
    <row r="265" spans="1:8">
      <c r="A265" s="147"/>
      <c r="B265" s="144"/>
      <c r="C265" s="148"/>
      <c r="D265" s="148"/>
      <c r="E265" s="148"/>
      <c r="F265" s="148"/>
      <c r="G265" s="149"/>
      <c r="H265" s="150"/>
    </row>
    <row r="266" spans="1:8">
      <c r="A266" s="27" t="s">
        <v>225</v>
      </c>
      <c r="B266" s="151">
        <f>B262</f>
        <v>6.5000000000000002E-2</v>
      </c>
      <c r="C266" s="144"/>
      <c r="D266" s="144"/>
      <c r="E266" s="144"/>
      <c r="F266" s="144"/>
      <c r="G266" s="21"/>
      <c r="H266" s="29"/>
    </row>
    <row r="267" spans="1:8">
      <c r="A267" s="152"/>
      <c r="B267" s="153"/>
      <c r="C267" s="154"/>
      <c r="D267" s="154"/>
      <c r="E267" s="149"/>
      <c r="F267" s="149"/>
      <c r="G267" s="149"/>
      <c r="H267" s="150"/>
    </row>
    <row r="268" spans="1:8">
      <c r="A268" s="27" t="s">
        <v>231</v>
      </c>
      <c r="B268" s="151">
        <f>B73</f>
        <v>0.05</v>
      </c>
      <c r="C268" s="28"/>
      <c r="D268" s="363" t="s">
        <v>232</v>
      </c>
      <c r="E268" s="363"/>
      <c r="F268" s="151">
        <v>0</v>
      </c>
      <c r="G268" s="21"/>
      <c r="H268" s="29"/>
    </row>
    <row r="269" spans="1:8">
      <c r="A269" s="93" t="s">
        <v>226</v>
      </c>
      <c r="B269" s="155">
        <f>B92</f>
        <v>0.115</v>
      </c>
      <c r="C269" s="38"/>
      <c r="D269" s="363" t="s">
        <v>227</v>
      </c>
      <c r="E269" s="363"/>
      <c r="F269" s="115">
        <f>B263</f>
        <v>2272.5234739388216</v>
      </c>
      <c r="G269" s="21"/>
      <c r="H269" s="29"/>
    </row>
    <row r="270" spans="1:8">
      <c r="A270" s="27" t="s">
        <v>233</v>
      </c>
      <c r="B270" s="155">
        <f>B76</f>
        <v>0.03</v>
      </c>
      <c r="C270" s="28"/>
      <c r="D270" s="363" t="s">
        <v>233</v>
      </c>
      <c r="E270" s="363"/>
      <c r="F270" s="119">
        <f>B77</f>
        <v>797.4</v>
      </c>
      <c r="G270" s="21"/>
      <c r="H270" s="29"/>
    </row>
    <row r="271" spans="1:8">
      <c r="A271" s="27" t="s">
        <v>234</v>
      </c>
      <c r="B271" s="151">
        <f>A117</f>
        <v>0.3</v>
      </c>
      <c r="C271" s="28"/>
      <c r="D271" s="363" t="s">
        <v>234</v>
      </c>
      <c r="E271" s="363"/>
      <c r="F271" s="115">
        <f>E249*10</f>
        <v>495</v>
      </c>
      <c r="G271" s="21"/>
      <c r="H271" s="29"/>
    </row>
    <row r="272" spans="1:8">
      <c r="A272" s="27" t="s">
        <v>235</v>
      </c>
      <c r="B272" s="115">
        <f>A252</f>
        <v>10</v>
      </c>
      <c r="C272" s="28"/>
      <c r="D272" s="35" t="s">
        <v>230</v>
      </c>
      <c r="E272" s="35"/>
      <c r="F272" s="115">
        <f>(B263-F263)+B264</f>
        <v>1980.1234739388215</v>
      </c>
      <c r="G272" s="21"/>
      <c r="H272" s="29"/>
    </row>
    <row r="273" spans="1:8">
      <c r="A273" s="94"/>
      <c r="B273" s="34"/>
      <c r="C273" s="28"/>
      <c r="D273" s="28"/>
      <c r="E273" s="34"/>
      <c r="F273" s="21"/>
      <c r="G273" s="21"/>
      <c r="H273" s="29"/>
    </row>
    <row r="274" spans="1:8" ht="23.25">
      <c r="A274" s="373" t="s">
        <v>236</v>
      </c>
      <c r="B274" s="373"/>
      <c r="C274" s="373"/>
      <c r="D274" s="373"/>
      <c r="E274" s="373"/>
      <c r="F274" s="373"/>
      <c r="G274" s="373"/>
      <c r="H274" s="373"/>
    </row>
    <row r="275" spans="1:8">
      <c r="A275" s="27" t="s">
        <v>237</v>
      </c>
      <c r="B275" s="119">
        <v>0</v>
      </c>
      <c r="C275" s="28"/>
      <c r="D275" s="375" t="s">
        <v>238</v>
      </c>
      <c r="E275" s="375"/>
      <c r="F275" s="119">
        <v>0</v>
      </c>
      <c r="G275" s="21"/>
      <c r="H275" s="29"/>
    </row>
    <row r="276" spans="1:8">
      <c r="A276" s="94"/>
      <c r="B276" s="115"/>
      <c r="C276" s="28"/>
      <c r="D276" s="363" t="s">
        <v>239</v>
      </c>
      <c r="E276" s="363"/>
      <c r="F276" s="115">
        <f>B275+F275*B218</f>
        <v>0</v>
      </c>
      <c r="G276" s="21"/>
      <c r="H276" s="29"/>
    </row>
    <row r="277" spans="1:8">
      <c r="A277" s="53" t="s">
        <v>240</v>
      </c>
      <c r="B277" s="156" t="s">
        <v>10</v>
      </c>
      <c r="C277" s="28"/>
      <c r="D277" s="363" t="s">
        <v>241</v>
      </c>
      <c r="E277" s="363"/>
      <c r="F277" s="156">
        <f>B79</f>
        <v>0</v>
      </c>
      <c r="G277" s="21"/>
      <c r="H277" s="29"/>
    </row>
    <row r="278" spans="1:8">
      <c r="A278" s="53"/>
      <c r="B278" s="121"/>
      <c r="C278" s="28"/>
      <c r="D278" s="363" t="s">
        <v>242</v>
      </c>
      <c r="E278" s="363"/>
      <c r="F278" s="115">
        <f>B100</f>
        <v>0</v>
      </c>
      <c r="G278" s="21"/>
      <c r="H278" s="29"/>
    </row>
    <row r="279" spans="1:8">
      <c r="A279" s="53" t="s">
        <v>243</v>
      </c>
      <c r="B279" s="119">
        <v>0</v>
      </c>
      <c r="C279" s="28"/>
      <c r="D279" s="28"/>
      <c r="E279" s="34"/>
      <c r="F279" s="21"/>
      <c r="G279" s="21"/>
      <c r="H279" s="29"/>
    </row>
    <row r="280" spans="1:8">
      <c r="A280" s="27" t="s">
        <v>244</v>
      </c>
      <c r="B280" s="119">
        <v>0</v>
      </c>
      <c r="C280" s="28"/>
      <c r="D280" s="28"/>
      <c r="E280" s="21"/>
      <c r="F280" s="21"/>
      <c r="G280" s="21"/>
      <c r="H280" s="29"/>
    </row>
    <row r="281" spans="1:8">
      <c r="A281" s="49"/>
      <c r="B281" s="50"/>
      <c r="C281" s="50"/>
      <c r="D281" s="50"/>
      <c r="E281" s="50"/>
      <c r="F281" s="50"/>
      <c r="G281" s="50"/>
      <c r="H281" s="57"/>
    </row>
  </sheetData>
  <mergeCells count="294">
    <mergeCell ref="D278:E278"/>
    <mergeCell ref="D264:E264"/>
    <mergeCell ref="D268:E268"/>
    <mergeCell ref="D269:E269"/>
    <mergeCell ref="D270:E270"/>
    <mergeCell ref="D271:E271"/>
    <mergeCell ref="A274:H274"/>
    <mergeCell ref="D275:E275"/>
    <mergeCell ref="D276:E276"/>
    <mergeCell ref="D277:E277"/>
    <mergeCell ref="B206:D206"/>
    <mergeCell ref="K206:M206"/>
    <mergeCell ref="T206:V206"/>
    <mergeCell ref="AC206:AE206"/>
    <mergeCell ref="A215:H215"/>
    <mergeCell ref="A247:H247"/>
    <mergeCell ref="A260:H260"/>
    <mergeCell ref="D262:E262"/>
    <mergeCell ref="D263:E263"/>
    <mergeCell ref="A171:H171"/>
    <mergeCell ref="J171:Q171"/>
    <mergeCell ref="S171:Z171"/>
    <mergeCell ref="AB171:AI171"/>
    <mergeCell ref="B173:C173"/>
    <mergeCell ref="K173:L173"/>
    <mergeCell ref="T173:U173"/>
    <mergeCell ref="AC173:AD173"/>
    <mergeCell ref="A204:A205"/>
    <mergeCell ref="B204:D204"/>
    <mergeCell ref="J204:J205"/>
    <mergeCell ref="K204:M204"/>
    <mergeCell ref="S204:S205"/>
    <mergeCell ref="T204:V204"/>
    <mergeCell ref="AB204:AB205"/>
    <mergeCell ref="AC204:AE204"/>
    <mergeCell ref="B205:D205"/>
    <mergeCell ref="K205:M205"/>
    <mergeCell ref="T205:V205"/>
    <mergeCell ref="AC205:AE205"/>
    <mergeCell ref="G166:H166"/>
    <mergeCell ref="P166:Q166"/>
    <mergeCell ref="Y166:Z166"/>
    <mergeCell ref="AH166:AI166"/>
    <mergeCell ref="G167:H167"/>
    <mergeCell ref="P167:Q167"/>
    <mergeCell ref="Y167:Z167"/>
    <mergeCell ref="AH167:AI167"/>
    <mergeCell ref="G168:H168"/>
    <mergeCell ref="P168:Q168"/>
    <mergeCell ref="Y168:Z168"/>
    <mergeCell ref="AH168:AI168"/>
    <mergeCell ref="E163:F163"/>
    <mergeCell ref="G163:H163"/>
    <mergeCell ref="N163:O163"/>
    <mergeCell ref="P163:Q163"/>
    <mergeCell ref="W163:X163"/>
    <mergeCell ref="Y163:Z163"/>
    <mergeCell ref="AF163:AG163"/>
    <mergeCell ref="AH163:AI163"/>
    <mergeCell ref="E164:F164"/>
    <mergeCell ref="N164:O164"/>
    <mergeCell ref="W164:X164"/>
    <mergeCell ref="AF164:AG164"/>
    <mergeCell ref="E161:F161"/>
    <mergeCell ref="G161:H161"/>
    <mergeCell ref="N161:O161"/>
    <mergeCell ref="P161:Q161"/>
    <mergeCell ref="W161:X161"/>
    <mergeCell ref="Y161:Z161"/>
    <mergeCell ref="AF161:AG161"/>
    <mergeCell ref="AH161:AI161"/>
    <mergeCell ref="E162:F162"/>
    <mergeCell ref="G162:H162"/>
    <mergeCell ref="N162:O162"/>
    <mergeCell ref="P162:Q162"/>
    <mergeCell ref="W162:X162"/>
    <mergeCell ref="Y162:Z162"/>
    <mergeCell ref="AF162:AG162"/>
    <mergeCell ref="AH162:AI162"/>
    <mergeCell ref="A156:F156"/>
    <mergeCell ref="J156:O156"/>
    <mergeCell ref="S156:X156"/>
    <mergeCell ref="AB156:AG156"/>
    <mergeCell ref="A157:F157"/>
    <mergeCell ref="J157:O157"/>
    <mergeCell ref="S157:X157"/>
    <mergeCell ref="AB157:AG157"/>
    <mergeCell ref="A159:H159"/>
    <mergeCell ref="J159:Q159"/>
    <mergeCell ref="S159:Z159"/>
    <mergeCell ref="AB159:AI159"/>
    <mergeCell ref="B153:F153"/>
    <mergeCell ref="K153:O153"/>
    <mergeCell ref="T153:X153"/>
    <mergeCell ref="AC153:AG153"/>
    <mergeCell ref="B154:F154"/>
    <mergeCell ref="K154:O154"/>
    <mergeCell ref="T154:X154"/>
    <mergeCell ref="AC154:AG154"/>
    <mergeCell ref="B155:F155"/>
    <mergeCell ref="K155:O155"/>
    <mergeCell ref="T155:X155"/>
    <mergeCell ref="AC155:AG155"/>
    <mergeCell ref="A150:F150"/>
    <mergeCell ref="J150:O150"/>
    <mergeCell ref="S150:X150"/>
    <mergeCell ref="AB150:AG150"/>
    <mergeCell ref="A151:F151"/>
    <mergeCell ref="J151:O151"/>
    <mergeCell ref="S151:X151"/>
    <mergeCell ref="AB151:AG151"/>
    <mergeCell ref="A152:F152"/>
    <mergeCell ref="J152:O152"/>
    <mergeCell ref="S152:X152"/>
    <mergeCell ref="AB152:AG152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9:F149"/>
    <mergeCell ref="J149:O149"/>
    <mergeCell ref="S149:X149"/>
    <mergeCell ref="AB149:AG149"/>
    <mergeCell ref="A144:F144"/>
    <mergeCell ref="J144:O144"/>
    <mergeCell ref="S144:X144"/>
    <mergeCell ref="AB144:AG144"/>
    <mergeCell ref="A145:F145"/>
    <mergeCell ref="J145:O145"/>
    <mergeCell ref="S145:X145"/>
    <mergeCell ref="AB145:AG145"/>
    <mergeCell ref="A146:F146"/>
    <mergeCell ref="J146:O146"/>
    <mergeCell ref="S146:X146"/>
    <mergeCell ref="AB146:AG146"/>
    <mergeCell ref="AC141:AD141"/>
    <mergeCell ref="AE141:AF141"/>
    <mergeCell ref="AG141:AH141"/>
    <mergeCell ref="B142:C142"/>
    <mergeCell ref="D142:E142"/>
    <mergeCell ref="F142:G142"/>
    <mergeCell ref="K142:L142"/>
    <mergeCell ref="M142:N142"/>
    <mergeCell ref="O142:P142"/>
    <mergeCell ref="T142:U142"/>
    <mergeCell ref="V142:W142"/>
    <mergeCell ref="X142:Y142"/>
    <mergeCell ref="AC142:AD142"/>
    <mergeCell ref="AE142:AF142"/>
    <mergeCell ref="AG142:AH142"/>
    <mergeCell ref="B141:C141"/>
    <mergeCell ref="D141:E141"/>
    <mergeCell ref="F141:G141"/>
    <mergeCell ref="K141:L141"/>
    <mergeCell ref="M141:N141"/>
    <mergeCell ref="O141:P141"/>
    <mergeCell ref="T141:U141"/>
    <mergeCell ref="V141:W141"/>
    <mergeCell ref="X141:Y141"/>
    <mergeCell ref="AC139:AD139"/>
    <mergeCell ref="AE139:AF139"/>
    <mergeCell ref="AG139:AH139"/>
    <mergeCell ref="B140:C140"/>
    <mergeCell ref="D140:E140"/>
    <mergeCell ref="F140:G140"/>
    <mergeCell ref="K140:L140"/>
    <mergeCell ref="M140:N140"/>
    <mergeCell ref="O140:P140"/>
    <mergeCell ref="T140:U140"/>
    <mergeCell ref="V140:W140"/>
    <mergeCell ref="X140:Y140"/>
    <mergeCell ref="AC140:AD140"/>
    <mergeCell ref="AE140:AF140"/>
    <mergeCell ref="AG140:AH140"/>
    <mergeCell ref="B139:C139"/>
    <mergeCell ref="D139:E139"/>
    <mergeCell ref="F139:G139"/>
    <mergeCell ref="K139:L139"/>
    <mergeCell ref="M139:N139"/>
    <mergeCell ref="O139:P139"/>
    <mergeCell ref="T139:U139"/>
    <mergeCell ref="V139:W139"/>
    <mergeCell ref="X139:Y139"/>
    <mergeCell ref="A126:H126"/>
    <mergeCell ref="J126:Q126"/>
    <mergeCell ref="S126:Z126"/>
    <mergeCell ref="AB126:AI126"/>
    <mergeCell ref="B128:C128"/>
    <mergeCell ref="D128:E128"/>
    <mergeCell ref="F128:G128"/>
    <mergeCell ref="K128:L128"/>
    <mergeCell ref="M128:N128"/>
    <mergeCell ref="O128:P128"/>
    <mergeCell ref="T128:U128"/>
    <mergeCell ref="V128:W128"/>
    <mergeCell ref="X128:Y128"/>
    <mergeCell ref="AC128:AD128"/>
    <mergeCell ref="AE128:AF128"/>
    <mergeCell ref="AG128:AH128"/>
    <mergeCell ref="B120:D120"/>
    <mergeCell ref="E120:G120"/>
    <mergeCell ref="K120:M120"/>
    <mergeCell ref="N120:P120"/>
    <mergeCell ref="T120:V120"/>
    <mergeCell ref="W120:Y120"/>
    <mergeCell ref="AC120:AE120"/>
    <mergeCell ref="AF120:AH120"/>
    <mergeCell ref="B123:D123"/>
    <mergeCell ref="E123:G123"/>
    <mergeCell ref="K123:M123"/>
    <mergeCell ref="N123:P123"/>
    <mergeCell ref="T123:V123"/>
    <mergeCell ref="W123:Y123"/>
    <mergeCell ref="AC123:AE123"/>
    <mergeCell ref="AF123:AH123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B117:D117"/>
    <mergeCell ref="E117:G117"/>
    <mergeCell ref="K117:M117"/>
    <mergeCell ref="N117:P117"/>
    <mergeCell ref="T117:V117"/>
    <mergeCell ref="W117:Y117"/>
    <mergeCell ref="AC117:AE117"/>
    <mergeCell ref="AF117:AH117"/>
    <mergeCell ref="A58:A59"/>
    <mergeCell ref="B58:D58"/>
    <mergeCell ref="B59:D59"/>
    <mergeCell ref="B60:D60"/>
    <mergeCell ref="A109:H109"/>
    <mergeCell ref="J109:Q109"/>
    <mergeCell ref="S109:Z109"/>
    <mergeCell ref="AB109:AI109"/>
    <mergeCell ref="A111:H111"/>
    <mergeCell ref="J111:Q111"/>
    <mergeCell ref="S111:Z111"/>
    <mergeCell ref="AB111:AI111"/>
    <mergeCell ref="C37:D37"/>
    <mergeCell ref="J38:K38"/>
    <mergeCell ref="C40:D40"/>
    <mergeCell ref="F40:G40"/>
    <mergeCell ref="C43:D43"/>
    <mergeCell ref="F43:G43"/>
    <mergeCell ref="C46:D46"/>
    <mergeCell ref="F46:G46"/>
    <mergeCell ref="C53:E53"/>
    <mergeCell ref="B18:F18"/>
    <mergeCell ref="B19:F19"/>
    <mergeCell ref="B20:F20"/>
    <mergeCell ref="A21:F21"/>
    <mergeCell ref="A24:H24"/>
    <mergeCell ref="A26:H26"/>
    <mergeCell ref="C31:D31"/>
    <mergeCell ref="F31:G31"/>
    <mergeCell ref="C34:D34"/>
    <mergeCell ref="F34:G34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A1:H1"/>
    <mergeCell ref="B2:C2"/>
    <mergeCell ref="D2:E2"/>
    <mergeCell ref="F2:G2"/>
    <mergeCell ref="B3:C3"/>
    <mergeCell ref="D3:E3"/>
    <mergeCell ref="F3:G3"/>
    <mergeCell ref="B4:C4"/>
    <mergeCell ref="D4:E4"/>
    <mergeCell ref="F4:G4"/>
  </mergeCells>
  <dataValidations count="4">
    <dataValidation type="list" allowBlank="1" showInputMessage="1" showErrorMessage="1" sqref="B114 K114 T114 AC114" xr:uid="{00000000-0002-0000-3200-000000000000}">
      <formula1>$Y$136:$Y$145</formula1>
      <formula2>0</formula2>
    </dataValidation>
    <dataValidation type="list" allowBlank="1" showInputMessage="1" showErrorMessage="1" sqref="E114 N114 W114 AF114 A120 J120 S120 AB120" xr:uid="{00000000-0002-0000-3200-000001000000}">
      <formula1>$Z$19:$Z$20</formula1>
      <formula2>0</formula2>
    </dataValidation>
    <dataValidation type="list" allowBlank="1" showInputMessage="1" showErrorMessage="1" sqref="B117:D117 K117:M117 T117:V117 AC117:AE117" xr:uid="{00000000-0002-0000-3200-000002000000}">
      <formula1>$AP$117:$AP$118</formula1>
      <formula2>0</formula2>
    </dataValidation>
    <dataValidation type="list" allowBlank="1" showInputMessage="1" showErrorMessage="1" sqref="A18:A20 A153:A155 J153:J155 S153:S155 AB153:AB155" xr:uid="{00000000-0002-0000-3200-000003000000}">
      <formula1>$AB$16:$AB$18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AC1002"/>
  <sheetViews>
    <sheetView topLeftCell="A187" zoomScale="110" zoomScaleNormal="110" workbookViewId="0">
      <selection activeCell="D201" sqref="D201"/>
    </sheetView>
  </sheetViews>
  <sheetFormatPr defaultColWidth="10.875" defaultRowHeight="14.25"/>
  <cols>
    <col min="1" max="1" customWidth="true" width="56.0"/>
    <col min="2" max="2" customWidth="true" width="18.125"/>
    <col min="3" max="3" customWidth="true" width="25.125"/>
    <col min="4" max="4" customWidth="true" width="18.125"/>
    <col min="5" max="5" customWidth="true" width="24.0"/>
    <col min="7" max="7" customWidth="true" width="53.5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38.25" customHeight="1">
      <c r="A1" s="391" t="s">
        <v>14</v>
      </c>
      <c r="B1" s="391"/>
      <c r="C1" s="391"/>
      <c r="D1" s="391"/>
      <c r="E1" s="391"/>
      <c r="F1" s="391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6" t="s">
        <v>15</v>
      </c>
      <c r="B2" s="7">
        <f>B9+B11</f>
        <v>18500</v>
      </c>
      <c r="C2" s="6" t="s">
        <v>16</v>
      </c>
      <c r="D2" s="7">
        <f>C9</f>
        <v>3700</v>
      </c>
      <c r="E2" s="6" t="s">
        <v>17</v>
      </c>
      <c r="F2" s="8">
        <f>B13</f>
        <v>0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91"/>
      <c r="B3" s="192"/>
      <c r="C3" s="192"/>
      <c r="D3" s="192"/>
      <c r="E3" s="192"/>
      <c r="F3" s="193" t="s">
        <v>10</v>
      </c>
      <c r="G3" s="55">
        <v>25000</v>
      </c>
      <c r="H3" s="55"/>
      <c r="I3" s="55" t="s">
        <v>31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6" t="s">
        <v>18</v>
      </c>
      <c r="B4" s="7">
        <f>B15+C15</f>
        <v>22200</v>
      </c>
      <c r="C4" s="194"/>
      <c r="D4" s="194"/>
      <c r="E4" s="194"/>
      <c r="F4" s="195" t="s">
        <v>10</v>
      </c>
      <c r="G4" s="55"/>
      <c r="H4" s="55"/>
      <c r="I4" s="55" t="s">
        <v>32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55"/>
      <c r="B5" s="55"/>
      <c r="C5" s="55"/>
      <c r="D5" s="55"/>
      <c r="E5" s="55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2" t="s">
        <v>19</v>
      </c>
      <c r="B7" s="12" t="s">
        <v>20</v>
      </c>
      <c r="C7" s="12" t="s">
        <v>16</v>
      </c>
      <c r="D7" s="392"/>
      <c r="E7" s="392"/>
      <c r="F7" s="55"/>
      <c r="G7" s="297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>
      <c r="A8" s="196"/>
      <c r="B8" s="55"/>
      <c r="C8" s="55"/>
      <c r="D8" s="392"/>
      <c r="E8" s="392"/>
      <c r="F8" s="55"/>
      <c r="G8" s="298" t="e">
        <f>G9*100/B3</f>
        <v>#DIV/0!</v>
      </c>
      <c r="H8" s="55"/>
      <c r="I8" s="14" t="s">
        <v>17</v>
      </c>
      <c r="J8" s="11">
        <f>E13+E14</f>
        <v>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12" t="s">
        <v>21</v>
      </c>
      <c r="B9" s="15">
        <v>18500</v>
      </c>
      <c r="C9" s="11">
        <f>B9*0.2</f>
        <v>3700</v>
      </c>
      <c r="D9" s="392"/>
      <c r="E9" s="392"/>
      <c r="F9" s="55"/>
      <c r="G9" s="297">
        <f>E9-G11</f>
        <v>-152558.33333333334</v>
      </c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197"/>
      <c r="B10" s="55"/>
      <c r="C10" s="55"/>
      <c r="D10" s="392"/>
      <c r="E10" s="392"/>
      <c r="F10" s="55"/>
      <c r="G10" s="297"/>
      <c r="H10" s="55"/>
      <c r="I10" s="16" t="s">
        <v>15</v>
      </c>
      <c r="J10" s="11">
        <f>E15-E11-J8</f>
        <v>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12" t="s">
        <v>22</v>
      </c>
      <c r="B11" s="15">
        <v>0</v>
      </c>
      <c r="C11" s="15">
        <f>B11*0.2</f>
        <v>0</v>
      </c>
      <c r="D11" s="392"/>
      <c r="E11" s="392"/>
      <c r="F11" s="55"/>
      <c r="G11" s="297">
        <f>G13/1.2</f>
        <v>152558.33333333334</v>
      </c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197"/>
      <c r="B12" s="55"/>
      <c r="C12" s="55"/>
      <c r="D12" s="392"/>
      <c r="E12" s="392"/>
      <c r="F12" s="55"/>
      <c r="G12" s="55"/>
      <c r="H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12" t="s">
        <v>23</v>
      </c>
      <c r="B13" s="15">
        <v>0</v>
      </c>
      <c r="C13" s="11"/>
      <c r="D13" s="392"/>
      <c r="E13" s="392"/>
      <c r="F13" s="55"/>
      <c r="G13" s="297">
        <f>G15-E14-E13-E12</f>
        <v>183070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197"/>
      <c r="B14" s="55"/>
      <c r="C14" s="55"/>
      <c r="D14" s="392"/>
      <c r="E14" s="392"/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12" t="s">
        <v>25</v>
      </c>
      <c r="B15" s="11">
        <f>SUM(B9:B13)</f>
        <v>18500</v>
      </c>
      <c r="C15" s="11">
        <f>SUM(C9:C13)</f>
        <v>3700</v>
      </c>
      <c r="D15" s="392"/>
      <c r="E15" s="392"/>
      <c r="F15" s="55"/>
      <c r="G15" s="17">
        <v>183070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393"/>
      <c r="B16" s="393"/>
      <c r="C16" s="393"/>
      <c r="D16" s="392"/>
      <c r="E16" s="392"/>
      <c r="F16" s="55"/>
      <c r="G16" s="299">
        <f>(B3+C3+E10)*1.2</f>
        <v>0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393"/>
      <c r="B17" s="393"/>
      <c r="C17" s="393"/>
      <c r="D17" s="392"/>
      <c r="E17" s="392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93"/>
      <c r="B18" s="393"/>
      <c r="C18" s="393"/>
      <c r="D18" s="392"/>
      <c r="E18" s="392"/>
      <c r="F18" s="55"/>
      <c r="G18" s="17">
        <f>(B3+C3+D3+E3+E10)*1.2</f>
        <v>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33" t="s">
        <v>30</v>
      </c>
      <c r="B19" s="333"/>
      <c r="C19" s="333"/>
      <c r="D19" s="333"/>
      <c r="E19" s="11">
        <f>B4</f>
        <v>22200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199"/>
      <c r="B20" s="55"/>
      <c r="C20" s="55"/>
      <c r="D20" s="55"/>
      <c r="E20" s="200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22.15" customHeight="1">
      <c r="A21" s="333" t="s">
        <v>33</v>
      </c>
      <c r="B21" s="333"/>
      <c r="C21" s="333"/>
      <c r="D21" s="333"/>
      <c r="E21" s="11">
        <f>B15</f>
        <v>18500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354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162" t="s">
        <v>138</v>
      </c>
      <c r="B26" s="164" t="s">
        <v>385</v>
      </c>
      <c r="C26" s="158"/>
      <c r="D26" s="158"/>
      <c r="E26" s="159"/>
      <c r="F26" s="55"/>
      <c r="G26" s="160" t="s">
        <v>36</v>
      </c>
      <c r="H26" s="160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38</v>
      </c>
      <c r="H27" s="161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377" t="s">
        <v>192</v>
      </c>
      <c r="B28" s="377"/>
      <c r="C28" s="377"/>
      <c r="D28" s="377"/>
      <c r="E28" s="377"/>
      <c r="F28" s="55"/>
      <c r="G28" s="161" t="s">
        <v>40</v>
      </c>
      <c r="H28" s="16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57"/>
      <c r="B29" s="158"/>
      <c r="C29" s="158"/>
      <c r="D29" s="158"/>
      <c r="E29" s="159"/>
      <c r="F29" s="55"/>
      <c r="G29" s="160" t="s">
        <v>41</v>
      </c>
      <c r="H29" s="300">
        <v>36</v>
      </c>
      <c r="I29" s="273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 t="s">
        <v>193</v>
      </c>
      <c r="B30" s="368" t="s">
        <v>387</v>
      </c>
      <c r="C30" s="368"/>
      <c r="D30" s="158"/>
      <c r="E30" s="159"/>
      <c r="F30" s="55"/>
      <c r="G30" s="160" t="s">
        <v>45</v>
      </c>
      <c r="H30" s="300">
        <v>10000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57"/>
      <c r="B31" s="158"/>
      <c r="C31" s="158"/>
      <c r="D31" s="158"/>
      <c r="E31" s="159"/>
      <c r="F31" s="55"/>
      <c r="G31" s="160" t="s">
        <v>48</v>
      </c>
      <c r="H31" s="37">
        <v>66666.666666666672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57" t="s">
        <v>94</v>
      </c>
      <c r="B32" s="158" t="s">
        <v>95</v>
      </c>
      <c r="C32" s="158"/>
      <c r="D32" s="301" t="s">
        <v>355</v>
      </c>
      <c r="E32" s="159"/>
      <c r="F32" s="55"/>
      <c r="G32" s="160" t="s">
        <v>49</v>
      </c>
      <c r="I32" s="37">
        <v>6000</v>
      </c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31.7" customHeight="1">
      <c r="A33" s="169">
        <f>A52</f>
        <v>36</v>
      </c>
      <c r="B33" s="170">
        <v>10000</v>
      </c>
      <c r="C33" s="171"/>
      <c r="D33" s="302">
        <f>H48</f>
        <v>198.73326337136808</v>
      </c>
      <c r="E33" s="159"/>
      <c r="F33" s="55"/>
      <c r="G33" s="161" t="s">
        <v>356</v>
      </c>
      <c r="H33" s="43">
        <f>E21-E11</f>
        <v>18500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57"/>
      <c r="B34" s="158"/>
      <c r="C34" s="158"/>
      <c r="D34" s="158"/>
      <c r="E34" s="159"/>
      <c r="F34" s="55"/>
      <c r="G34" s="55" t="s">
        <v>372</v>
      </c>
      <c r="H34" s="55">
        <f>H29</f>
        <v>36</v>
      </c>
      <c r="I34" s="55">
        <v>43957.29</v>
      </c>
      <c r="J34" s="55">
        <v>841.24</v>
      </c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57" t="s">
        <v>357</v>
      </c>
      <c r="B35" s="158" t="s">
        <v>358</v>
      </c>
      <c r="C35" s="158"/>
      <c r="D35" s="158" t="s">
        <v>359</v>
      </c>
      <c r="E35" s="159"/>
      <c r="F35" s="55"/>
      <c r="G35" s="46" t="s">
        <v>59</v>
      </c>
      <c r="H35" s="174">
        <v>6.5000000000000002E-2</v>
      </c>
      <c r="I35" s="55">
        <v>46215.83</v>
      </c>
      <c r="J35" s="55">
        <v>909.69</v>
      </c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38">
        <f>H47</f>
        <v>148.73326337136808</v>
      </c>
      <c r="B36" s="34">
        <f>IF(B26="YES",H42,"")</f>
        <v>49.999999999999993</v>
      </c>
      <c r="C36" s="163"/>
      <c r="D36" s="137">
        <f>H31</f>
        <v>66666.666666666672</v>
      </c>
      <c r="E36" s="159"/>
      <c r="F36" s="55"/>
      <c r="G36" s="55"/>
      <c r="H36" s="55"/>
      <c r="I36" s="55">
        <f>I35-I34</f>
        <v>2258.5400000000009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94"/>
      <c r="B37" s="34"/>
      <c r="C37" s="163"/>
      <c r="D37" s="34"/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57"/>
      <c r="B38" s="158"/>
      <c r="C38" s="158"/>
      <c r="D38" s="158"/>
      <c r="E38" s="159"/>
      <c r="F38" s="55"/>
      <c r="G38" s="384" t="s">
        <v>65</v>
      </c>
      <c r="H38" s="384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57" t="s">
        <v>360</v>
      </c>
      <c r="B39" s="158" t="s">
        <v>361</v>
      </c>
      <c r="C39" s="158"/>
      <c r="D39" s="158" t="s">
        <v>362</v>
      </c>
      <c r="E39" s="159"/>
      <c r="F39" s="55"/>
      <c r="G39" s="55" t="s">
        <v>96</v>
      </c>
      <c r="H39" s="5">
        <f>H33</f>
        <v>18500</v>
      </c>
      <c r="I39" s="5">
        <f>(I48*H46)+H44</f>
        <v>57694.317070239951</v>
      </c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92">
        <f>D36*A45/100</f>
        <v>20000.000000000004</v>
      </c>
      <c r="B40" s="348">
        <f>IF(B26="YES",H42,"0")</f>
        <v>49.999999999999993</v>
      </c>
      <c r="C40" s="348"/>
      <c r="D40" s="137">
        <f>I32</f>
        <v>6000</v>
      </c>
      <c r="E40" s="159"/>
      <c r="F40" s="55"/>
      <c r="G40" s="55" t="s">
        <v>118</v>
      </c>
      <c r="H40" s="5">
        <f>A40/1.2</f>
        <v>16666.666666666672</v>
      </c>
      <c r="I40" s="5">
        <f>H39-I39</f>
        <v>-39194.317070239951</v>
      </c>
      <c r="J40" s="55">
        <v>0</v>
      </c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157"/>
      <c r="B41" s="158"/>
      <c r="C41" s="158"/>
      <c r="D41" s="158"/>
      <c r="E41" s="159"/>
      <c r="F41" s="55"/>
      <c r="G41" s="55" t="s">
        <v>363</v>
      </c>
      <c r="H41" s="180">
        <f>H35/12</f>
        <v>5.4166666666666669E-3</v>
      </c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57"/>
      <c r="B42" s="158"/>
      <c r="C42" s="158"/>
      <c r="D42" s="158"/>
      <c r="E42" s="159"/>
      <c r="F42" s="55"/>
      <c r="G42" s="55" t="s">
        <v>364</v>
      </c>
      <c r="H42" s="5">
        <f>(I32/H34)*(C45/100)</f>
        <v>49.999999999999993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209"/>
      <c r="B43" s="210"/>
      <c r="C43" s="210"/>
      <c r="D43" s="210"/>
      <c r="E43" s="211"/>
      <c r="F43" s="55"/>
      <c r="G43" s="55" t="s">
        <v>365</v>
      </c>
      <c r="H43" s="55"/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303" t="s">
        <v>89</v>
      </c>
      <c r="B44" s="158"/>
      <c r="C44" s="404" t="s">
        <v>90</v>
      </c>
      <c r="D44" s="404"/>
      <c r="E44" s="159"/>
      <c r="F44" s="55"/>
      <c r="G44" s="55" t="s">
        <v>373</v>
      </c>
      <c r="H44" s="5">
        <f>(H40/(1+H41)^(H34+1))</f>
        <v>13647.207105867714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304">
        <v>30</v>
      </c>
      <c r="B45" s="158"/>
      <c r="C45" s="405">
        <v>30</v>
      </c>
      <c r="D45" s="405"/>
      <c r="E45" s="159"/>
      <c r="F45" s="55"/>
      <c r="G45" s="55" t="s">
        <v>374</v>
      </c>
      <c r="H45" s="5">
        <f>(H39-H44)</f>
        <v>4852.7928941322862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6"/>
      <c r="B46" s="207"/>
      <c r="C46" s="207"/>
      <c r="D46" s="207"/>
      <c r="E46" s="208"/>
      <c r="F46" s="55"/>
      <c r="G46" s="55" t="s">
        <v>375</v>
      </c>
      <c r="H46" s="5">
        <f>((1-(1/((1+H41)^H34)))/H41)</f>
        <v>32.627488862497948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57"/>
      <c r="B47" s="158"/>
      <c r="C47" s="158"/>
      <c r="D47" s="158"/>
      <c r="E47" s="159"/>
      <c r="F47" s="55"/>
      <c r="G47" s="55" t="s">
        <v>369</v>
      </c>
      <c r="H47" s="5">
        <f>H45/H46</f>
        <v>148.73326337136808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305" t="s">
        <v>370</v>
      </c>
      <c r="H48" s="5">
        <f>IF(B26="YES",H47+H42,H47)</f>
        <v>198.73326337136808</v>
      </c>
      <c r="I48" s="5">
        <f>I49-H42</f>
        <v>1350</v>
      </c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 t="s">
        <v>371</v>
      </c>
      <c r="H49" s="205"/>
      <c r="I49" s="5">
        <v>1400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10000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36</v>
      </c>
      <c r="B52" s="343">
        <f>H48</f>
        <v>198.73326337136808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158"/>
      <c r="N55" s="158"/>
      <c r="O55" s="158"/>
      <c r="P55" s="158"/>
      <c r="Q55" s="158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209"/>
      <c r="N56" s="210"/>
      <c r="O56" s="210"/>
      <c r="P56" s="210"/>
      <c r="Q56" s="211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IF(B99=Y97,1,IF(B99=Y98,1,IF(B99=Y99,3,IF(B99=Y100,6,IF(B99=Y101,9,IF(B99=Y102,12,IF(B99=Y103,3,IF(B99=Y104,6,IF(B99=Y105,9,0)))))))))</f>
        <v>1</v>
      </c>
      <c r="C57" s="158"/>
      <c r="D57" s="158"/>
      <c r="E57" s="159"/>
      <c r="F57" s="55"/>
      <c r="G57" s="157" t="s">
        <v>96</v>
      </c>
      <c r="H57" s="158">
        <f>IF(H99=Y97,1,IF(H99=Y98,1,IF(H99=Y99,3,IF(H99=Y100,6,IF(H99=Y101,9,IF(H99=Y102,12,IF(H99=Y103,3,IF(H99=Y104,6,IF(H99=Y105,9,0)))))))))</f>
        <v>6</v>
      </c>
      <c r="I57" s="158"/>
      <c r="J57" s="158"/>
      <c r="K57" s="159"/>
      <c r="L57" s="55"/>
      <c r="M57" s="157" t="s">
        <v>96</v>
      </c>
      <c r="N57" s="158">
        <f>IF(N99=Y97,1,IF(N99=Y98,1,IF(N99=Y99,3,IF(N99=Y100,6,IF(N99=Y101,9,IF(N99=Y102,12,IF(N99=Y103,3,IF(N99=Y104,6,IF(N99=Y105,9,0)))))))))</f>
        <v>6</v>
      </c>
      <c r="O57" s="158"/>
      <c r="P57" s="158"/>
      <c r="Q57" s="159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IF(B99=Y97,H29-B57,IF(B99=Y98,H29-B57,IF(B99=Y99,H29-1,IF(B99=Y100,H29-1,IF(B99=Y101,H29-1,IF(B99=Y102,H29-1,IF(B99=Y103,H29-B57,IF(B99=Y104,H29-B57,IF(B99=Y105,H29-B57,0)))))))))</f>
        <v>35</v>
      </c>
      <c r="C58" s="158"/>
      <c r="D58" s="158"/>
      <c r="E58" s="159"/>
      <c r="F58" s="55"/>
      <c r="G58" s="157" t="s">
        <v>97</v>
      </c>
      <c r="H58" s="158">
        <f>IF(H99=Y97,H29-H57,IF(H99=Y98,H29-H57,IF(H99=Y99,H29-1,IF(H99=Y100,H29-1,IF(H99=Y101,H29-1,IF(H99=Y102,H29-1,IF(H99=Y103,H29-H57,IF(H99=Y104,H29-H57,IF(H99=Y105,H29-H57,0)))))))))</f>
        <v>35</v>
      </c>
      <c r="I58" s="158"/>
      <c r="J58" s="158"/>
      <c r="K58" s="159"/>
      <c r="L58" s="55"/>
      <c r="M58" s="157" t="s">
        <v>97</v>
      </c>
      <c r="N58" s="158">
        <f>IF(N99=Y97,H29-N57,IF(N99=Y98,H29-N57,IF(N99=Y99,H29-1,IF(N99=Y100,H29-1,IF(N99=Y101,H29-1,IF(N99=Y102,H29-1,IF(N99=Y103,H29-N57,IF(N99=Y104,H29-N57,IF(N99=Y105,H29-N57,0)))))))))</f>
        <v>35</v>
      </c>
      <c r="O58" s="158"/>
      <c r="P58" s="158"/>
      <c r="Q58" s="159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157"/>
      <c r="N59" s="158"/>
      <c r="O59" s="158"/>
      <c r="P59" s="158"/>
      <c r="Q59" s="159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 t="s">
        <v>376</v>
      </c>
      <c r="B60" s="158">
        <f>E19</f>
        <v>22200</v>
      </c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157"/>
      <c r="N60" s="158"/>
      <c r="O60" s="158"/>
      <c r="P60" s="158"/>
      <c r="Q60" s="159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v>37405</v>
      </c>
      <c r="C61" s="158"/>
      <c r="D61" s="158"/>
      <c r="E61" s="159"/>
      <c r="F61" s="55"/>
      <c r="G61" s="157" t="s">
        <v>27</v>
      </c>
      <c r="H61" s="28">
        <f>G18</f>
        <v>0</v>
      </c>
      <c r="I61" s="158"/>
      <c r="J61" s="158"/>
      <c r="K61" s="159"/>
      <c r="L61" s="55"/>
      <c r="M61" s="157" t="s">
        <v>27</v>
      </c>
      <c r="N61" s="28">
        <f>G18</f>
        <v>0</v>
      </c>
      <c r="O61" s="158"/>
      <c r="P61" s="158"/>
      <c r="Q61" s="159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212" t="s">
        <v>283</v>
      </c>
      <c r="N62" s="213">
        <v>7.0000000000000007E-2</v>
      </c>
      <c r="O62" s="158"/>
      <c r="P62" s="158"/>
      <c r="Q62" s="159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0.105</v>
      </c>
      <c r="C63" s="158"/>
      <c r="D63" s="158"/>
      <c r="E63" s="159"/>
      <c r="F63" s="55"/>
      <c r="G63" s="157" t="s">
        <v>284</v>
      </c>
      <c r="H63" s="214">
        <f>H62+(H62*0.25*(H29/12-1))</f>
        <v>0.10500000000000001</v>
      </c>
      <c r="I63" s="158"/>
      <c r="J63" s="158"/>
      <c r="K63" s="159"/>
      <c r="L63" s="55"/>
      <c r="M63" s="157" t="s">
        <v>284</v>
      </c>
      <c r="N63" s="214">
        <f>N62+(N62*0.25*(H29/12-1))</f>
        <v>0.10500000000000001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B60*B63</f>
        <v>2331</v>
      </c>
      <c r="C64" s="306">
        <v>10000</v>
      </c>
      <c r="D64" s="28">
        <f>B64</f>
        <v>2331</v>
      </c>
      <c r="E64" s="307">
        <f>D64/(B58+B57)</f>
        <v>64.75</v>
      </c>
      <c r="F64" s="55"/>
      <c r="G64" s="206" t="s">
        <v>102</v>
      </c>
      <c r="H64" s="57">
        <f>H61*H63</f>
        <v>0</v>
      </c>
      <c r="I64" s="158"/>
      <c r="J64" s="28">
        <f>H64-G145</f>
        <v>0</v>
      </c>
      <c r="K64" s="159"/>
      <c r="L64" s="55"/>
      <c r="M64" s="206" t="s">
        <v>102</v>
      </c>
      <c r="N64" s="57">
        <f>N61*N63</f>
        <v>0</v>
      </c>
      <c r="O64" s="158"/>
      <c r="P64" s="28">
        <f>N64-M145</f>
        <v>0</v>
      </c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>
        <v>300</v>
      </c>
      <c r="C65" s="158"/>
      <c r="D65" s="28"/>
      <c r="E65" s="159"/>
      <c r="F65" s="55"/>
      <c r="G65" s="212" t="s">
        <v>103</v>
      </c>
      <c r="H65" s="213">
        <v>0.01</v>
      </c>
      <c r="I65" s="158"/>
      <c r="J65" s="158"/>
      <c r="K65" s="159"/>
      <c r="L65" s="55"/>
      <c r="M65" s="212" t="s">
        <v>103</v>
      </c>
      <c r="N65" s="213">
        <v>0.01</v>
      </c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308" t="s">
        <v>233</v>
      </c>
      <c r="D66" s="158"/>
      <c r="E66" s="159"/>
      <c r="F66" s="55"/>
      <c r="G66" s="157" t="s">
        <v>104</v>
      </c>
      <c r="H66" s="214">
        <f>H65+(H65*0.5*(H29/12-1))</f>
        <v>0.02</v>
      </c>
      <c r="I66" s="158"/>
      <c r="J66" s="158"/>
      <c r="K66" s="159"/>
      <c r="L66" s="55"/>
      <c r="M66" s="157" t="s">
        <v>104</v>
      </c>
      <c r="N66" s="214">
        <f>N65+(N65*0.5*(H29/12-1))</f>
        <v>0.02</v>
      </c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300</v>
      </c>
      <c r="C67" s="309" t="s">
        <v>233</v>
      </c>
      <c r="D67" s="310"/>
      <c r="E67" s="159"/>
      <c r="F67" s="55"/>
      <c r="G67" s="206" t="s">
        <v>105</v>
      </c>
      <c r="H67" s="57">
        <f>(H61*H66)/1.2</f>
        <v>0</v>
      </c>
      <c r="I67" s="158"/>
      <c r="J67" s="28"/>
      <c r="K67" s="159"/>
      <c r="L67" s="55"/>
      <c r="M67" s="206" t="s">
        <v>105</v>
      </c>
      <c r="N67" s="57">
        <f>(N61*N66)/1.2</f>
        <v>0</v>
      </c>
      <c r="O67" s="158"/>
      <c r="P67" s="2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311"/>
      <c r="D68" s="2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212" t="s">
        <v>106</v>
      </c>
      <c r="N68" s="213">
        <v>7.4999999999999997E-3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216" t="s">
        <v>107</v>
      </c>
      <c r="N69" s="217">
        <v>0.12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206" t="s">
        <v>108</v>
      </c>
      <c r="N70" s="312">
        <f>N68*(1+N69)</f>
        <v>8.4000000000000012E-3</v>
      </c>
      <c r="O70" s="158"/>
      <c r="P70" s="158"/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200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212" t="s">
        <v>109</v>
      </c>
      <c r="N71" s="74">
        <v>160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216" t="s">
        <v>110</v>
      </c>
      <c r="N72" s="65">
        <v>4.5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180</v>
      </c>
      <c r="C73" s="158"/>
      <c r="D73" s="313">
        <f>B73+B71</f>
        <v>380</v>
      </c>
      <c r="E73" s="159" t="s">
        <v>239</v>
      </c>
      <c r="F73" s="55"/>
      <c r="G73" s="206" t="s">
        <v>111</v>
      </c>
      <c r="H73" s="57">
        <f>H72*H29</f>
        <v>162</v>
      </c>
      <c r="I73" s="158"/>
      <c r="J73" s="28">
        <f>H73+H71</f>
        <v>322</v>
      </c>
      <c r="K73" s="159"/>
      <c r="L73" s="55"/>
      <c r="M73" s="206" t="s">
        <v>111</v>
      </c>
      <c r="N73" s="57">
        <f>N72*H29</f>
        <v>162</v>
      </c>
      <c r="O73" s="158"/>
      <c r="P73" s="28">
        <f>N73+N71</f>
        <v>322</v>
      </c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165</v>
      </c>
      <c r="C74" s="158"/>
      <c r="D74" s="158"/>
      <c r="E74" s="159"/>
      <c r="F74" s="55"/>
      <c r="G74" s="212" t="s">
        <v>285</v>
      </c>
      <c r="H74" s="74">
        <v>165</v>
      </c>
      <c r="I74" s="158"/>
      <c r="J74" s="158"/>
      <c r="K74" s="159"/>
      <c r="L74" s="55"/>
      <c r="M74" s="277" t="s">
        <v>285</v>
      </c>
      <c r="N74" s="278">
        <v>0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0</v>
      </c>
      <c r="C75" s="158"/>
      <c r="D75" s="158"/>
      <c r="E75" s="159"/>
      <c r="F75" s="55"/>
      <c r="G75" s="216" t="s">
        <v>286</v>
      </c>
      <c r="H75" s="65">
        <v>0</v>
      </c>
      <c r="I75" s="158"/>
      <c r="J75" s="158"/>
      <c r="K75" s="159"/>
      <c r="L75" s="55"/>
      <c r="M75" s="279" t="s">
        <v>286</v>
      </c>
      <c r="N75" s="280">
        <v>0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((B74+B75)/12)*(H29+1)</f>
        <v>508.75</v>
      </c>
      <c r="C76" s="158"/>
      <c r="D76" s="28">
        <f>B76</f>
        <v>508.75</v>
      </c>
      <c r="E76" s="159"/>
      <c r="F76" s="55"/>
      <c r="G76" s="206" t="s">
        <v>287</v>
      </c>
      <c r="H76" s="57">
        <f>((H74+H75)/12)*(H29-11)</f>
        <v>343.75</v>
      </c>
      <c r="I76" s="158"/>
      <c r="J76" s="28">
        <f>H76</f>
        <v>343.75</v>
      </c>
      <c r="K76" s="159"/>
      <c r="L76" s="55"/>
      <c r="M76" s="281" t="s">
        <v>287</v>
      </c>
      <c r="N76" s="282">
        <f>((N74+N75)/12)*(H29-11)</f>
        <v>0</v>
      </c>
      <c r="O76" s="158"/>
      <c r="P76" s="28">
        <f>N76</f>
        <v>0</v>
      </c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09" t="s">
        <v>288</v>
      </c>
      <c r="B77" s="24">
        <f>B102/(1-0.1)</f>
        <v>444.44444444444446</v>
      </c>
      <c r="C77" s="252"/>
      <c r="D77" s="28">
        <f>B77</f>
        <v>444.44444444444446</v>
      </c>
      <c r="E77" s="307">
        <f>D77/(B58+B57)</f>
        <v>12.345679012345679</v>
      </c>
      <c r="F77" s="55"/>
      <c r="G77" s="212" t="s">
        <v>288</v>
      </c>
      <c r="H77" s="74">
        <v>0</v>
      </c>
      <c r="I77" s="158"/>
      <c r="J77" s="28">
        <f>H77</f>
        <v>0</v>
      </c>
      <c r="K77" s="159"/>
      <c r="L77" s="55"/>
      <c r="M77" s="212" t="s">
        <v>288</v>
      </c>
      <c r="N77" s="74">
        <v>0</v>
      </c>
      <c r="O77" s="158"/>
      <c r="P77" s="28">
        <f>N77</f>
        <v>0</v>
      </c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252"/>
      <c r="D78" s="28">
        <f>B78</f>
        <v>222.22222222222223</v>
      </c>
      <c r="E78" s="307"/>
      <c r="F78" s="55"/>
      <c r="G78" s="157" t="s">
        <v>289</v>
      </c>
      <c r="H78" s="29">
        <v>0</v>
      </c>
      <c r="I78" s="158"/>
      <c r="J78" s="28">
        <f>H78</f>
        <v>0</v>
      </c>
      <c r="K78" s="159"/>
      <c r="L78" s="55"/>
      <c r="M78" s="157" t="s">
        <v>289</v>
      </c>
      <c r="N78" s="29">
        <v>0</v>
      </c>
      <c r="O78" s="158"/>
      <c r="P78" s="28">
        <f>N78</f>
        <v>0</v>
      </c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200</v>
      </c>
      <c r="C79" s="252"/>
      <c r="D79" s="28">
        <f>B79</f>
        <v>200</v>
      </c>
      <c r="E79" s="307"/>
      <c r="F79" s="55"/>
      <c r="G79" s="216" t="s">
        <v>112</v>
      </c>
      <c r="H79" s="65">
        <v>200</v>
      </c>
      <c r="I79" s="158"/>
      <c r="J79" s="28">
        <f>H79</f>
        <v>200</v>
      </c>
      <c r="K79" s="159"/>
      <c r="L79" s="55"/>
      <c r="M79" s="216" t="s">
        <v>112</v>
      </c>
      <c r="N79" s="65">
        <v>200</v>
      </c>
      <c r="O79" s="158"/>
      <c r="P79" s="28">
        <f>N79</f>
        <v>200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200</v>
      </c>
      <c r="C80" s="252"/>
      <c r="D80" s="28">
        <f>B80</f>
        <v>200</v>
      </c>
      <c r="E80" s="307">
        <f>(D73+D76+D79+D80)/(B58+B57)</f>
        <v>35.798611111111114</v>
      </c>
      <c r="F80" s="55"/>
      <c r="G80" s="219" t="s">
        <v>113</v>
      </c>
      <c r="H80" s="75">
        <v>200</v>
      </c>
      <c r="I80" s="158"/>
      <c r="J80" s="28">
        <f>H80</f>
        <v>200</v>
      </c>
      <c r="K80" s="159"/>
      <c r="L80" s="55"/>
      <c r="M80" s="219" t="s">
        <v>113</v>
      </c>
      <c r="N80" s="75">
        <v>200</v>
      </c>
      <c r="O80" s="158"/>
      <c r="P80" s="28">
        <f>N80</f>
        <v>200</v>
      </c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4286.4166666666661</v>
      </c>
      <c r="C81" s="252"/>
      <c r="D81" s="314"/>
      <c r="E81" s="307"/>
      <c r="F81" s="55"/>
      <c r="G81" s="220" t="s">
        <v>114</v>
      </c>
      <c r="H81" s="221">
        <f>SUM(J64:J80)</f>
        <v>1065.75</v>
      </c>
      <c r="I81" s="158"/>
      <c r="J81" s="158"/>
      <c r="K81" s="159"/>
      <c r="L81" s="55"/>
      <c r="M81" s="220" t="s">
        <v>114</v>
      </c>
      <c r="N81" s="221">
        <f>SUM(P64:P80)</f>
        <v>722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119.06712962962962</v>
      </c>
      <c r="C82" s="252"/>
      <c r="D82" s="158"/>
      <c r="E82" s="307"/>
      <c r="F82" s="55"/>
      <c r="G82" s="157" t="s">
        <v>115</v>
      </c>
      <c r="H82" s="29">
        <f>H81/H29</f>
        <v>29.604166666666668</v>
      </c>
      <c r="I82" s="158"/>
      <c r="J82" s="158"/>
      <c r="K82" s="159"/>
      <c r="L82" s="55"/>
      <c r="M82" s="157" t="s">
        <v>115</v>
      </c>
      <c r="N82" s="29">
        <f>N81/H29</f>
        <v>20.055555555555557</v>
      </c>
      <c r="O82" s="158"/>
      <c r="P82" s="158"/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H47</f>
        <v>148.73326337136808</v>
      </c>
      <c r="C83" s="252"/>
      <c r="D83" s="158"/>
      <c r="E83" s="307">
        <f>B83+E80+E77+E64</f>
        <v>261.62755349482484</v>
      </c>
      <c r="F83" s="55"/>
      <c r="G83" s="222" t="s">
        <v>116</v>
      </c>
      <c r="H83" s="52">
        <f>H47</f>
        <v>148.73326337136808</v>
      </c>
      <c r="I83" s="158"/>
      <c r="J83" s="158"/>
      <c r="K83" s="159"/>
      <c r="L83" s="55"/>
      <c r="M83" s="222" t="s">
        <v>116</v>
      </c>
      <c r="N83" s="52">
        <f>H47</f>
        <v>148.73326337136808</v>
      </c>
      <c r="O83" s="158"/>
      <c r="P83" s="158"/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252"/>
      <c r="D84" s="252"/>
      <c r="E84" s="307"/>
      <c r="F84" s="55"/>
      <c r="G84" s="157"/>
      <c r="H84" s="28"/>
      <c r="I84" s="158"/>
      <c r="J84" s="158"/>
      <c r="K84" s="159"/>
      <c r="L84" s="55"/>
      <c r="M84" s="157"/>
      <c r="N84" s="28"/>
      <c r="O84" s="158"/>
      <c r="P84" s="158"/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((B83*H29)+B81)</f>
        <v>9640.8141480359172</v>
      </c>
      <c r="C85" s="252"/>
      <c r="D85" s="252"/>
      <c r="E85" s="307">
        <f>B85/(B58+B57)</f>
        <v>267.8003930009977</v>
      </c>
      <c r="F85" s="55"/>
      <c r="G85" s="209" t="s">
        <v>126</v>
      </c>
      <c r="H85" s="24">
        <f>((H83*H29)+H81)*1.2</f>
        <v>7704.1769776431011</v>
      </c>
      <c r="I85" s="158"/>
      <c r="J85" s="158"/>
      <c r="K85" s="159"/>
      <c r="L85" s="55"/>
      <c r="M85" s="209" t="s">
        <v>126</v>
      </c>
      <c r="N85" s="24">
        <f>((N83*H29)+N81)</f>
        <v>6076.3974813692512</v>
      </c>
      <c r="O85" s="158"/>
      <c r="P85" s="158"/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(((B83*H29)+B81)/(1-B70))*B70</f>
        <v>81.668857244354299</v>
      </c>
      <c r="C86" s="252" t="s">
        <v>242</v>
      </c>
      <c r="D86" s="158"/>
      <c r="E86" s="307">
        <f>B86/(B58+B57)</f>
        <v>2.2685793678987305</v>
      </c>
      <c r="F86" s="55"/>
      <c r="G86" s="157" t="s">
        <v>127</v>
      </c>
      <c r="H86" s="29">
        <f>((((H83*H29)+H81))/(1-H70))*H70</f>
        <v>54.386081931728235</v>
      </c>
      <c r="I86" s="158"/>
      <c r="J86" s="158"/>
      <c r="K86" s="159"/>
      <c r="L86" s="55"/>
      <c r="M86" s="157" t="s">
        <v>127</v>
      </c>
      <c r="N86" s="29">
        <f>(N85/(1-N70))*N70</f>
        <v>51.474121463797616</v>
      </c>
      <c r="O86" s="158"/>
      <c r="P86" s="158"/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9722.4830052802718</v>
      </c>
      <c r="C87" s="252"/>
      <c r="D87" s="315"/>
      <c r="E87" s="307">
        <f>E86+E85</f>
        <v>270.06897236889642</v>
      </c>
      <c r="F87" s="55"/>
      <c r="G87" s="206" t="s">
        <v>128</v>
      </c>
      <c r="H87" s="57">
        <f>IF(H110="YES",((H85+H86)-K114),(H85+H86))</f>
        <v>7758.5630595748289</v>
      </c>
      <c r="I87" s="158"/>
      <c r="J87" s="158"/>
      <c r="K87" s="159"/>
      <c r="L87" s="55"/>
      <c r="M87" s="206" t="s">
        <v>128</v>
      </c>
      <c r="N87" s="57">
        <f>IF(N110="YES",((N85+N86)-Q114),(N85+N86))</f>
        <v>6127.8716028330491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252"/>
      <c r="D88" s="158"/>
      <c r="E88" s="307"/>
      <c r="F88" s="55"/>
      <c r="G88" s="157"/>
      <c r="H88" s="28"/>
      <c r="I88" s="158"/>
      <c r="J88" s="158"/>
      <c r="K88" s="159"/>
      <c r="L88" s="55"/>
      <c r="M88" s="157"/>
      <c r="N88" s="28"/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1">
        <f>IF(B99=Y98,(I32+(I32*B105))/(B58),(I32+(I32*B105))/(B57+B58))*(C45/100)</f>
        <v>60</v>
      </c>
      <c r="C89" s="252"/>
      <c r="D89" s="158"/>
      <c r="E89" s="159"/>
      <c r="F89" s="55"/>
      <c r="G89" s="220" t="s">
        <v>129</v>
      </c>
      <c r="H89" s="221">
        <f>IF(H99=Y98,(D40+(D40*H105))/(H58),(D40+(D40*H105))/(H57+H58))*1.2</f>
        <v>210.73170731707319</v>
      </c>
      <c r="I89" s="158"/>
      <c r="J89" s="158"/>
      <c r="K89" s="159"/>
      <c r="L89" s="55"/>
      <c r="M89" s="220" t="s">
        <v>129</v>
      </c>
      <c r="N89" s="221">
        <f>IF(N99=Y98,(D40+(D40*N105))/(N58),(D40+(D40*N105))/(N57+N58))</f>
        <v>175.60975609756099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IF(B99=Y98,(B87-D105)/(B58),B87/(B57+B58))</f>
        <v>270.06897236889642</v>
      </c>
      <c r="C90" s="252"/>
      <c r="D90" s="158"/>
      <c r="E90" s="316"/>
      <c r="F90" s="55"/>
      <c r="G90" s="224" t="s">
        <v>130</v>
      </c>
      <c r="H90" s="225">
        <f>IF(H99=Y98,(H87-J105)/(H58),H87/(H57+H58))</f>
        <v>189.23324535548363</v>
      </c>
      <c r="I90" s="158"/>
      <c r="J90" s="158"/>
      <c r="K90" s="159"/>
      <c r="L90" s="55"/>
      <c r="M90" s="224" t="s">
        <v>130</v>
      </c>
      <c r="N90" s="225">
        <f>IF(N99=Y98,(N87-P105)/(N58),N87/(N57+N58))</f>
        <v>149.46028299592803</v>
      </c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330.06897236889642</v>
      </c>
      <c r="C91" s="252"/>
      <c r="D91" s="317"/>
      <c r="E91" s="274"/>
      <c r="F91" s="55"/>
      <c r="G91" s="226" t="s">
        <v>131</v>
      </c>
      <c r="H91" s="227">
        <f>IF(G105="YES",H90+H89,H90)</f>
        <v>399.96495267255682</v>
      </c>
      <c r="I91" s="158"/>
      <c r="J91" s="158"/>
      <c r="K91" s="159"/>
      <c r="L91" s="55"/>
      <c r="M91" s="226" t="s">
        <v>131</v>
      </c>
      <c r="N91" s="227">
        <f>IF(M105="YES",N90+N89,N90)</f>
        <v>325.07003909348902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50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206"/>
      <c r="N92" s="207"/>
      <c r="O92" s="207"/>
      <c r="P92" s="207"/>
      <c r="Q92" s="208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158"/>
      <c r="N93" s="158"/>
      <c r="O93" s="158"/>
      <c r="P93" s="158"/>
      <c r="Q93" s="158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56.25" customHeight="1">
      <c r="A94" s="376" t="s">
        <v>338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376" t="s">
        <v>345</v>
      </c>
      <c r="N94" s="376"/>
      <c r="O94" s="376"/>
      <c r="P94" s="376"/>
      <c r="Q94" s="376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 t="s">
        <v>377</v>
      </c>
      <c r="F95" s="55"/>
      <c r="G95" s="157"/>
      <c r="H95" s="158"/>
      <c r="I95" s="158"/>
      <c r="J95" s="158"/>
      <c r="K95" s="159"/>
      <c r="L95" s="55"/>
      <c r="M95" s="157"/>
      <c r="N95" s="158"/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377" t="s">
        <v>136</v>
      </c>
      <c r="N96" s="377"/>
      <c r="O96" s="377"/>
      <c r="P96" s="377"/>
      <c r="Q96" s="377"/>
      <c r="R96" s="55"/>
      <c r="S96" s="55"/>
      <c r="T96" s="55"/>
      <c r="U96" s="55"/>
      <c r="V96" s="55"/>
      <c r="W96" s="55"/>
      <c r="X96" s="55"/>
      <c r="Y96" s="55"/>
      <c r="Z96" s="55"/>
    </row>
    <row r="97" spans="1:29" ht="18.75" customHeight="1">
      <c r="A97" s="157"/>
      <c r="B97" s="406"/>
      <c r="C97" s="406"/>
      <c r="D97" s="158"/>
      <c r="E97" s="159"/>
      <c r="F97" s="55"/>
      <c r="G97" s="157"/>
      <c r="H97" s="158"/>
      <c r="I97" s="158"/>
      <c r="J97" s="158"/>
      <c r="K97" s="159"/>
      <c r="L97" s="55"/>
      <c r="M97" s="157"/>
      <c r="N97" s="158"/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 t="s">
        <v>140</v>
      </c>
      <c r="Z97" s="55"/>
      <c r="AC97" s="55"/>
    </row>
    <row r="98" spans="1:29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157" t="s">
        <v>137</v>
      </c>
      <c r="N98" s="158" t="s">
        <v>36</v>
      </c>
      <c r="O98" s="158"/>
      <c r="P98" s="158" t="s">
        <v>291</v>
      </c>
      <c r="Q98" s="159"/>
      <c r="R98" s="55"/>
      <c r="S98" s="55"/>
      <c r="T98" s="55"/>
      <c r="U98" s="55"/>
      <c r="V98" s="55"/>
      <c r="W98" s="55"/>
      <c r="X98" s="55"/>
      <c r="Y98" s="55" t="s">
        <v>270</v>
      </c>
      <c r="Z98" s="55"/>
    </row>
    <row r="99" spans="1:29" ht="18.75" customHeight="1">
      <c r="A99" s="162" t="s">
        <v>292</v>
      </c>
      <c r="B99" s="395" t="s">
        <v>140</v>
      </c>
      <c r="C99" s="395"/>
      <c r="D99" s="348">
        <v>1000</v>
      </c>
      <c r="E99" s="348"/>
      <c r="F99" s="55"/>
      <c r="G99" s="162" t="s">
        <v>292</v>
      </c>
      <c r="H99" s="395" t="s">
        <v>272</v>
      </c>
      <c r="I99" s="395"/>
      <c r="J99" s="348">
        <v>0</v>
      </c>
      <c r="K99" s="348"/>
      <c r="L99" s="55"/>
      <c r="M99" s="162" t="s">
        <v>292</v>
      </c>
      <c r="N99" s="395" t="s">
        <v>272</v>
      </c>
      <c r="O99" s="395"/>
      <c r="P99" s="348">
        <v>0</v>
      </c>
      <c r="Q99" s="348"/>
      <c r="R99" s="55"/>
      <c r="S99" s="55"/>
      <c r="T99" s="55"/>
      <c r="U99" s="55"/>
      <c r="V99" s="55"/>
      <c r="W99" s="55"/>
      <c r="X99" s="55"/>
      <c r="Y99" s="55" t="s">
        <v>271</v>
      </c>
      <c r="Z99" s="55"/>
    </row>
    <row r="100" spans="1:29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157"/>
      <c r="N100" s="158"/>
      <c r="O100" s="158"/>
      <c r="P100" s="158"/>
      <c r="Q100" s="159"/>
      <c r="R100" s="55"/>
      <c r="S100" s="55"/>
      <c r="T100" s="55"/>
      <c r="U100" s="55"/>
      <c r="V100" s="55"/>
      <c r="W100" s="55"/>
      <c r="X100" s="55"/>
      <c r="Y100" s="55" t="s">
        <v>272</v>
      </c>
      <c r="Z100" s="55"/>
    </row>
    <row r="101" spans="1:29" ht="18.75" customHeight="1">
      <c r="A101" s="157" t="s">
        <v>293</v>
      </c>
      <c r="B101" s="158" t="s">
        <v>294</v>
      </c>
      <c r="C101" s="158"/>
      <c r="D101" s="158" t="s">
        <v>378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157" t="s">
        <v>293</v>
      </c>
      <c r="N101" s="158" t="s">
        <v>294</v>
      </c>
      <c r="O101" s="158"/>
      <c r="P101" s="158" t="s">
        <v>295</v>
      </c>
      <c r="Q101" s="159"/>
      <c r="R101" s="55"/>
      <c r="S101" s="55"/>
      <c r="T101" s="55"/>
      <c r="U101" s="55"/>
      <c r="V101" s="55"/>
      <c r="W101" s="55"/>
      <c r="X101" s="55"/>
      <c r="Y101" s="55" t="s">
        <v>273</v>
      </c>
      <c r="Z101" s="55"/>
    </row>
    <row r="102" spans="1:29" ht="18.75" customHeight="1">
      <c r="A102" s="228">
        <v>750</v>
      </c>
      <c r="B102" s="348">
        <v>400</v>
      </c>
      <c r="C102" s="348"/>
      <c r="D102" s="348">
        <v>200</v>
      </c>
      <c r="E102" s="348"/>
      <c r="F102" s="55"/>
      <c r="G102" s="228">
        <v>199.99</v>
      </c>
      <c r="H102" s="348">
        <v>0</v>
      </c>
      <c r="I102" s="348"/>
      <c r="J102" s="348">
        <v>0</v>
      </c>
      <c r="K102" s="348"/>
      <c r="L102" s="55"/>
      <c r="M102" s="228">
        <v>199.99</v>
      </c>
      <c r="N102" s="348">
        <v>0</v>
      </c>
      <c r="O102" s="348"/>
      <c r="P102" s="348">
        <v>0</v>
      </c>
      <c r="Q102" s="348"/>
      <c r="R102" s="55"/>
      <c r="S102" s="55"/>
      <c r="T102" s="55"/>
      <c r="U102" s="55"/>
      <c r="V102" s="55"/>
      <c r="W102" s="55"/>
      <c r="X102" s="55"/>
      <c r="Y102" s="55" t="s">
        <v>274</v>
      </c>
      <c r="Z102" s="55"/>
    </row>
    <row r="103" spans="1:29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 t="s">
        <v>275</v>
      </c>
      <c r="Z103" s="55"/>
    </row>
    <row r="104" spans="1:29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162" t="s">
        <v>138</v>
      </c>
      <c r="N104" s="55" t="s">
        <v>141</v>
      </c>
      <c r="O104" s="158"/>
      <c r="P104" s="158" t="s">
        <v>152</v>
      </c>
      <c r="Q104" s="159"/>
      <c r="R104" s="55"/>
      <c r="S104" s="55"/>
      <c r="T104" s="55"/>
      <c r="U104" s="55"/>
      <c r="V104" s="55"/>
      <c r="W104" s="55"/>
      <c r="X104" s="55"/>
      <c r="Y104" s="55" t="s">
        <v>276</v>
      </c>
      <c r="Z104" s="55"/>
    </row>
    <row r="105" spans="1:29" ht="18.75" customHeight="1">
      <c r="A105" s="164" t="s">
        <v>385</v>
      </c>
      <c r="B105" s="396">
        <v>0.2</v>
      </c>
      <c r="C105" s="396"/>
      <c r="D105" s="348">
        <v>200</v>
      </c>
      <c r="E105" s="348"/>
      <c r="F105" s="55"/>
      <c r="G105" s="164" t="s">
        <v>31</v>
      </c>
      <c r="H105" s="396">
        <v>0.2</v>
      </c>
      <c r="I105" s="396"/>
      <c r="J105" s="348"/>
      <c r="K105" s="348"/>
      <c r="L105" s="55"/>
      <c r="M105" s="164" t="s">
        <v>31</v>
      </c>
      <c r="N105" s="396">
        <v>0.2</v>
      </c>
      <c r="O105" s="396"/>
      <c r="P105" s="348">
        <v>0</v>
      </c>
      <c r="Q105" s="348"/>
      <c r="R105" s="55"/>
      <c r="S105" s="55"/>
      <c r="T105" s="55"/>
      <c r="U105" s="55"/>
      <c r="V105" s="55"/>
      <c r="W105" s="55"/>
      <c r="X105" s="55"/>
      <c r="Y105" s="55" t="s">
        <v>277</v>
      </c>
      <c r="Z105" s="55"/>
    </row>
    <row r="106" spans="1:29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9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157"/>
      <c r="N107" s="158" t="s">
        <v>346</v>
      </c>
      <c r="O107" s="164" t="s">
        <v>31</v>
      </c>
      <c r="P107" s="158"/>
      <c r="Q107" s="159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9" ht="18.75" customHeight="1">
      <c r="A108" s="377">
        <v>199.99</v>
      </c>
      <c r="B108" s="377">
        <v>0</v>
      </c>
      <c r="C108" s="377"/>
      <c r="D108" s="377"/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377" t="s">
        <v>296</v>
      </c>
      <c r="N108" s="377"/>
      <c r="O108" s="377"/>
      <c r="P108" s="377"/>
      <c r="Q108" s="377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9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9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157" t="s">
        <v>297</v>
      </c>
      <c r="N110" s="164" t="s">
        <v>32</v>
      </c>
      <c r="O110" s="158"/>
      <c r="P110" s="158"/>
      <c r="Q110" s="159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9" ht="18.75" customHeight="1">
      <c r="A111" s="157" t="s">
        <v>32</v>
      </c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157"/>
      <c r="N111" s="158"/>
      <c r="O111" s="158"/>
      <c r="P111" s="158"/>
      <c r="Q111" s="159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9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0</v>
      </c>
      <c r="K112" s="92">
        <v>0</v>
      </c>
      <c r="L112" s="55"/>
      <c r="M112" s="157" t="s">
        <v>185</v>
      </c>
      <c r="N112" s="158"/>
      <c r="O112" s="158"/>
      <c r="P112" s="228">
        <v>500</v>
      </c>
      <c r="Q112" s="92">
        <v>300</v>
      </c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0</v>
      </c>
      <c r="K113" s="92">
        <v>0</v>
      </c>
      <c r="L113" s="55"/>
      <c r="M113" s="157" t="s">
        <v>186</v>
      </c>
      <c r="N113" s="158"/>
      <c r="O113" s="158"/>
      <c r="P113" s="35">
        <f>Q113</f>
        <v>100</v>
      </c>
      <c r="Q113" s="92">
        <v>100</v>
      </c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0</v>
      </c>
      <c r="K114" s="127">
        <f>K112-K113</f>
        <v>0</v>
      </c>
      <c r="L114" s="55"/>
      <c r="M114" s="157" t="s">
        <v>187</v>
      </c>
      <c r="N114" s="158"/>
      <c r="O114" s="158"/>
      <c r="P114" s="35">
        <f>P112-P113</f>
        <v>400</v>
      </c>
      <c r="Q114" s="127">
        <f>Q112-Q113</f>
        <v>200</v>
      </c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0</v>
      </c>
      <c r="K115" s="159"/>
      <c r="L115" s="55"/>
      <c r="M115" s="157" t="s">
        <v>188</v>
      </c>
      <c r="N115" s="158"/>
      <c r="O115" s="158"/>
      <c r="P115" s="35">
        <f>P114-Q114</f>
        <v>200</v>
      </c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157"/>
      <c r="N116" s="158"/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f>D99</f>
        <v>1000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209" t="s">
        <v>148</v>
      </c>
      <c r="N117" s="210"/>
      <c r="O117" s="210"/>
      <c r="P117" s="210"/>
      <c r="Q117" s="24">
        <f>P99</f>
        <v>0</v>
      </c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v>199.99</v>
      </c>
      <c r="F118" s="55"/>
      <c r="G118" s="157" t="s">
        <v>66</v>
      </c>
      <c r="H118" s="158"/>
      <c r="I118" s="158"/>
      <c r="J118" s="158"/>
      <c r="K118" s="29">
        <f>G102</f>
        <v>199.99</v>
      </c>
      <c r="L118" s="55"/>
      <c r="M118" s="157" t="s">
        <v>66</v>
      </c>
      <c r="N118" s="158"/>
      <c r="O118" s="158"/>
      <c r="P118" s="158"/>
      <c r="Q118" s="29">
        <f>M102</f>
        <v>199.99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((E118*1.2)+E117)-E114</f>
        <v>1239.9880000000001</v>
      </c>
      <c r="F119" s="55"/>
      <c r="G119" s="229" t="s">
        <v>298</v>
      </c>
      <c r="H119" s="207"/>
      <c r="I119" s="207"/>
      <c r="J119" s="207"/>
      <c r="K119" s="57">
        <f>((K118/1.2)+K117)-(J115-K113)</f>
        <v>166.65833333333336</v>
      </c>
      <c r="L119" s="55"/>
      <c r="M119" s="229" t="s">
        <v>298</v>
      </c>
      <c r="N119" s="207"/>
      <c r="O119" s="207"/>
      <c r="P119" s="207"/>
      <c r="Q119" s="57">
        <f>(Q118+Q117)-P115</f>
        <v>-9.9999999999909051E-3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157"/>
      <c r="N120" s="158"/>
      <c r="O120" s="158"/>
      <c r="P120" s="158"/>
      <c r="Q120" s="159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157"/>
      <c r="N121" s="158"/>
      <c r="O121" s="158"/>
      <c r="P121" s="158"/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377" t="s">
        <v>299</v>
      </c>
      <c r="N122" s="377"/>
      <c r="O122" s="377"/>
      <c r="P122" s="377"/>
      <c r="Q122" s="377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157"/>
      <c r="N123" s="158"/>
      <c r="O123" s="158"/>
      <c r="P123" s="158"/>
      <c r="Q123" s="159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157" t="s">
        <v>193</v>
      </c>
      <c r="N124" s="368">
        <v>0</v>
      </c>
      <c r="O124" s="368"/>
      <c r="P124" s="158"/>
      <c r="Q124" s="159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36</v>
      </c>
      <c r="C125" s="236"/>
      <c r="D125" s="235">
        <f>B160</f>
        <v>10000</v>
      </c>
      <c r="E125" s="233"/>
      <c r="F125" s="55"/>
      <c r="G125" s="157"/>
      <c r="H125" s="158"/>
      <c r="I125" s="158"/>
      <c r="J125" s="158"/>
      <c r="K125" s="159"/>
      <c r="L125" s="55"/>
      <c r="M125" s="157"/>
      <c r="N125" s="158"/>
      <c r="O125" s="158"/>
      <c r="P125" s="158"/>
      <c r="Q125" s="159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238" t="s">
        <v>302</v>
      </c>
      <c r="H126" s="239" t="s">
        <v>303</v>
      </c>
      <c r="I126" s="239"/>
      <c r="J126" s="239" t="s">
        <v>304</v>
      </c>
      <c r="K126" s="159"/>
      <c r="L126" s="55"/>
      <c r="M126" s="238" t="s">
        <v>347</v>
      </c>
      <c r="N126" s="239" t="s">
        <v>259</v>
      </c>
      <c r="O126" s="239"/>
      <c r="P126" s="239" t="s">
        <v>131</v>
      </c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242">
        <f>H90</f>
        <v>189.23324535548363</v>
      </c>
      <c r="H127" s="133">
        <f>IF(G105="YES",H89*H57,0)</f>
        <v>1264.3902439024391</v>
      </c>
      <c r="I127" s="133"/>
      <c r="J127" s="243">
        <f>H91</f>
        <v>399.96495267255682</v>
      </c>
      <c r="K127" s="159"/>
      <c r="L127" s="55"/>
      <c r="M127" s="242">
        <f>N90</f>
        <v>149.46028299592803</v>
      </c>
      <c r="N127" s="133">
        <f>IF(M105="YES",N89*N57,0)</f>
        <v>1053.6585365853659</v>
      </c>
      <c r="O127" s="133"/>
      <c r="P127" s="133">
        <f>N91</f>
        <v>325.07003909348902</v>
      </c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270.06897236889642</v>
      </c>
      <c r="B128" s="232">
        <f>IF(A105="YES",B89,0)</f>
        <v>60</v>
      </c>
      <c r="C128" s="236"/>
      <c r="D128" s="232">
        <f>B91</f>
        <v>330.06897236889642</v>
      </c>
      <c r="E128" s="233"/>
      <c r="F128" s="55"/>
      <c r="G128" s="157"/>
      <c r="H128" s="158"/>
      <c r="I128" s="158"/>
      <c r="J128" s="158"/>
      <c r="K128" s="159"/>
      <c r="L128" s="55"/>
      <c r="M128" s="157"/>
      <c r="N128" s="158"/>
      <c r="O128" s="158"/>
      <c r="P128" s="158"/>
      <c r="Q128" s="159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 t="s">
        <v>94</v>
      </c>
      <c r="H129" s="158" t="s">
        <v>95</v>
      </c>
      <c r="I129" s="158"/>
      <c r="J129" s="158" t="s">
        <v>97</v>
      </c>
      <c r="K129" s="159"/>
      <c r="L129" s="55"/>
      <c r="M129" s="157" t="s">
        <v>94</v>
      </c>
      <c r="N129" s="158" t="s">
        <v>95</v>
      </c>
      <c r="O129" s="158"/>
      <c r="P129" s="158" t="s">
        <v>97</v>
      </c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169">
        <f>G152</f>
        <v>36</v>
      </c>
      <c r="H130" s="170">
        <f>B151</f>
        <v>0</v>
      </c>
      <c r="I130" s="171"/>
      <c r="J130" s="170">
        <f>B58</f>
        <v>35</v>
      </c>
      <c r="K130" s="159"/>
      <c r="L130" s="55"/>
      <c r="M130" s="169">
        <f>M155</f>
        <v>36</v>
      </c>
      <c r="N130" s="170">
        <f>B151</f>
        <v>0</v>
      </c>
      <c r="O130" s="171"/>
      <c r="P130" s="170">
        <f>B58</f>
        <v>35</v>
      </c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44" t="str">
        <f>B99</f>
        <v xml:space="preserve"> Monthly in advance </v>
      </c>
      <c r="B131" s="34">
        <f>B90*B57</f>
        <v>270.06897236889642</v>
      </c>
      <c r="C131" s="158"/>
      <c r="D131" s="34">
        <f>IF(A105="YES",B89*B57,0)</f>
        <v>60</v>
      </c>
      <c r="E131" s="159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157" t="s">
        <v>348</v>
      </c>
      <c r="N132" s="158" t="s">
        <v>251</v>
      </c>
      <c r="O132" s="158"/>
      <c r="P132" s="158" t="s">
        <v>254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1135.3994721329018</v>
      </c>
      <c r="H133" s="34">
        <f>IF(G105="YES",H89*H57,0)</f>
        <v>1264.3902439024391</v>
      </c>
      <c r="I133" s="163"/>
      <c r="J133" s="137">
        <f>H91*H57</f>
        <v>2399.7897160353409</v>
      </c>
      <c r="K133" s="159"/>
      <c r="L133" s="55"/>
      <c r="M133" s="138">
        <f>N90*N57</f>
        <v>896.76169797556815</v>
      </c>
      <c r="N133" s="34">
        <f>IF(M105="YES",N89*N57,0)</f>
        <v>1053.6585365853659</v>
      </c>
      <c r="O133" s="163"/>
      <c r="P133" s="137">
        <f>N91*N57</f>
        <v>1950.4202345609342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94">
        <f>B91*B57</f>
        <v>330.06897236889642</v>
      </c>
      <c r="B134" s="34">
        <f>E114</f>
        <v>0</v>
      </c>
      <c r="C134" s="158"/>
      <c r="D134" s="245">
        <f>B58</f>
        <v>35</v>
      </c>
      <c r="E134" s="159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157" t="s">
        <v>261</v>
      </c>
      <c r="N135" s="158" t="s">
        <v>262</v>
      </c>
      <c r="O135" s="158"/>
      <c r="P135" s="158" t="s">
        <v>266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</v>
      </c>
      <c r="H136" s="34">
        <f>IF(G105="YES",E15*0.000002,0)</f>
        <v>0</v>
      </c>
      <c r="I136" s="34"/>
      <c r="J136" s="34">
        <f>G136+H136</f>
        <v>0</v>
      </c>
      <c r="K136" s="90"/>
      <c r="L136" s="55"/>
      <c r="M136" s="94">
        <f>E15*0.000006</f>
        <v>0</v>
      </c>
      <c r="N136" s="34">
        <f>IF(M105="YES",E15*0.000002,0)</f>
        <v>0</v>
      </c>
      <c r="O136" s="34"/>
      <c r="P136" s="34">
        <f>M136+N136</f>
        <v>0</v>
      </c>
      <c r="Q136" s="90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94">
        <f>B90</f>
        <v>270.06897236889642</v>
      </c>
      <c r="B137" s="34">
        <f>IF(A105="YES",B89,0)</f>
        <v>60</v>
      </c>
      <c r="C137" s="158"/>
      <c r="D137" s="34">
        <f>B91</f>
        <v>330.06897236889642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157" t="s">
        <v>151</v>
      </c>
      <c r="N138" s="158" t="s">
        <v>316</v>
      </c>
      <c r="O138" s="158"/>
      <c r="P138" s="158" t="s">
        <v>317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199.99</v>
      </c>
      <c r="H139" s="34">
        <f>H67</f>
        <v>0</v>
      </c>
      <c r="I139" s="34"/>
      <c r="J139" s="34">
        <f>H102*0.9</f>
        <v>0</v>
      </c>
      <c r="K139" s="90"/>
      <c r="L139" s="55"/>
      <c r="M139" s="94">
        <f>M102</f>
        <v>199.99</v>
      </c>
      <c r="N139" s="34">
        <f>N67</f>
        <v>0</v>
      </c>
      <c r="O139" s="34"/>
      <c r="P139" s="34">
        <f>N102*0.9</f>
        <v>0</v>
      </c>
      <c r="Q139" s="90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250">
        <f>(B61*0.000006)*100</f>
        <v>22.443000000000001</v>
      </c>
      <c r="B140" s="251">
        <f>IF(A105="YES",B61*0.000002,0)*100</f>
        <v>7.4809999999999999</v>
      </c>
      <c r="C140" s="252"/>
      <c r="D140" s="251">
        <f>A140+B140</f>
        <v>29.923999999999999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157" t="s">
        <v>319</v>
      </c>
      <c r="N141" s="158" t="s">
        <v>320</v>
      </c>
      <c r="O141" s="158"/>
      <c r="P141" s="158" t="s">
        <v>321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IF(G105="YES",((B36*H105)*0.1)*(G130),0)</f>
        <v>36</v>
      </c>
      <c r="H142" s="34">
        <f>G102-100</f>
        <v>99.990000000000009</v>
      </c>
      <c r="I142" s="34"/>
      <c r="J142" s="34" t="e">
        <f>(H139+J139+G142+H142)-H145</f>
        <v>#DIV/0!</v>
      </c>
      <c r="K142" s="90"/>
      <c r="L142" s="55"/>
      <c r="M142" s="94">
        <f>IF(M105="YES",((B36*N105)*0.1)*(M130),0)</f>
        <v>36</v>
      </c>
      <c r="N142" s="34">
        <f>M102-100</f>
        <v>99.990000000000009</v>
      </c>
      <c r="O142" s="34"/>
      <c r="P142" s="34" t="e">
        <f>(N139+P139+M142+N142)-N145</f>
        <v>#DIV/0!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v>0</v>
      </c>
      <c r="B143" s="34">
        <f>E118</f>
        <v>199.99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157" t="s">
        <v>323</v>
      </c>
      <c r="N144" s="158" t="s">
        <v>324</v>
      </c>
      <c r="O144" s="158"/>
      <c r="P144" s="158"/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v>0</v>
      </c>
      <c r="H145" s="34" t="e">
        <f>(H139+J139+G142+H142)*(G145/H64)</f>
        <v>#DIV/0!</v>
      </c>
      <c r="I145" s="158"/>
      <c r="J145" s="158"/>
      <c r="K145" s="159"/>
      <c r="L145" s="55"/>
      <c r="M145" s="94">
        <v>0</v>
      </c>
      <c r="N145" s="34" t="e">
        <f>(N139+P139+M142+N142)*(M145/N64)</f>
        <v>#DIV/0!</v>
      </c>
      <c r="O145" s="158"/>
      <c r="P145" s="158"/>
      <c r="Q145" s="159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94"/>
      <c r="N146" s="34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3" t="s">
        <v>349</v>
      </c>
      <c r="N147" s="35" t="s">
        <v>350</v>
      </c>
      <c r="O147" s="158"/>
      <c r="P147" s="158"/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300</v>
      </c>
      <c r="B148" s="34">
        <f>B102</f>
        <v>400</v>
      </c>
      <c r="C148" s="34"/>
      <c r="D148" s="34">
        <f>IF(A105="YES",(B40*B105)*B125,0)*0.1</f>
        <v>36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285">
        <v>18000</v>
      </c>
      <c r="N148" s="400">
        <v>0.99</v>
      </c>
      <c r="O148" s="400"/>
      <c r="P148" s="158"/>
      <c r="Q148" s="159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157"/>
      <c r="N150" s="158"/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225</v>
      </c>
      <c r="B151" s="34">
        <f>(A148+B148+D148+A151)*(A143/B64)</f>
        <v>0</v>
      </c>
      <c r="C151" s="34"/>
      <c r="D151" s="34">
        <f>(A148+B148+D148+A151)-B151-A154</f>
        <v>761</v>
      </c>
      <c r="E151" s="90"/>
      <c r="F151" s="55"/>
      <c r="G151" s="387"/>
      <c r="H151" s="389">
        <f>B51</f>
        <v>10000</v>
      </c>
      <c r="I151" s="389"/>
      <c r="J151" s="158"/>
      <c r="K151" s="159"/>
      <c r="L151" s="55"/>
      <c r="M151" s="202" t="s">
        <v>329</v>
      </c>
      <c r="N151" s="158"/>
      <c r="O151" s="158"/>
      <c r="P151" s="203"/>
      <c r="Q151" s="204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36</v>
      </c>
      <c r="H152" s="343">
        <f>H91</f>
        <v>399.96495267255682</v>
      </c>
      <c r="I152" s="343"/>
      <c r="J152" s="158"/>
      <c r="K152" s="159"/>
      <c r="L152" s="55"/>
      <c r="M152" s="157"/>
      <c r="N152" s="183"/>
      <c r="O152" s="183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387" t="s">
        <v>94</v>
      </c>
      <c r="N153" s="388" t="s">
        <v>95</v>
      </c>
      <c r="O153" s="38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387"/>
      <c r="N154" s="389">
        <f>B51</f>
        <v>10000</v>
      </c>
      <c r="O154" s="389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185">
        <f>A52</f>
        <v>36</v>
      </c>
      <c r="N155" s="343">
        <f>N91</f>
        <v>325.07003909348902</v>
      </c>
      <c r="O155" s="343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157"/>
      <c r="N157" s="158"/>
      <c r="O157" s="158"/>
      <c r="P157" s="158"/>
      <c r="Q157" s="159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157"/>
      <c r="N158" s="158"/>
      <c r="O158" s="158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157"/>
      <c r="N159" s="158"/>
      <c r="O159" s="15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10000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157"/>
      <c r="N160" s="158"/>
      <c r="O160" s="158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36</v>
      </c>
      <c r="B161" s="343">
        <f>B91</f>
        <v>330.06897236889642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157"/>
      <c r="N161" s="158"/>
      <c r="O161" s="158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206"/>
      <c r="N162" s="207"/>
      <c r="O162" s="207"/>
      <c r="P162" s="207"/>
      <c r="Q162" s="208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157"/>
      <c r="B165" s="158"/>
      <c r="C165" s="158"/>
      <c r="D165" s="158"/>
      <c r="E165" s="159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206"/>
      <c r="B166" s="207"/>
      <c r="C166" s="207"/>
      <c r="D166" s="207"/>
      <c r="E166" s="208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35">
        <f>A161</f>
        <v>36</v>
      </c>
      <c r="C174" s="236"/>
      <c r="D174" s="235">
        <f>D125</f>
        <v>10000</v>
      </c>
      <c r="E174" s="233"/>
      <c r="F174" s="55"/>
      <c r="G174" s="273" t="s">
        <v>379</v>
      </c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B90</f>
        <v>270.06897236889642</v>
      </c>
      <c r="B177" s="232">
        <f>IF(A105="YES",B89,0)</f>
        <v>60</v>
      </c>
      <c r="C177" s="236"/>
      <c r="D177" s="232">
        <f>B91</f>
        <v>330.06897236889642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B99</f>
        <v xml:space="preserve"> Monthly in advance </v>
      </c>
      <c r="B180" s="34">
        <f>B90*B57</f>
        <v>270.06897236889642</v>
      </c>
      <c r="C180" s="158"/>
      <c r="D180" s="34">
        <f>IF(A105="YES",B89*B57,0)</f>
        <v>60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B91*B57</f>
        <v>330.06897236889642</v>
      </c>
      <c r="B183" s="34">
        <f>E114</f>
        <v>0</v>
      </c>
      <c r="C183" s="158"/>
      <c r="D183" s="245">
        <f>B58</f>
        <v>35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B90</f>
        <v>270.06897236889642</v>
      </c>
      <c r="B186" s="34">
        <f>IF(A105="YES",B89,0)</f>
        <v>60</v>
      </c>
      <c r="C186" s="158"/>
      <c r="D186" s="34">
        <f>B91</f>
        <v>330.06897236889642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A140</f>
        <v>22.443000000000001</v>
      </c>
      <c r="B189" s="251">
        <f>B140</f>
        <v>7.4809999999999999</v>
      </c>
      <c r="C189" s="252"/>
      <c r="D189" s="251">
        <f>A189+B189</f>
        <v>29.923999999999999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E118</f>
        <v>199.99</v>
      </c>
      <c r="C192" s="158"/>
      <c r="D192" s="119">
        <f>B102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B67</f>
        <v>300</v>
      </c>
      <c r="B197" s="34">
        <f>B102</f>
        <v>400</v>
      </c>
      <c r="C197" s="34"/>
      <c r="D197" s="34">
        <f>IF(A105="YES",(B40*B105)*B125,0)*0.1</f>
        <v>36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A151</f>
        <v>225</v>
      </c>
      <c r="B200" s="34">
        <f>(A148+B148+D148+A151)*(A143/B64)</f>
        <v>0</v>
      </c>
      <c r="C200" s="34"/>
      <c r="D200" s="34">
        <f>D151</f>
        <v>761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D102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6.5000000000000002E-2</v>
      </c>
      <c r="C209" s="232" t="s">
        <v>227</v>
      </c>
      <c r="D209" s="261">
        <f>D64</f>
        <v>2331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300</v>
      </c>
      <c r="C211" s="231" t="s">
        <v>229</v>
      </c>
      <c r="D211" s="261">
        <f>B225+E221+B221+B223</f>
        <v>825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2856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D64</f>
        <v>2331</v>
      </c>
      <c r="C217" s="178" t="s">
        <v>233</v>
      </c>
      <c r="D217" s="158"/>
      <c r="E217" s="214">
        <f>B66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B67</f>
        <v>300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(B77-(B77*(E219*100)))*0.1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B78-(B78*(E219*100))</f>
        <v>200</v>
      </c>
      <c r="C223" s="163" t="s">
        <v>230</v>
      </c>
      <c r="D223" s="158"/>
      <c r="E223" s="29">
        <f>(B217-B211+D211)</f>
        <v>2856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360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customFormat="1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B71</f>
        <v>200</v>
      </c>
      <c r="C229" s="163" t="s">
        <v>238</v>
      </c>
      <c r="D229" s="254"/>
      <c r="E229" s="118">
        <f>B72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D73</f>
        <v>380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B68</f>
        <v>7.4999999999999997E-3</v>
      </c>
      <c r="C231" s="163" t="s">
        <v>241</v>
      </c>
      <c r="D231" s="254"/>
      <c r="E231" s="214">
        <f>B69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B86</f>
        <v>81.668857244354299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B79</f>
        <v>200</v>
      </c>
      <c r="C233" s="268" t="s">
        <v>336</v>
      </c>
      <c r="D233" s="269"/>
      <c r="E233" s="118">
        <f>B74</f>
        <v>165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B80</f>
        <v>200</v>
      </c>
      <c r="C235" s="272" t="s">
        <v>337</v>
      </c>
      <c r="D235" s="272"/>
      <c r="E235" s="118">
        <f>B75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/>
    <row r="359" spans="1:26" ht="15.75" customHeight="1"/>
    <row r="360" spans="1:26" ht="15.75" customHeight="1"/>
    <row r="361" spans="1:26" ht="15.75" customHeight="1"/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4">
    <mergeCell ref="A207:E207"/>
    <mergeCell ref="A159:A160"/>
    <mergeCell ref="B159:C159"/>
    <mergeCell ref="B160:C160"/>
    <mergeCell ref="B161:C161"/>
    <mergeCell ref="A171:E171"/>
    <mergeCell ref="H152:I152"/>
    <mergeCell ref="M153:M154"/>
    <mergeCell ref="N153:O153"/>
    <mergeCell ref="N154:O154"/>
    <mergeCell ref="N155:O155"/>
    <mergeCell ref="H124:I124"/>
    <mergeCell ref="N124:O124"/>
    <mergeCell ref="N148:O148"/>
    <mergeCell ref="G150:G151"/>
    <mergeCell ref="H150:I150"/>
    <mergeCell ref="H151:I151"/>
    <mergeCell ref="P105:Q105"/>
    <mergeCell ref="A108:E108"/>
    <mergeCell ref="G108:K108"/>
    <mergeCell ref="M108:Q108"/>
    <mergeCell ref="A122:E122"/>
    <mergeCell ref="G122:K122"/>
    <mergeCell ref="M122:Q122"/>
    <mergeCell ref="B105:C105"/>
    <mergeCell ref="D105:E105"/>
    <mergeCell ref="H105:I105"/>
    <mergeCell ref="J105:K105"/>
    <mergeCell ref="N105:O105"/>
    <mergeCell ref="N99:O99"/>
    <mergeCell ref="P99:Q99"/>
    <mergeCell ref="B102:C102"/>
    <mergeCell ref="D102:E102"/>
    <mergeCell ref="H102:I102"/>
    <mergeCell ref="J102:K102"/>
    <mergeCell ref="N102:O102"/>
    <mergeCell ref="P102:Q102"/>
    <mergeCell ref="B97:C97"/>
    <mergeCell ref="B99:C99"/>
    <mergeCell ref="D99:E99"/>
    <mergeCell ref="H99:I99"/>
    <mergeCell ref="J99:K99"/>
    <mergeCell ref="B52:C52"/>
    <mergeCell ref="A94:E94"/>
    <mergeCell ref="G94:K94"/>
    <mergeCell ref="M94:Q94"/>
    <mergeCell ref="A96:E96"/>
    <mergeCell ref="G96:K96"/>
    <mergeCell ref="M96:Q96"/>
    <mergeCell ref="C44:D44"/>
    <mergeCell ref="C45:D45"/>
    <mergeCell ref="A50:A51"/>
    <mergeCell ref="B50:C50"/>
    <mergeCell ref="B51:C51"/>
    <mergeCell ref="A24:E24"/>
    <mergeCell ref="A28:E28"/>
    <mergeCell ref="B30:C30"/>
    <mergeCell ref="G38:H38"/>
    <mergeCell ref="B40:C40"/>
    <mergeCell ref="A1:F1"/>
    <mergeCell ref="D7:E18"/>
    <mergeCell ref="A16:C18"/>
    <mergeCell ref="A19:D19"/>
    <mergeCell ref="A21:D21"/>
  </mergeCells>
  <dataValidations count="1">
    <dataValidation type="list" allowBlank="1" showErrorMessage="1" sqref="H99 N99 G105 M105 O107 H110 N110" xr:uid="{00000000-0002-0000-3300-000002000000}">
      <formula1>#REF!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3300-000000000000}">
          <x14:formula1>
            <xm:f>'Formula1-BCH'!$I$3:$I$4</xm:f>
          </x14:formula1>
          <x14:formula2>
            <xm:f>0</xm:f>
          </x14:formula2>
          <xm:sqref>B26 A105 B110</xm:sqref>
        </x14:dataValidation>
        <x14:dataValidation type="list" allowBlank="1" showErrorMessage="1" xr:uid="{00000000-0002-0000-3300-000001000000}">
          <x14:formula1>
            <xm:f>'Formula1-BCH'!$Y$97:$Y$105</xm:f>
          </x14:formula1>
          <x14:formula2>
            <xm:f>0</xm:f>
          </x14:formula2>
          <xm:sqref>B99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AP272"/>
  <sheetViews>
    <sheetView topLeftCell="A247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6" customWidth="true" style="4" width="18.875"/>
    <col min="7" max="7" customWidth="true" style="4" width="23.125"/>
    <col min="8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44" t="s">
        <v>382</v>
      </c>
      <c r="B1" s="344"/>
      <c r="C1" s="344"/>
      <c r="D1" s="344"/>
      <c r="E1" s="344"/>
      <c r="F1" s="344"/>
      <c r="G1" s="344"/>
      <c r="H1" s="344"/>
      <c r="I1" s="5"/>
      <c r="J1" s="5"/>
    </row>
    <row r="2" spans="1:25" ht="21">
      <c r="A2" s="68"/>
      <c r="B2" s="413" t="s">
        <v>154</v>
      </c>
      <c r="C2" s="413"/>
      <c r="D2" s="413" t="s">
        <v>155</v>
      </c>
      <c r="E2" s="413"/>
      <c r="F2" s="413" t="s">
        <v>156</v>
      </c>
      <c r="G2" s="413"/>
      <c r="H2" s="287" t="s">
        <v>157</v>
      </c>
      <c r="I2" s="5"/>
      <c r="J2" s="5"/>
    </row>
    <row r="3" spans="1:25">
      <c r="A3" s="27" t="s">
        <v>160</v>
      </c>
      <c r="B3" s="414">
        <v>20255</v>
      </c>
      <c r="C3" s="414">
        <v>0</v>
      </c>
      <c r="D3" s="414">
        <v>0</v>
      </c>
      <c r="E3" s="414"/>
      <c r="F3" s="414">
        <v>0</v>
      </c>
      <c r="G3" s="414"/>
      <c r="H3" s="289">
        <v>0</v>
      </c>
      <c r="I3" s="5"/>
      <c r="J3" s="5"/>
    </row>
    <row r="4" spans="1:25">
      <c r="A4" s="27" t="s">
        <v>161</v>
      </c>
      <c r="B4" s="418">
        <v>0</v>
      </c>
      <c r="C4" s="418">
        <v>0</v>
      </c>
      <c r="D4" s="418">
        <v>0</v>
      </c>
      <c r="E4" s="418"/>
      <c r="F4" s="418">
        <v>0</v>
      </c>
      <c r="G4" s="418"/>
      <c r="H4" s="105"/>
      <c r="I4" s="5"/>
      <c r="J4" s="5"/>
    </row>
    <row r="5" spans="1:25">
      <c r="A5" s="27" t="s">
        <v>162</v>
      </c>
      <c r="B5" s="414">
        <v>0</v>
      </c>
      <c r="C5" s="414">
        <v>0</v>
      </c>
      <c r="D5" s="414">
        <v>0</v>
      </c>
      <c r="E5" s="414"/>
      <c r="F5" s="414">
        <v>0</v>
      </c>
      <c r="G5" s="414"/>
      <c r="H5" s="29"/>
      <c r="I5" s="5"/>
      <c r="J5" s="5"/>
    </row>
    <row r="6" spans="1:25">
      <c r="A6" s="27" t="s">
        <v>163</v>
      </c>
      <c r="B6" s="380">
        <f>(B3*B4/100)+B5</f>
        <v>0</v>
      </c>
      <c r="C6" s="380">
        <f>(C3*C4/100)+C5</f>
        <v>0</v>
      </c>
      <c r="D6" s="380">
        <f>(D3*D4/100)+D5</f>
        <v>0</v>
      </c>
      <c r="E6" s="380"/>
      <c r="F6" s="380">
        <f>(F3*F4/100)+F5</f>
        <v>0</v>
      </c>
      <c r="G6" s="380"/>
      <c r="H6" s="29"/>
      <c r="I6" s="5"/>
      <c r="J6" s="5"/>
    </row>
    <row r="7" spans="1:25">
      <c r="A7" s="27" t="s">
        <v>164</v>
      </c>
      <c r="B7" s="380">
        <f>B3-B6</f>
        <v>20255</v>
      </c>
      <c r="C7" s="380">
        <f>C3-C6</f>
        <v>0</v>
      </c>
      <c r="D7" s="380">
        <f>D3-D6</f>
        <v>0</v>
      </c>
      <c r="E7" s="380"/>
      <c r="F7" s="380">
        <f>F3-F6</f>
        <v>0</v>
      </c>
      <c r="G7" s="380"/>
      <c r="H7" s="29"/>
      <c r="I7" s="5"/>
      <c r="J7" s="5"/>
    </row>
    <row r="8" spans="1:25">
      <c r="A8" s="27"/>
      <c r="B8" s="28"/>
      <c r="C8" s="28"/>
      <c r="D8" s="28"/>
      <c r="E8" s="28"/>
      <c r="F8" s="28"/>
      <c r="G8" s="28"/>
      <c r="H8" s="29"/>
      <c r="I8" s="5"/>
      <c r="J8" s="5"/>
      <c r="L8" s="14" t="s">
        <v>17</v>
      </c>
      <c r="M8" s="11">
        <f>H13+H14</f>
        <v>340</v>
      </c>
    </row>
    <row r="9" spans="1:25" ht="21">
      <c r="A9" s="356" t="s">
        <v>172</v>
      </c>
      <c r="B9" s="356">
        <v>23125</v>
      </c>
      <c r="C9" s="356"/>
      <c r="D9" s="356"/>
      <c r="E9" s="356">
        <f>(B7+C7+D7+E3)</f>
        <v>20255</v>
      </c>
      <c r="F9" s="356"/>
      <c r="G9" s="109"/>
      <c r="H9" s="290">
        <f>B7+D7+F7+H3</f>
        <v>20255</v>
      </c>
      <c r="I9" s="5"/>
      <c r="J9" s="5"/>
      <c r="L9" s="11"/>
      <c r="M9" s="11"/>
    </row>
    <row r="10" spans="1:25">
      <c r="A10" s="357" t="s">
        <v>173</v>
      </c>
      <c r="B10" s="357"/>
      <c r="C10" s="357"/>
      <c r="D10" s="357"/>
      <c r="E10" s="357">
        <v>50</v>
      </c>
      <c r="F10" s="357"/>
      <c r="G10" s="121"/>
      <c r="H10" s="289">
        <v>695</v>
      </c>
      <c r="I10" s="5"/>
      <c r="J10" s="5"/>
      <c r="L10" s="16" t="s">
        <v>15</v>
      </c>
      <c r="M10" s="11">
        <f>H15-H11-M8</f>
        <v>20950</v>
      </c>
    </row>
    <row r="11" spans="1:25">
      <c r="A11" s="357" t="s">
        <v>174</v>
      </c>
      <c r="B11" s="357">
        <v>0</v>
      </c>
      <c r="C11" s="357"/>
      <c r="D11" s="357"/>
      <c r="E11" s="357"/>
      <c r="F11" s="357"/>
      <c r="G11" s="121"/>
      <c r="H11" s="29">
        <f>(H9+H10)*20%</f>
        <v>4190</v>
      </c>
      <c r="I11" s="5"/>
      <c r="J11" s="5"/>
      <c r="L11" s="11"/>
      <c r="M11" s="11"/>
    </row>
    <row r="12" spans="1:25">
      <c r="A12" s="357" t="s">
        <v>175</v>
      </c>
      <c r="B12" s="357"/>
      <c r="C12" s="357"/>
      <c r="D12" s="357"/>
      <c r="E12" s="357"/>
      <c r="F12" s="357"/>
      <c r="G12" s="121"/>
      <c r="H12" s="289">
        <v>0</v>
      </c>
      <c r="I12" s="5"/>
      <c r="J12" s="5"/>
    </row>
    <row r="13" spans="1:25">
      <c r="A13" s="357" t="s">
        <v>176</v>
      </c>
      <c r="B13" s="357">
        <v>0</v>
      </c>
      <c r="C13" s="357"/>
      <c r="D13" s="357"/>
      <c r="E13" s="357">
        <v>585</v>
      </c>
      <c r="F13" s="357"/>
      <c r="G13" s="121"/>
      <c r="H13" s="289">
        <v>275</v>
      </c>
      <c r="I13" s="5"/>
      <c r="J13" s="5"/>
    </row>
    <row r="14" spans="1:25">
      <c r="A14" s="357" t="s">
        <v>177</v>
      </c>
      <c r="B14" s="357"/>
      <c r="C14" s="357"/>
      <c r="D14" s="357"/>
      <c r="E14" s="357">
        <v>55</v>
      </c>
      <c r="F14" s="357"/>
      <c r="G14" s="121"/>
      <c r="H14" s="289">
        <v>65</v>
      </c>
      <c r="I14" s="5"/>
      <c r="J14" s="5" t="s">
        <v>24</v>
      </c>
    </row>
    <row r="15" spans="1:25">
      <c r="A15" s="357" t="s">
        <v>178</v>
      </c>
      <c r="B15" s="357"/>
      <c r="C15" s="357"/>
      <c r="D15" s="357"/>
      <c r="E15" s="357"/>
      <c r="F15" s="357"/>
      <c r="G15" s="121"/>
      <c r="H15" s="291">
        <f>(H9+H10+H13+H14+H11)-H12</f>
        <v>25480</v>
      </c>
      <c r="I15" s="5"/>
      <c r="J15" s="17">
        <f>H15</f>
        <v>25480</v>
      </c>
    </row>
    <row r="16" spans="1:25">
      <c r="A16" s="357" t="s">
        <v>179</v>
      </c>
      <c r="B16" s="357"/>
      <c r="C16" s="357"/>
      <c r="D16" s="357"/>
      <c r="E16" s="357">
        <v>120</v>
      </c>
      <c r="F16" s="357"/>
      <c r="G16" s="121"/>
      <c r="H16" s="289">
        <v>0</v>
      </c>
      <c r="I16" s="5"/>
      <c r="J16" s="5"/>
      <c r="Y16" s="18" t="s">
        <v>26</v>
      </c>
    </row>
    <row r="17" spans="1:26">
      <c r="A17" s="358" t="s">
        <v>180</v>
      </c>
      <c r="B17" s="358"/>
      <c r="C17" s="358"/>
      <c r="D17" s="358"/>
      <c r="E17" s="358"/>
      <c r="F17" s="358"/>
      <c r="G17" s="34"/>
      <c r="H17" s="29"/>
      <c r="I17" s="5"/>
      <c r="J17" s="5" t="s">
        <v>27</v>
      </c>
      <c r="Y17" s="18" t="s">
        <v>28</v>
      </c>
    </row>
    <row r="18" spans="1:26">
      <c r="A18" s="124" t="s">
        <v>26</v>
      </c>
      <c r="B18" s="360" t="s">
        <v>181</v>
      </c>
      <c r="C18" s="360"/>
      <c r="D18" s="360"/>
      <c r="E18" s="360"/>
      <c r="F18" s="360"/>
      <c r="G18" s="35"/>
      <c r="H18" s="292">
        <v>0</v>
      </c>
      <c r="I18" s="5"/>
      <c r="J18" s="17">
        <f>(B3+D3+F3+H3+H10)*1.2</f>
        <v>25140</v>
      </c>
      <c r="Y18" s="18" t="s">
        <v>29</v>
      </c>
    </row>
    <row r="19" spans="1:26">
      <c r="A19" s="124" t="s">
        <v>28</v>
      </c>
      <c r="B19" s="360" t="s">
        <v>181</v>
      </c>
      <c r="C19" s="360"/>
      <c r="D19" s="360"/>
      <c r="E19" s="360"/>
      <c r="F19" s="360"/>
      <c r="G19" s="35"/>
      <c r="H19" s="292">
        <v>0</v>
      </c>
      <c r="I19" s="5"/>
      <c r="J19" s="5"/>
      <c r="Z19" s="5" t="s">
        <v>31</v>
      </c>
    </row>
    <row r="20" spans="1:26">
      <c r="A20" s="124" t="s">
        <v>29</v>
      </c>
      <c r="B20" s="360" t="s">
        <v>181</v>
      </c>
      <c r="C20" s="360"/>
      <c r="D20" s="360"/>
      <c r="E20" s="360"/>
      <c r="F20" s="360"/>
      <c r="G20" s="35"/>
      <c r="H20" s="292">
        <v>0</v>
      </c>
      <c r="I20" s="5"/>
      <c r="J20" s="5"/>
      <c r="Z20" s="5" t="s">
        <v>32</v>
      </c>
    </row>
    <row r="21" spans="1:26" ht="21">
      <c r="A21" s="417" t="s">
        <v>182</v>
      </c>
      <c r="B21" s="417"/>
      <c r="C21" s="417"/>
      <c r="D21" s="417"/>
      <c r="E21" s="417"/>
      <c r="F21" s="417"/>
      <c r="G21" s="293"/>
      <c r="H21" s="294">
        <f>H15-((H18*1.2)+(H19*1.2)+(H20*1.2)+(H16*1.2))</f>
        <v>25480</v>
      </c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76" t="s">
        <v>246</v>
      </c>
      <c r="B24" s="376"/>
      <c r="C24" s="376"/>
      <c r="D24" s="376"/>
      <c r="E24" s="376"/>
      <c r="F24" s="55"/>
      <c r="G24" s="55"/>
      <c r="H24" s="55"/>
    </row>
    <row r="25" spans="1:26">
      <c r="A25" s="157"/>
      <c r="B25" s="158"/>
      <c r="C25" s="158"/>
      <c r="D25" s="158"/>
      <c r="E25" s="159"/>
      <c r="F25" s="55"/>
      <c r="G25" s="55"/>
      <c r="H25" s="55"/>
    </row>
    <row r="26" spans="1:26" ht="23.25">
      <c r="A26" s="377" t="s">
        <v>247</v>
      </c>
      <c r="B26" s="377"/>
      <c r="C26" s="377"/>
      <c r="D26" s="377"/>
      <c r="E26" s="377"/>
      <c r="F26" s="55"/>
      <c r="G26" s="160"/>
      <c r="H26" s="160"/>
    </row>
    <row r="27" spans="1:26">
      <c r="A27" s="157"/>
      <c r="B27" s="158"/>
      <c r="C27" s="158"/>
      <c r="D27" s="158"/>
      <c r="E27" s="159"/>
      <c r="F27" s="55"/>
      <c r="G27" s="161" t="s">
        <v>96</v>
      </c>
      <c r="H27" s="161">
        <f>IF(A32=Y104,1,IF(A32=Y105,1,IF(A32=Y106,3,IF(A32=Y107,6,IF(A32=Y108,9,IF(A32=Y109,12,IF(A32=Y110,3,IF(A32=Y111,6,IF(A32=Y112,9,0)))))))))</f>
        <v>0</v>
      </c>
    </row>
    <row r="28" spans="1:26" ht="37.5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IF(A32=Y104,H29-H37,IF(A32=Y105,H29-H37,IF(A32=Y106,H29-1,IF(A32=Y107,H29-1,IF(A32=Y108,H29-1,IF(A32=Y109,H29-1,IF(A32=Y110,H29-H37,IF(A32=Y111,H29-H37,IF(A32=Y112,H29-H37,0)))))))))</f>
        <v>0</v>
      </c>
    </row>
    <row r="29" spans="1:26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 t="str">
        <f>B35</f>
        <v>33</v>
      </c>
    </row>
    <row r="30" spans="1:26">
      <c r="A30" s="157"/>
      <c r="B30" s="380"/>
      <c r="C30" s="380"/>
      <c r="D30" s="158"/>
      <c r="E30" s="159"/>
      <c r="F30" s="55"/>
      <c r="G30" s="160" t="s">
        <v>45</v>
      </c>
      <c r="H30" s="160" t="str">
        <f>D35</f>
        <v>5000</v>
      </c>
    </row>
    <row r="31" spans="1:26" ht="37.5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</row>
    <row r="32" spans="1:26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11.333333333333334</v>
      </c>
      <c r="E32" s="381"/>
      <c r="F32" s="55"/>
      <c r="G32" s="168" t="s">
        <v>253</v>
      </c>
      <c r="H32" s="166">
        <f>A41</f>
        <v>11.333333333333334</v>
      </c>
      <c r="J32" s="39" t="s">
        <v>50</v>
      </c>
      <c r="K32" s="40" t="s">
        <v>405</v>
      </c>
    </row>
    <row r="33" spans="1:16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J33" s="39"/>
      <c r="K33" s="13"/>
    </row>
    <row r="34" spans="1:16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J34" s="39" t="s">
        <v>57</v>
      </c>
      <c r="K34" s="44" t="s">
        <v>398</v>
      </c>
    </row>
    <row r="35" spans="1:16">
      <c r="A35" s="167">
        <f>B32+D32</f>
        <v>511.33333333333331</v>
      </c>
      <c r="B35" s="378" t="s">
        <v>403</v>
      </c>
      <c r="C35" s="378"/>
      <c r="D35" s="378" t="s">
        <v>397</v>
      </c>
      <c r="E35" s="378"/>
      <c r="F35" s="55"/>
      <c r="G35" s="46"/>
      <c r="H35" s="174"/>
      <c r="J35" s="39"/>
      <c r="K35" s="13">
        <v>6.5000000000000002E-2</v>
      </c>
    </row>
    <row r="36" spans="1:16">
      <c r="A36" s="157"/>
      <c r="B36" s="158"/>
      <c r="C36" s="158"/>
      <c r="D36" s="158"/>
      <c r="E36" s="159"/>
      <c r="F36" s="55"/>
      <c r="G36" s="55" t="s">
        <v>91</v>
      </c>
      <c r="H36" s="56" t="s">
        <v>406</v>
      </c>
      <c r="J36" s="39" t="s">
        <v>64</v>
      </c>
      <c r="K36" s="47">
        <f>K32-K34</f>
        <v>24480</v>
      </c>
    </row>
    <row r="37" spans="1:16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</row>
    <row r="38" spans="1:16">
      <c r="A38" s="175">
        <f>(B35/12)*D35</f>
        <v>13750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J38" s="382"/>
      <c r="K38" s="382"/>
      <c r="L38" s="5"/>
      <c r="N38" s="4">
        <f>80.88*36</f>
        <v>2911.68</v>
      </c>
    </row>
    <row r="39" spans="1:16">
      <c r="A39" s="176"/>
      <c r="B39" s="171"/>
      <c r="C39" s="171"/>
      <c r="D39" s="158"/>
      <c r="E39" s="159"/>
      <c r="F39" s="55"/>
      <c r="G39" s="55"/>
      <c r="H39" s="5"/>
      <c r="L39" s="5"/>
      <c r="N39" s="4">
        <f>K39-L39</f>
        <v>0</v>
      </c>
    </row>
    <row r="40" spans="1:16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L40" s="5"/>
      <c r="N40" s="4">
        <f>N38-N39</f>
        <v>2911.68</v>
      </c>
    </row>
    <row r="41" spans="1:16">
      <c r="A41" s="89">
        <f>H36/B35</f>
        <v>11.333333333333334</v>
      </c>
      <c r="B41" s="383">
        <f>IF(B38="YES",D38+A41,D38)</f>
        <v>511.33333333333331</v>
      </c>
      <c r="C41" s="383"/>
      <c r="D41" s="346">
        <v>6000</v>
      </c>
      <c r="E41" s="346"/>
      <c r="F41" s="55"/>
      <c r="G41" s="55"/>
      <c r="H41" s="180"/>
      <c r="J41" s="5"/>
      <c r="K41" s="5"/>
      <c r="L41" s="5"/>
    </row>
    <row r="42" spans="1:16">
      <c r="A42" s="176"/>
      <c r="B42" s="171"/>
      <c r="C42" s="171"/>
      <c r="D42" s="171"/>
      <c r="E42" s="181"/>
      <c r="F42" s="55"/>
      <c r="G42" s="384" t="s">
        <v>65</v>
      </c>
      <c r="H42" s="384"/>
      <c r="J42" s="5"/>
      <c r="K42" s="5"/>
      <c r="L42" s="5"/>
    </row>
    <row r="43" spans="1:16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500.36363636363637</v>
      </c>
      <c r="J43" s="5"/>
      <c r="K43" s="5"/>
      <c r="L43" s="5"/>
    </row>
    <row r="44" spans="1:16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11.333333333333334</v>
      </c>
      <c r="J44" s="5"/>
      <c r="K44" s="5"/>
      <c r="L44" s="5"/>
    </row>
    <row r="45" spans="1:16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511.69696969696969</v>
      </c>
      <c r="J45" s="5"/>
      <c r="K45" s="5"/>
      <c r="L45" s="5"/>
    </row>
    <row r="46" spans="1:16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500.36363636363637</v>
      </c>
      <c r="J46" s="5"/>
      <c r="K46" s="5"/>
      <c r="L46" s="5"/>
    </row>
    <row r="47" spans="1:16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J47" s="5"/>
      <c r="K47" s="5"/>
      <c r="L47" s="5"/>
    </row>
    <row r="48" spans="1:16">
      <c r="B48" s="171"/>
      <c r="C48" s="171"/>
      <c r="D48" s="171"/>
      <c r="E48" s="181"/>
      <c r="F48" s="55"/>
      <c r="G48" s="55"/>
      <c r="H48" s="5"/>
      <c r="J48" s="48"/>
      <c r="K48" s="5"/>
      <c r="L48" s="5"/>
    </row>
    <row r="49" spans="1:29">
      <c r="A49" s="176"/>
      <c r="B49" s="171"/>
      <c r="C49" s="171"/>
      <c r="D49" s="171"/>
      <c r="E49" s="181"/>
      <c r="F49" s="55"/>
      <c r="G49" s="55"/>
      <c r="H49" s="5"/>
      <c r="J49" s="5"/>
      <c r="K49" s="5"/>
      <c r="L49" s="5"/>
    </row>
    <row r="50" spans="1:29">
      <c r="A50" s="157"/>
      <c r="B50" s="183"/>
      <c r="C50" s="183"/>
      <c r="D50" s="158"/>
      <c r="E50" s="159"/>
      <c r="I50" s="5"/>
      <c r="J50" s="5"/>
      <c r="K50" s="5"/>
    </row>
    <row r="51" spans="1:29" ht="19.5" customHeight="1">
      <c r="A51" s="387" t="s">
        <v>94</v>
      </c>
      <c r="B51" s="388" t="s">
        <v>95</v>
      </c>
      <c r="C51" s="388"/>
      <c r="D51" s="158"/>
      <c r="E51" s="159"/>
      <c r="I51" s="5"/>
      <c r="J51" s="5"/>
      <c r="K51" s="5"/>
    </row>
    <row r="52" spans="1:29">
      <c r="A52" s="387"/>
      <c r="B52" s="389" t="str">
        <f>H30</f>
        <v>5000</v>
      </c>
      <c r="C52" s="389"/>
      <c r="D52" s="184" t="s">
        <v>10</v>
      </c>
      <c r="E52" s="159"/>
      <c r="I52" s="5"/>
      <c r="J52" s="5"/>
      <c r="K52" s="5"/>
    </row>
    <row r="53" spans="1:29">
      <c r="A53" s="185" t="str">
        <f>H29</f>
        <v>33</v>
      </c>
      <c r="B53" s="343">
        <f>H45</f>
        <v>511.69696969696969</v>
      </c>
      <c r="C53" s="343"/>
      <c r="D53" s="158"/>
      <c r="E53" s="159"/>
      <c r="I53" s="5"/>
      <c r="J53" s="5"/>
      <c r="K53" s="5"/>
    </row>
    <row r="54" spans="1:29">
      <c r="I54" s="5"/>
      <c r="J54" s="5"/>
      <c r="K54" s="5"/>
    </row>
    <row r="55" spans="1:29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29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29">
      <c r="A57" s="22"/>
      <c r="B57" s="23"/>
      <c r="C57" s="23"/>
      <c r="D57" s="23"/>
      <c r="E57" s="63"/>
      <c r="F57" s="63"/>
      <c r="G57" s="63"/>
      <c r="H57" s="24"/>
    </row>
    <row r="58" spans="1:29">
      <c r="A58" s="27" t="s">
        <v>96</v>
      </c>
      <c r="B58" s="28">
        <v>1</v>
      </c>
      <c r="C58" s="186"/>
      <c r="D58" s="28"/>
      <c r="E58" s="21"/>
      <c r="F58" s="21"/>
      <c r="G58" s="21"/>
      <c r="H58" s="29"/>
    </row>
    <row r="59" spans="1:29">
      <c r="A59" s="27" t="s">
        <v>97</v>
      </c>
      <c r="B59" s="28">
        <f>B35-B58</f>
        <v>32</v>
      </c>
      <c r="C59" s="186"/>
      <c r="D59" s="28"/>
      <c r="E59" s="21"/>
      <c r="F59" s="21"/>
      <c r="G59" s="21"/>
      <c r="H59" s="29"/>
    </row>
    <row r="60" spans="1:29">
      <c r="A60" s="64" t="s">
        <v>98</v>
      </c>
      <c r="B60" s="65">
        <v>10</v>
      </c>
      <c r="C60" s="186"/>
      <c r="D60" s="28"/>
      <c r="E60" s="21"/>
      <c r="F60" s="21"/>
      <c r="G60" s="21"/>
      <c r="H60" s="29"/>
    </row>
    <row r="61" spans="1:29">
      <c r="A61" s="27" t="s">
        <v>27</v>
      </c>
      <c r="B61" s="28">
        <f>J18</f>
        <v>25140</v>
      </c>
      <c r="C61" s="186"/>
      <c r="D61" s="28"/>
      <c r="E61" s="21"/>
      <c r="F61" s="21"/>
      <c r="G61" s="21"/>
      <c r="H61" s="29"/>
    </row>
    <row r="62" spans="1:29">
      <c r="A62" s="66" t="s">
        <v>99</v>
      </c>
      <c r="B62" s="67">
        <v>0</v>
      </c>
      <c r="C62" s="186"/>
      <c r="D62" s="28"/>
      <c r="E62" s="21"/>
      <c r="F62" s="21"/>
      <c r="G62" s="21"/>
      <c r="H62" s="29"/>
      <c r="K62" s="10"/>
      <c r="T62" s="10"/>
      <c r="AC62" s="10"/>
    </row>
    <row r="63" spans="1:29">
      <c r="A63" s="68" t="s">
        <v>100</v>
      </c>
      <c r="B63" s="69">
        <v>6.5000000000000002E-2</v>
      </c>
      <c r="C63" s="186"/>
      <c r="D63" s="28"/>
      <c r="E63" s="21"/>
      <c r="F63" s="21"/>
      <c r="G63" s="21"/>
      <c r="H63" s="29"/>
      <c r="K63" s="10"/>
      <c r="T63" s="10"/>
      <c r="AC63" s="10"/>
    </row>
    <row r="64" spans="1:29">
      <c r="A64" s="70" t="s">
        <v>101</v>
      </c>
      <c r="B64" s="71">
        <v>7.1999999999999995E-2</v>
      </c>
      <c r="C64" s="28"/>
      <c r="D64" s="28"/>
      <c r="E64" s="21"/>
      <c r="F64" s="21"/>
      <c r="G64" s="21"/>
      <c r="H64" s="29"/>
      <c r="K64" s="10"/>
      <c r="T64" s="10"/>
      <c r="AC64" s="10"/>
    </row>
    <row r="65" spans="1:29">
      <c r="A65" s="49" t="s">
        <v>102</v>
      </c>
      <c r="B65" s="57">
        <f>(B89*B59)-B53</f>
        <v>22912.10947185551</v>
      </c>
      <c r="C65" s="28"/>
      <c r="D65" s="28"/>
      <c r="E65" s="21"/>
      <c r="F65" s="21"/>
      <c r="G65" s="21"/>
      <c r="H65" s="29"/>
    </row>
    <row r="66" spans="1:29">
      <c r="A66" s="66" t="s">
        <v>103</v>
      </c>
      <c r="B66" s="67">
        <v>0.03</v>
      </c>
      <c r="C66" s="28"/>
      <c r="D66" s="28"/>
      <c r="E66" s="21"/>
      <c r="F66" s="21"/>
      <c r="G66" s="21"/>
      <c r="H66" s="29"/>
      <c r="K66" s="10"/>
      <c r="T66" s="10"/>
      <c r="AC66" s="10"/>
    </row>
    <row r="67" spans="1:29">
      <c r="A67" s="27"/>
      <c r="B67" s="72">
        <f>B66</f>
        <v>0.03</v>
      </c>
      <c r="C67" s="28"/>
      <c r="D67" s="28"/>
      <c r="E67" s="21"/>
      <c r="F67" s="21"/>
      <c r="G67" s="21"/>
      <c r="H67" s="29"/>
      <c r="K67" s="10"/>
      <c r="T67" s="10"/>
      <c r="AC67" s="10"/>
    </row>
    <row r="68" spans="1:29">
      <c r="A68" s="49" t="s">
        <v>105</v>
      </c>
      <c r="B68" s="57">
        <f>(G158*B67)</f>
        <v>764.4</v>
      </c>
      <c r="C68" s="28"/>
      <c r="D68" s="28"/>
      <c r="E68" s="21"/>
      <c r="F68" s="21"/>
      <c r="G68" s="21"/>
      <c r="H68" s="29"/>
    </row>
    <row r="69" spans="1:29">
      <c r="A69" s="66" t="s">
        <v>106</v>
      </c>
      <c r="B69" s="67">
        <v>0</v>
      </c>
      <c r="C69" s="187"/>
      <c r="D69" s="28"/>
      <c r="E69" s="21"/>
      <c r="F69" s="21"/>
      <c r="G69" s="21"/>
      <c r="H69" s="29"/>
      <c r="K69" s="10"/>
      <c r="T69" s="10"/>
      <c r="AC69" s="10"/>
    </row>
    <row r="70" spans="1:29">
      <c r="A70" s="68" t="s">
        <v>107</v>
      </c>
      <c r="B70" s="69">
        <v>0</v>
      </c>
      <c r="C70" s="187"/>
      <c r="D70" s="28"/>
      <c r="E70" s="21"/>
      <c r="F70" s="21"/>
      <c r="G70" s="21"/>
      <c r="H70" s="29"/>
      <c r="K70" s="10"/>
      <c r="T70" s="10"/>
      <c r="AC70" s="10"/>
    </row>
    <row r="71" spans="1:29">
      <c r="A71" s="49" t="s">
        <v>108</v>
      </c>
      <c r="B71" s="73">
        <f>B69*(1+B70)</f>
        <v>0</v>
      </c>
      <c r="C71" s="187"/>
      <c r="D71" s="28"/>
      <c r="E71" s="21"/>
      <c r="F71" s="21"/>
      <c r="G71" s="21"/>
      <c r="H71" s="29"/>
      <c r="K71" s="10"/>
      <c r="T71" s="10"/>
      <c r="AC71" s="10"/>
    </row>
    <row r="72" spans="1:29">
      <c r="A72" s="66" t="s">
        <v>109</v>
      </c>
      <c r="B72" s="74">
        <v>0</v>
      </c>
      <c r="C72" s="187"/>
      <c r="D72" s="28"/>
      <c r="E72" s="21"/>
      <c r="F72" s="21"/>
      <c r="G72" s="21"/>
      <c r="H72" s="29"/>
    </row>
    <row r="73" spans="1:29">
      <c r="A73" s="68" t="s">
        <v>110</v>
      </c>
      <c r="B73" s="65">
        <v>0</v>
      </c>
      <c r="C73" s="187"/>
      <c r="D73" s="28"/>
      <c r="E73" s="21"/>
      <c r="F73" s="21"/>
      <c r="G73" s="21"/>
      <c r="H73" s="29"/>
    </row>
    <row r="74" spans="1:29">
      <c r="A74" s="49" t="s">
        <v>111</v>
      </c>
      <c r="B74" s="57">
        <f>B73*B35</f>
        <v>0</v>
      </c>
      <c r="C74" s="187"/>
      <c r="D74" s="28">
        <f>B74+B72</f>
        <v>0</v>
      </c>
      <c r="E74" s="21"/>
      <c r="F74" s="21"/>
      <c r="G74" s="21"/>
      <c r="H74" s="29"/>
    </row>
    <row r="75" spans="1:29">
      <c r="A75" s="68" t="s">
        <v>112</v>
      </c>
      <c r="B75" s="65">
        <v>0</v>
      </c>
      <c r="C75" s="187"/>
      <c r="D75" s="28">
        <f>B75</f>
        <v>0</v>
      </c>
      <c r="E75" s="21"/>
      <c r="F75" s="21"/>
      <c r="G75" s="21"/>
      <c r="H75" s="29"/>
    </row>
    <row r="76" spans="1:29">
      <c r="A76" s="70" t="s">
        <v>113</v>
      </c>
      <c r="B76" s="75">
        <v>0</v>
      </c>
      <c r="C76" s="187"/>
      <c r="D76" s="28">
        <f>B76</f>
        <v>0</v>
      </c>
      <c r="E76" s="21"/>
      <c r="F76" s="28"/>
      <c r="G76" s="21"/>
      <c r="H76" s="29"/>
    </row>
    <row r="77" spans="1:29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</row>
    <row r="78" spans="1:29">
      <c r="A78" s="27" t="s">
        <v>115</v>
      </c>
      <c r="B78" s="29">
        <f>B77/B35</f>
        <v>0</v>
      </c>
      <c r="C78" s="28"/>
      <c r="D78" s="28"/>
      <c r="E78" s="21"/>
      <c r="F78" s="21"/>
      <c r="G78" s="21"/>
      <c r="H78" s="29"/>
    </row>
    <row r="79" spans="1:29">
      <c r="A79" s="78" t="s">
        <v>116</v>
      </c>
      <c r="B79" s="52">
        <f>H46</f>
        <v>500.36363636363637</v>
      </c>
      <c r="C79" s="28"/>
      <c r="D79" s="28"/>
      <c r="E79" s="21"/>
      <c r="F79" s="21"/>
      <c r="G79" s="21"/>
      <c r="H79" s="29"/>
    </row>
    <row r="80" spans="1:29">
      <c r="A80" s="27"/>
      <c r="B80" s="28"/>
      <c r="C80" s="28"/>
      <c r="D80" s="28"/>
      <c r="E80" s="21"/>
      <c r="F80" s="21"/>
      <c r="G80" s="21"/>
      <c r="H80" s="29"/>
    </row>
    <row r="81" spans="1:29">
      <c r="A81" s="22" t="s">
        <v>117</v>
      </c>
      <c r="B81" s="24">
        <f>K36</f>
        <v>24480</v>
      </c>
      <c r="C81" s="28"/>
      <c r="D81" s="28"/>
      <c r="E81" s="21"/>
      <c r="F81" s="22" t="s">
        <v>117</v>
      </c>
      <c r="G81" s="24">
        <f>B81</f>
        <v>24480</v>
      </c>
      <c r="H81" s="29"/>
    </row>
    <row r="82" spans="1:29">
      <c r="A82" s="27" t="s">
        <v>118</v>
      </c>
      <c r="B82" s="29">
        <f>IF(A111="YES",D41,0)*1.2</f>
        <v>7200</v>
      </c>
      <c r="C82" s="28"/>
      <c r="D82" s="28"/>
      <c r="E82" s="21"/>
      <c r="F82" s="27" t="s">
        <v>118</v>
      </c>
      <c r="G82" s="29">
        <f>IF(A111="YES",D41,0)*1.2</f>
        <v>7200</v>
      </c>
      <c r="H82" s="29"/>
    </row>
    <row r="83" spans="1:29">
      <c r="A83" s="27" t="s">
        <v>119</v>
      </c>
      <c r="B83" s="79">
        <f>B62+B63+B64</f>
        <v>0.13700000000000001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K83" s="10"/>
      <c r="T83" s="10"/>
      <c r="AC83" s="10"/>
    </row>
    <row r="84" spans="1:29">
      <c r="A84" s="27" t="s">
        <v>120</v>
      </c>
      <c r="B84" s="72">
        <f>B83/12</f>
        <v>1.1416666666666667E-2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K84" s="10"/>
      <c r="T84" s="10"/>
      <c r="AC84" s="10"/>
    </row>
    <row r="85" spans="1:29">
      <c r="A85" s="27" t="s">
        <v>121</v>
      </c>
      <c r="B85" s="29">
        <f>IF(B82=0,(B59+B58),(B59))</f>
        <v>32</v>
      </c>
      <c r="C85" s="28"/>
      <c r="D85" s="28"/>
      <c r="E85" s="21"/>
      <c r="F85" s="27" t="s">
        <v>121</v>
      </c>
      <c r="G85" s="29">
        <f>IF(G82=0,(B59+B58),(B59))</f>
        <v>32</v>
      </c>
      <c r="H85" s="29"/>
    </row>
    <row r="86" spans="1:29">
      <c r="A86" s="27" t="s">
        <v>122</v>
      </c>
      <c r="B86" s="29">
        <f>(B82/((1+B84)^(B85+1)))</f>
        <v>4950.3852950071832</v>
      </c>
      <c r="C86" s="28">
        <f>(B82/((1+B84)^(B85+1)))</f>
        <v>4950.3852950071832</v>
      </c>
      <c r="D86" s="28"/>
      <c r="E86" s="21"/>
      <c r="F86" s="27" t="s">
        <v>122</v>
      </c>
      <c r="G86" s="29">
        <f>(G82/((1+G84)^(G85+1)))</f>
        <v>6024.3729512856571</v>
      </c>
      <c r="H86" s="29"/>
    </row>
    <row r="87" spans="1:29">
      <c r="A87" s="27" t="s">
        <v>123</v>
      </c>
      <c r="B87" s="29">
        <f>((1-(1/((1+B84)^B85)))/B84)</f>
        <v>26.680021973335176</v>
      </c>
      <c r="C87" s="28">
        <f>((1-(1/((1+B84)^B85)))/B84)</f>
        <v>26.680021973335176</v>
      </c>
      <c r="D87" s="28"/>
      <c r="E87" s="21"/>
      <c r="F87" s="27" t="s">
        <v>123</v>
      </c>
      <c r="G87" s="29">
        <f>((1-(1/((1+G84)^G85)))/G84)</f>
        <v>29.307564834911432</v>
      </c>
      <c r="H87" s="29"/>
    </row>
    <row r="88" spans="1:29">
      <c r="A88" s="27" t="s">
        <v>124</v>
      </c>
      <c r="B88" s="29">
        <f>B81-B86</f>
        <v>19529.614704992819</v>
      </c>
      <c r="C88" s="28">
        <f>B81-B86</f>
        <v>19529.614704992819</v>
      </c>
      <c r="D88" s="28"/>
      <c r="E88" s="21"/>
      <c r="F88" s="27" t="s">
        <v>124</v>
      </c>
      <c r="G88" s="29">
        <f>G81-G86</f>
        <v>18455.627048714341</v>
      </c>
      <c r="H88" s="29"/>
    </row>
    <row r="89" spans="1:29">
      <c r="A89" s="27" t="s">
        <v>125</v>
      </c>
      <c r="B89" s="29">
        <f>(B88/B87)</f>
        <v>731.99395129851496</v>
      </c>
      <c r="C89" s="28">
        <f>(B88/B87)</f>
        <v>731.99395129851496</v>
      </c>
      <c r="D89" s="28"/>
      <c r="E89" s="21"/>
      <c r="F89" s="27" t="s">
        <v>125</v>
      </c>
      <c r="G89" s="29">
        <f>(G88/G87)</f>
        <v>629.72229704768358</v>
      </c>
      <c r="H89" s="29"/>
    </row>
    <row r="90" spans="1:29">
      <c r="A90" s="27" t="s">
        <v>126</v>
      </c>
      <c r="B90" s="29">
        <f>((B89*(B85))+B77)</f>
        <v>23423.806441552479</v>
      </c>
      <c r="C90" s="28"/>
      <c r="D90" s="28"/>
      <c r="E90" s="21"/>
      <c r="F90" s="27" t="s">
        <v>126</v>
      </c>
      <c r="G90" s="29">
        <f>((G89*(G85))+G77)</f>
        <v>20151.113505525875</v>
      </c>
      <c r="H90" s="29"/>
    </row>
    <row r="91" spans="1:29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</row>
    <row r="92" spans="1:29">
      <c r="A92" s="49" t="s">
        <v>128</v>
      </c>
      <c r="B92" s="57">
        <f>(B90+B91)</f>
        <v>23423.806441552479</v>
      </c>
      <c r="C92" s="28"/>
      <c r="D92" s="28"/>
      <c r="E92" s="21"/>
      <c r="F92" s="49" t="s">
        <v>128</v>
      </c>
      <c r="G92" s="57">
        <f>(G90+G91)</f>
        <v>20151.113505525875</v>
      </c>
      <c r="H92" s="29"/>
    </row>
    <row r="93" spans="1:29">
      <c r="A93" s="27"/>
      <c r="B93" s="28"/>
      <c r="C93" s="28"/>
      <c r="D93" s="28"/>
      <c r="E93" s="21"/>
      <c r="F93" s="27"/>
      <c r="G93" s="28"/>
      <c r="H93" s="29"/>
    </row>
    <row r="94" spans="1:29">
      <c r="A94" s="76" t="s">
        <v>129</v>
      </c>
      <c r="B94" s="80">
        <f>IF(B38="YES",((H36/B85)*(1+A108)*1.2),"0")</f>
        <v>16.829999999999998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</row>
    <row r="95" spans="1:29">
      <c r="A95" s="81" t="s">
        <v>130</v>
      </c>
      <c r="B95" s="82">
        <f>B92/(B85)</f>
        <v>731.99395129851496</v>
      </c>
      <c r="C95" s="28"/>
      <c r="D95" s="28"/>
      <c r="E95" s="21"/>
      <c r="F95" s="81" t="s">
        <v>130</v>
      </c>
      <c r="G95" s="82">
        <f>G92/(G85)</f>
        <v>629.72229704768358</v>
      </c>
      <c r="H95" s="29"/>
    </row>
    <row r="96" spans="1:29">
      <c r="A96" s="83" t="s">
        <v>131</v>
      </c>
      <c r="B96" s="84">
        <f>B94+B95</f>
        <v>748.823951298515</v>
      </c>
      <c r="C96" s="28"/>
      <c r="D96" s="28"/>
      <c r="E96" s="21"/>
      <c r="F96" s="83" t="s">
        <v>131</v>
      </c>
      <c r="G96" s="84">
        <f>G94+G95</f>
        <v>629.72229704768358</v>
      </c>
      <c r="H96" s="29"/>
    </row>
    <row r="97" spans="1:42">
      <c r="A97" s="49"/>
      <c r="B97" s="50"/>
      <c r="C97" s="50"/>
      <c r="D97" s="50"/>
      <c r="E97" s="85"/>
      <c r="F97" s="85"/>
      <c r="G97" s="85"/>
      <c r="H97" s="57"/>
    </row>
    <row r="98" spans="1:42">
      <c r="A98" s="21"/>
      <c r="B98" s="21"/>
      <c r="C98" s="21"/>
      <c r="D98" s="21"/>
      <c r="E98" s="21"/>
      <c r="F98" s="21"/>
      <c r="G98" s="21"/>
      <c r="H98" s="21"/>
    </row>
    <row r="99" spans="1:42">
      <c r="A99" s="21"/>
      <c r="B99" s="21"/>
      <c r="C99" s="21"/>
      <c r="D99" s="21"/>
      <c r="E99" s="21"/>
      <c r="F99" s="21"/>
      <c r="G99" s="21"/>
      <c r="H99" s="21"/>
    </row>
    <row r="100" spans="1:42" ht="47.25" customHeight="1">
      <c r="A100" s="344" t="s">
        <v>134</v>
      </c>
      <c r="B100" s="344"/>
      <c r="C100" s="344"/>
      <c r="D100" s="344"/>
      <c r="E100" s="344"/>
      <c r="F100" s="344"/>
      <c r="G100" s="344"/>
      <c r="H100" s="344"/>
      <c r="J100" s="382"/>
      <c r="K100" s="382"/>
      <c r="L100" s="382"/>
      <c r="M100" s="382"/>
      <c r="N100" s="382"/>
      <c r="O100" s="382"/>
      <c r="P100" s="382"/>
      <c r="Q100" s="382"/>
      <c r="S100" s="382"/>
      <c r="T100" s="382"/>
      <c r="U100" s="382"/>
      <c r="V100" s="382"/>
      <c r="W100" s="382"/>
      <c r="X100" s="382"/>
      <c r="Y100" s="382"/>
      <c r="Z100" s="382"/>
      <c r="AB100" s="382"/>
      <c r="AC100" s="382"/>
      <c r="AD100" s="382"/>
      <c r="AE100" s="382"/>
      <c r="AF100" s="382"/>
      <c r="AG100" s="382"/>
      <c r="AH100" s="382"/>
      <c r="AI100" s="382"/>
    </row>
    <row r="101" spans="1:42">
      <c r="A101" s="22"/>
      <c r="B101" s="23"/>
      <c r="C101" s="23"/>
      <c r="D101" s="23"/>
      <c r="E101" s="63"/>
      <c r="F101" s="63"/>
      <c r="G101" s="63"/>
      <c r="H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82"/>
      <c r="K102" s="382"/>
      <c r="L102" s="382"/>
      <c r="M102" s="382"/>
      <c r="N102" s="382"/>
      <c r="O102" s="382"/>
      <c r="P102" s="382"/>
      <c r="Q102" s="382"/>
      <c r="S102" s="382"/>
      <c r="T102" s="382"/>
      <c r="U102" s="382"/>
      <c r="V102" s="382"/>
      <c r="W102" s="382"/>
      <c r="X102" s="382"/>
      <c r="Y102" s="382"/>
      <c r="Z102" s="382"/>
      <c r="AB102" s="382"/>
      <c r="AC102" s="382"/>
      <c r="AD102" s="382"/>
      <c r="AE102" s="382"/>
      <c r="AF102" s="382"/>
      <c r="AG102" s="382"/>
      <c r="AH102" s="382"/>
      <c r="AI102" s="382"/>
    </row>
    <row r="103" spans="1:42">
      <c r="A103" s="27"/>
      <c r="B103" s="28"/>
      <c r="C103" s="28"/>
      <c r="D103" s="28"/>
      <c r="E103" s="21"/>
      <c r="F103" s="21"/>
      <c r="G103" s="21"/>
      <c r="H103" s="88"/>
      <c r="Z103" s="55" t="s">
        <v>140</v>
      </c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Z104" s="55" t="s">
        <v>270</v>
      </c>
    </row>
    <row r="105" spans="1:42">
      <c r="A105" s="32" t="s">
        <v>139</v>
      </c>
      <c r="B105" s="345" t="s">
        <v>140</v>
      </c>
      <c r="C105" s="345"/>
      <c r="D105" s="345"/>
      <c r="E105" s="346" t="s">
        <v>385</v>
      </c>
      <c r="F105" s="346"/>
      <c r="G105" s="346"/>
      <c r="H105" s="88"/>
      <c r="K105" s="382"/>
      <c r="L105" s="382"/>
      <c r="M105" s="382"/>
      <c r="N105" s="382"/>
      <c r="O105" s="382"/>
      <c r="P105" s="382"/>
      <c r="T105" s="382"/>
      <c r="U105" s="382"/>
      <c r="V105" s="382"/>
      <c r="W105" s="382"/>
      <c r="X105" s="382"/>
      <c r="Y105" s="382"/>
      <c r="Z105" s="55" t="s">
        <v>271</v>
      </c>
      <c r="AC105" s="382"/>
      <c r="AD105" s="382"/>
      <c r="AE105" s="382"/>
      <c r="AF105" s="382"/>
      <c r="AG105" s="382"/>
      <c r="AH105" s="382"/>
    </row>
    <row r="106" spans="1:42">
      <c r="A106" s="27"/>
      <c r="B106" s="28"/>
      <c r="C106" s="28"/>
      <c r="D106" s="21"/>
      <c r="E106" s="28"/>
      <c r="F106" s="28"/>
      <c r="G106" s="21"/>
      <c r="H106" s="29"/>
      <c r="Z106" s="55" t="s">
        <v>272</v>
      </c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Z107" s="55" t="s">
        <v>273</v>
      </c>
    </row>
    <row r="108" spans="1:42">
      <c r="A108" s="188">
        <v>0.2</v>
      </c>
      <c r="B108" s="348" t="s">
        <v>400</v>
      </c>
      <c r="C108" s="348"/>
      <c r="D108" s="348">
        <v>0</v>
      </c>
      <c r="E108" s="349">
        <f>B83</f>
        <v>0.13700000000000001</v>
      </c>
      <c r="F108" s="349"/>
      <c r="G108" s="349"/>
      <c r="H108" s="42"/>
      <c r="J108" s="10"/>
      <c r="K108" s="382"/>
      <c r="L108" s="382"/>
      <c r="M108" s="382"/>
      <c r="N108" s="390"/>
      <c r="O108" s="390"/>
      <c r="P108" s="390"/>
      <c r="S108" s="10"/>
      <c r="T108" s="382"/>
      <c r="U108" s="382"/>
      <c r="V108" s="382"/>
      <c r="W108" s="390"/>
      <c r="X108" s="390"/>
      <c r="Y108" s="390"/>
      <c r="Z108" s="55" t="s">
        <v>274</v>
      </c>
      <c r="AB108" s="10"/>
      <c r="AC108" s="382"/>
      <c r="AD108" s="382"/>
      <c r="AE108" s="382"/>
      <c r="AF108" s="390"/>
      <c r="AG108" s="390"/>
      <c r="AH108" s="390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Z109" s="55" t="s">
        <v>275</v>
      </c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Z110" s="55" t="s">
        <v>276</v>
      </c>
    </row>
    <row r="111" spans="1:42">
      <c r="A111" s="36" t="s">
        <v>385</v>
      </c>
      <c r="B111" s="348">
        <v>0</v>
      </c>
      <c r="C111" s="348"/>
      <c r="D111" s="348"/>
      <c r="E111" s="348">
        <v>0</v>
      </c>
      <c r="F111" s="348"/>
      <c r="G111" s="348"/>
      <c r="H111" s="88"/>
      <c r="K111" s="382"/>
      <c r="L111" s="382"/>
      <c r="M111" s="382"/>
      <c r="N111" s="382"/>
      <c r="O111" s="382"/>
      <c r="P111" s="382"/>
      <c r="T111" s="382"/>
      <c r="U111" s="382"/>
      <c r="V111" s="382"/>
      <c r="W111" s="382"/>
      <c r="X111" s="382"/>
      <c r="Y111" s="382"/>
      <c r="Z111" s="55" t="s">
        <v>277</v>
      </c>
      <c r="AC111" s="382"/>
      <c r="AD111" s="382"/>
      <c r="AE111" s="382"/>
      <c r="AF111" s="382"/>
      <c r="AG111" s="382"/>
      <c r="AH111" s="382"/>
    </row>
    <row r="112" spans="1:42">
      <c r="A112" s="27"/>
      <c r="B112" s="28"/>
      <c r="C112" s="28"/>
      <c r="D112" s="28"/>
      <c r="E112" s="28"/>
      <c r="F112" s="28"/>
      <c r="G112" s="21"/>
      <c r="H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</row>
    <row r="114" spans="1:35">
      <c r="A114" s="94">
        <f>B111+E111</f>
        <v>0</v>
      </c>
      <c r="B114" s="348">
        <v>1000</v>
      </c>
      <c r="C114" s="348"/>
      <c r="D114" s="348"/>
      <c r="E114" s="348">
        <v>0</v>
      </c>
      <c r="F114" s="348"/>
      <c r="G114" s="348"/>
      <c r="H114" s="88"/>
      <c r="K114" s="382"/>
      <c r="L114" s="382"/>
      <c r="M114" s="382"/>
      <c r="N114" s="382"/>
      <c r="O114" s="382"/>
      <c r="P114" s="382"/>
      <c r="T114" s="382"/>
      <c r="U114" s="382"/>
      <c r="V114" s="382"/>
      <c r="W114" s="382"/>
      <c r="X114" s="382"/>
      <c r="Y114" s="382"/>
      <c r="AC114" s="382"/>
      <c r="AD114" s="382"/>
      <c r="AE114" s="382"/>
      <c r="AF114" s="382"/>
      <c r="AG114" s="382"/>
      <c r="AH114" s="382"/>
    </row>
    <row r="115" spans="1:35">
      <c r="A115" s="95"/>
      <c r="B115" s="21"/>
      <c r="C115" s="21"/>
      <c r="D115" s="21"/>
      <c r="E115" s="21"/>
      <c r="F115" s="21"/>
      <c r="G115" s="21"/>
      <c r="H115" s="88"/>
    </row>
    <row r="116" spans="1:35">
      <c r="A116" s="95"/>
      <c r="B116" s="21"/>
      <c r="C116" s="21"/>
      <c r="D116" s="21"/>
      <c r="E116" s="21"/>
      <c r="F116" s="21"/>
      <c r="G116" s="21"/>
      <c r="H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82"/>
      <c r="K117" s="382"/>
      <c r="L117" s="382"/>
      <c r="M117" s="382"/>
      <c r="N117" s="382"/>
      <c r="O117" s="382"/>
      <c r="P117" s="382"/>
      <c r="Q117" s="382"/>
      <c r="S117" s="382"/>
      <c r="T117" s="382"/>
      <c r="U117" s="382"/>
      <c r="V117" s="382"/>
      <c r="W117" s="382"/>
      <c r="X117" s="382"/>
      <c r="Y117" s="382"/>
      <c r="Z117" s="382"/>
      <c r="AB117" s="382"/>
      <c r="AC117" s="382"/>
      <c r="AD117" s="382"/>
      <c r="AE117" s="382"/>
      <c r="AF117" s="382"/>
      <c r="AG117" s="382"/>
      <c r="AH117" s="382"/>
      <c r="AI117" s="382"/>
    </row>
    <row r="118" spans="1:35">
      <c r="A118" s="95"/>
      <c r="B118" s="21"/>
      <c r="C118" s="21"/>
      <c r="D118" s="21"/>
      <c r="E118" s="21"/>
      <c r="F118" s="21"/>
      <c r="G118" s="21"/>
      <c r="H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K119" s="382"/>
      <c r="L119" s="382"/>
      <c r="M119" s="382"/>
      <c r="N119" s="382"/>
      <c r="O119" s="382"/>
      <c r="P119" s="382"/>
      <c r="T119" s="382"/>
      <c r="U119" s="382"/>
      <c r="V119" s="382"/>
      <c r="W119" s="382"/>
      <c r="X119" s="382"/>
      <c r="Y119" s="382"/>
      <c r="AC119" s="382"/>
      <c r="AD119" s="382"/>
      <c r="AE119" s="382"/>
      <c r="AF119" s="382"/>
      <c r="AG119" s="382"/>
      <c r="AH119" s="382"/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</row>
    <row r="121" spans="1:35">
      <c r="A121" s="22" t="s">
        <v>160</v>
      </c>
      <c r="B121" s="22">
        <f>B3</f>
        <v>20255</v>
      </c>
      <c r="C121" s="36">
        <f>B121</f>
        <v>20255</v>
      </c>
      <c r="D121" s="22">
        <f>D3</f>
        <v>0</v>
      </c>
      <c r="E121" s="36">
        <f>D121</f>
        <v>0</v>
      </c>
      <c r="F121" s="22">
        <f>F3</f>
        <v>0</v>
      </c>
      <c r="G121" s="36">
        <f>F121</f>
        <v>0</v>
      </c>
      <c r="H121" s="101">
        <f>H3</f>
        <v>0</v>
      </c>
    </row>
    <row r="122" spans="1:35">
      <c r="A122" s="27" t="s">
        <v>161</v>
      </c>
      <c r="B122" s="102">
        <f>B4</f>
        <v>0</v>
      </c>
      <c r="C122" s="103">
        <f>B122</f>
        <v>0</v>
      </c>
      <c r="D122" s="102">
        <f>D4</f>
        <v>0</v>
      </c>
      <c r="E122" s="103">
        <f>D122</f>
        <v>0</v>
      </c>
      <c r="F122" s="102">
        <f>F4</f>
        <v>0</v>
      </c>
      <c r="G122" s="104">
        <f>F122</f>
        <v>0</v>
      </c>
      <c r="H122" s="105"/>
      <c r="K122" s="10"/>
      <c r="L122" s="10"/>
      <c r="M122" s="10"/>
      <c r="N122" s="10"/>
      <c r="O122" s="10"/>
      <c r="P122" s="10"/>
      <c r="Q122" s="10"/>
      <c r="T122" s="10"/>
      <c r="U122" s="10"/>
      <c r="V122" s="10"/>
      <c r="W122" s="10"/>
      <c r="X122" s="10"/>
      <c r="Y122" s="10"/>
      <c r="Z122" s="10"/>
      <c r="AC122" s="10"/>
      <c r="AD122" s="10"/>
      <c r="AE122" s="10"/>
      <c r="AF122" s="10"/>
      <c r="AG122" s="10"/>
      <c r="AH122" s="10"/>
      <c r="AI122" s="10"/>
    </row>
    <row r="123" spans="1:35">
      <c r="A123" s="27" t="s">
        <v>162</v>
      </c>
      <c r="B123" s="27">
        <f>B5</f>
        <v>0</v>
      </c>
      <c r="C123" s="36">
        <f>B123</f>
        <v>0</v>
      </c>
      <c r="D123" s="27">
        <f>D5</f>
        <v>0</v>
      </c>
      <c r="E123" s="36">
        <f>D123</f>
        <v>0</v>
      </c>
      <c r="F123" s="27">
        <f>F5</f>
        <v>0</v>
      </c>
      <c r="G123" s="36">
        <f>F123</f>
        <v>0</v>
      </c>
      <c r="H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</row>
    <row r="125" spans="1:35">
      <c r="A125" s="49" t="s">
        <v>164</v>
      </c>
      <c r="B125" s="49">
        <f t="shared" ref="B125:G125" si="0">B121-B124</f>
        <v>20255</v>
      </c>
      <c r="C125" s="57">
        <f t="shared" si="0"/>
        <v>20255</v>
      </c>
      <c r="D125" s="49">
        <f t="shared" si="0"/>
        <v>0</v>
      </c>
      <c r="E125" s="57">
        <f t="shared" si="0"/>
        <v>0</v>
      </c>
      <c r="F125" s="49">
        <f t="shared" si="0"/>
        <v>0</v>
      </c>
      <c r="G125" s="57">
        <f t="shared" si="0"/>
        <v>0</v>
      </c>
      <c r="H125" s="57"/>
    </row>
    <row r="126" spans="1:35">
      <c r="A126" s="27"/>
      <c r="B126" s="28"/>
      <c r="C126" s="28"/>
      <c r="D126" s="28"/>
      <c r="E126" s="28"/>
      <c r="F126" s="28"/>
      <c r="G126" s="28"/>
      <c r="H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</row>
    <row r="129" spans="1:34">
      <c r="A129" s="27"/>
      <c r="B129" s="28"/>
      <c r="C129" s="28"/>
      <c r="D129" s="28"/>
      <c r="E129" s="28"/>
      <c r="F129" s="28"/>
      <c r="G129" s="115"/>
      <c r="H129" s="116"/>
    </row>
    <row r="130" spans="1:34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K130" s="382"/>
      <c r="L130" s="382"/>
      <c r="M130" s="382"/>
      <c r="N130" s="382"/>
      <c r="O130" s="382"/>
      <c r="P130" s="382"/>
      <c r="T130" s="382"/>
      <c r="U130" s="382"/>
      <c r="V130" s="382"/>
      <c r="W130" s="382"/>
      <c r="X130" s="382"/>
      <c r="Y130" s="382"/>
      <c r="AC130" s="382"/>
      <c r="AD130" s="382"/>
      <c r="AE130" s="382"/>
      <c r="AF130" s="382"/>
      <c r="AG130" s="382"/>
      <c r="AH130" s="382"/>
    </row>
    <row r="131" spans="1:34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K131" s="382"/>
      <c r="L131" s="382"/>
      <c r="M131" s="390"/>
      <c r="N131" s="390"/>
      <c r="O131" s="382"/>
      <c r="P131" s="382"/>
      <c r="T131" s="382"/>
      <c r="U131" s="382"/>
      <c r="V131" s="390"/>
      <c r="W131" s="390"/>
      <c r="X131" s="382"/>
      <c r="Y131" s="382"/>
      <c r="AC131" s="382"/>
      <c r="AD131" s="382"/>
      <c r="AE131" s="390"/>
      <c r="AF131" s="390"/>
      <c r="AG131" s="382"/>
      <c r="AH131" s="382"/>
    </row>
    <row r="132" spans="1:34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K132" s="382"/>
      <c r="L132" s="382"/>
      <c r="M132" s="390"/>
      <c r="N132" s="390"/>
      <c r="O132" s="382"/>
      <c r="P132" s="382"/>
      <c r="T132" s="382"/>
      <c r="U132" s="382"/>
      <c r="V132" s="390"/>
      <c r="W132" s="390"/>
      <c r="X132" s="382"/>
      <c r="Y132" s="382"/>
      <c r="AC132" s="382"/>
      <c r="AD132" s="382"/>
      <c r="AE132" s="390"/>
      <c r="AF132" s="390"/>
      <c r="AG132" s="382"/>
      <c r="AH132" s="382"/>
    </row>
    <row r="133" spans="1:34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K133" s="382"/>
      <c r="L133" s="382"/>
      <c r="M133" s="390"/>
      <c r="N133" s="390"/>
      <c r="O133" s="382"/>
      <c r="P133" s="382"/>
      <c r="T133" s="382"/>
      <c r="U133" s="382"/>
      <c r="V133" s="390"/>
      <c r="W133" s="390"/>
      <c r="X133" s="382"/>
      <c r="Y133" s="382"/>
      <c r="AC133" s="382"/>
      <c r="AD133" s="382"/>
      <c r="AE133" s="390"/>
      <c r="AF133" s="390"/>
      <c r="AG133" s="382"/>
      <c r="AH133" s="382"/>
    </row>
    <row r="134" spans="1:34">
      <c r="A134" s="27"/>
      <c r="B134" s="28"/>
      <c r="C134" s="28"/>
      <c r="D134" s="28"/>
      <c r="E134" s="28"/>
      <c r="F134" s="28"/>
      <c r="G134" s="115"/>
      <c r="H134" s="116"/>
    </row>
    <row r="135" spans="1:34" ht="21">
      <c r="A135" s="356" t="s">
        <v>172</v>
      </c>
      <c r="B135" s="356"/>
      <c r="C135" s="356"/>
      <c r="D135" s="356"/>
      <c r="E135" s="356"/>
      <c r="F135" s="356"/>
      <c r="G135" s="109">
        <f t="shared" ref="G135:G142" si="1">H9</f>
        <v>20255</v>
      </c>
      <c r="H135" s="120">
        <f>C125+E125+G125+H128</f>
        <v>20255</v>
      </c>
      <c r="J135" s="382"/>
      <c r="K135" s="382"/>
      <c r="L135" s="382"/>
      <c r="M135" s="382"/>
      <c r="N135" s="382"/>
      <c r="O135" s="382"/>
      <c r="S135" s="382"/>
      <c r="T135" s="382"/>
      <c r="U135" s="382"/>
      <c r="V135" s="382"/>
      <c r="W135" s="382"/>
      <c r="X135" s="382"/>
      <c r="AB135" s="382"/>
      <c r="AC135" s="382"/>
      <c r="AD135" s="382"/>
      <c r="AE135" s="382"/>
      <c r="AF135" s="382"/>
      <c r="AG135" s="382"/>
    </row>
    <row r="136" spans="1:34">
      <c r="A136" s="357" t="s">
        <v>173</v>
      </c>
      <c r="B136" s="357"/>
      <c r="C136" s="357"/>
      <c r="D136" s="357"/>
      <c r="E136" s="357"/>
      <c r="F136" s="357"/>
      <c r="G136" s="121">
        <f t="shared" si="1"/>
        <v>695</v>
      </c>
      <c r="H136" s="29">
        <f>G136</f>
        <v>695</v>
      </c>
      <c r="J136" s="382"/>
      <c r="K136" s="382"/>
      <c r="L136" s="382"/>
      <c r="M136" s="382"/>
      <c r="N136" s="382"/>
      <c r="O136" s="382"/>
      <c r="S136" s="382"/>
      <c r="T136" s="382"/>
      <c r="U136" s="382"/>
      <c r="V136" s="382"/>
      <c r="W136" s="382"/>
      <c r="X136" s="382"/>
      <c r="AB136" s="382"/>
      <c r="AC136" s="382"/>
      <c r="AD136" s="382"/>
      <c r="AE136" s="382"/>
      <c r="AF136" s="382"/>
      <c r="AG136" s="382"/>
    </row>
    <row r="137" spans="1:34">
      <c r="A137" s="357" t="s">
        <v>174</v>
      </c>
      <c r="B137" s="357"/>
      <c r="C137" s="357"/>
      <c r="D137" s="357"/>
      <c r="E137" s="357"/>
      <c r="F137" s="357"/>
      <c r="G137" s="121">
        <f t="shared" si="1"/>
        <v>4190</v>
      </c>
      <c r="H137" s="29">
        <f>(H135+H136)*20%</f>
        <v>4190</v>
      </c>
      <c r="J137" s="382"/>
      <c r="K137" s="382"/>
      <c r="L137" s="382"/>
      <c r="M137" s="382"/>
      <c r="N137" s="382"/>
      <c r="O137" s="382"/>
      <c r="S137" s="382"/>
      <c r="T137" s="382"/>
      <c r="U137" s="382"/>
      <c r="V137" s="382"/>
      <c r="W137" s="382"/>
      <c r="X137" s="382"/>
      <c r="AB137" s="382"/>
      <c r="AC137" s="382"/>
      <c r="AD137" s="382"/>
      <c r="AE137" s="382"/>
      <c r="AF137" s="382"/>
      <c r="AG137" s="382"/>
    </row>
    <row r="138" spans="1:34">
      <c r="A138" s="357" t="s">
        <v>175</v>
      </c>
      <c r="B138" s="357"/>
      <c r="C138" s="357"/>
      <c r="D138" s="357"/>
      <c r="E138" s="357"/>
      <c r="F138" s="357"/>
      <c r="G138" s="121">
        <f t="shared" si="1"/>
        <v>0</v>
      </c>
      <c r="H138" s="29">
        <v>0</v>
      </c>
      <c r="J138" s="382"/>
      <c r="K138" s="382"/>
      <c r="L138" s="382"/>
      <c r="M138" s="382"/>
      <c r="N138" s="382"/>
      <c r="O138" s="382"/>
      <c r="S138" s="382"/>
      <c r="T138" s="382"/>
      <c r="U138" s="382"/>
      <c r="V138" s="382"/>
      <c r="W138" s="382"/>
      <c r="X138" s="382"/>
      <c r="AB138" s="382"/>
      <c r="AC138" s="382"/>
      <c r="AD138" s="382"/>
      <c r="AE138" s="382"/>
      <c r="AF138" s="382"/>
      <c r="AG138" s="382"/>
    </row>
    <row r="139" spans="1:34">
      <c r="A139" s="357" t="s">
        <v>176</v>
      </c>
      <c r="B139" s="357"/>
      <c r="C139" s="357"/>
      <c r="D139" s="357"/>
      <c r="E139" s="357"/>
      <c r="F139" s="357"/>
      <c r="G139" s="121">
        <f t="shared" si="1"/>
        <v>275</v>
      </c>
      <c r="H139" s="29">
        <f>G139</f>
        <v>275</v>
      </c>
      <c r="J139" s="382"/>
      <c r="K139" s="382"/>
      <c r="L139" s="382"/>
      <c r="M139" s="382"/>
      <c r="N139" s="382"/>
      <c r="O139" s="382"/>
      <c r="S139" s="382"/>
      <c r="T139" s="382"/>
      <c r="U139" s="382"/>
      <c r="V139" s="382"/>
      <c r="W139" s="382"/>
      <c r="X139" s="382"/>
      <c r="AB139" s="382"/>
      <c r="AC139" s="382"/>
      <c r="AD139" s="382"/>
      <c r="AE139" s="382"/>
      <c r="AF139" s="382"/>
      <c r="AG139" s="382"/>
    </row>
    <row r="140" spans="1:34">
      <c r="A140" s="357" t="s">
        <v>177</v>
      </c>
      <c r="B140" s="357"/>
      <c r="C140" s="357"/>
      <c r="D140" s="357"/>
      <c r="E140" s="357"/>
      <c r="F140" s="357"/>
      <c r="G140" s="121">
        <f t="shared" si="1"/>
        <v>65</v>
      </c>
      <c r="H140" s="29">
        <f>G140</f>
        <v>65</v>
      </c>
      <c r="J140" s="382"/>
      <c r="K140" s="382"/>
      <c r="L140" s="382"/>
      <c r="M140" s="382"/>
      <c r="N140" s="382"/>
      <c r="O140" s="382"/>
      <c r="S140" s="382"/>
      <c r="T140" s="382"/>
      <c r="U140" s="382"/>
      <c r="V140" s="382"/>
      <c r="W140" s="382"/>
      <c r="X140" s="382"/>
      <c r="AB140" s="382"/>
      <c r="AC140" s="382"/>
      <c r="AD140" s="382"/>
      <c r="AE140" s="382"/>
      <c r="AF140" s="382"/>
      <c r="AG140" s="382"/>
    </row>
    <row r="141" spans="1:34" ht="21">
      <c r="A141" s="357" t="s">
        <v>178</v>
      </c>
      <c r="B141" s="357"/>
      <c r="C141" s="357"/>
      <c r="D141" s="357"/>
      <c r="E141" s="357"/>
      <c r="F141" s="357"/>
      <c r="G141" s="123">
        <f t="shared" si="1"/>
        <v>25480</v>
      </c>
      <c r="H141" s="122">
        <f>(H135+H136+H139+H140+H137)-H138</f>
        <v>25480</v>
      </c>
      <c r="J141" s="382"/>
      <c r="K141" s="382"/>
      <c r="L141" s="382"/>
      <c r="M141" s="382"/>
      <c r="N141" s="382"/>
      <c r="O141" s="382"/>
      <c r="S141" s="382"/>
      <c r="T141" s="382"/>
      <c r="U141" s="382"/>
      <c r="V141" s="382"/>
      <c r="W141" s="382"/>
      <c r="X141" s="382"/>
      <c r="AB141" s="382"/>
      <c r="AC141" s="382"/>
      <c r="AD141" s="382"/>
      <c r="AE141" s="382"/>
      <c r="AF141" s="382"/>
      <c r="AG141" s="382"/>
    </row>
    <row r="142" spans="1:34">
      <c r="A142" s="357" t="s">
        <v>179</v>
      </c>
      <c r="B142" s="357"/>
      <c r="C142" s="357"/>
      <c r="D142" s="357"/>
      <c r="E142" s="357"/>
      <c r="F142" s="357"/>
      <c r="G142" s="121">
        <f t="shared" si="1"/>
        <v>0</v>
      </c>
      <c r="H142" s="36">
        <f>G142</f>
        <v>0</v>
      </c>
      <c r="J142" s="382"/>
      <c r="K142" s="382"/>
      <c r="L142" s="382"/>
      <c r="M142" s="382"/>
      <c r="N142" s="382"/>
      <c r="O142" s="382"/>
      <c r="S142" s="382"/>
      <c r="T142" s="382"/>
      <c r="U142" s="382"/>
      <c r="V142" s="382"/>
      <c r="W142" s="382"/>
      <c r="X142" s="382"/>
      <c r="AB142" s="382"/>
      <c r="AC142" s="382"/>
      <c r="AD142" s="382"/>
      <c r="AE142" s="382"/>
      <c r="AF142" s="382"/>
      <c r="AG142" s="382"/>
    </row>
    <row r="143" spans="1:34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82"/>
      <c r="K143" s="382"/>
      <c r="L143" s="382"/>
      <c r="M143" s="382"/>
      <c r="N143" s="382"/>
      <c r="O143" s="382"/>
      <c r="S143" s="382"/>
      <c r="T143" s="382"/>
      <c r="U143" s="382"/>
      <c r="V143" s="382"/>
      <c r="W143" s="382"/>
      <c r="X143" s="382"/>
      <c r="AB143" s="382"/>
      <c r="AC143" s="382"/>
      <c r="AD143" s="382"/>
      <c r="AE143" s="382"/>
      <c r="AF143" s="382"/>
      <c r="AG143" s="382"/>
    </row>
    <row r="144" spans="1:34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K144" s="382"/>
      <c r="L144" s="382"/>
      <c r="M144" s="382"/>
      <c r="N144" s="382"/>
      <c r="O144" s="382"/>
      <c r="T144" s="382"/>
      <c r="U144" s="382"/>
      <c r="V144" s="382"/>
      <c r="W144" s="382"/>
      <c r="X144" s="382"/>
      <c r="AC144" s="382"/>
      <c r="AD144" s="382"/>
      <c r="AE144" s="382"/>
      <c r="AF144" s="382"/>
      <c r="AG144" s="382"/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K145" s="382"/>
      <c r="L145" s="382"/>
      <c r="M145" s="382"/>
      <c r="N145" s="382"/>
      <c r="O145" s="382"/>
      <c r="T145" s="382"/>
      <c r="U145" s="382"/>
      <c r="V145" s="382"/>
      <c r="W145" s="382"/>
      <c r="X145" s="382"/>
      <c r="AC145" s="382"/>
      <c r="AD145" s="382"/>
      <c r="AE145" s="382"/>
      <c r="AF145" s="382"/>
      <c r="AG145" s="382"/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K146" s="382"/>
      <c r="L146" s="382"/>
      <c r="M146" s="382"/>
      <c r="N146" s="382"/>
      <c r="O146" s="382"/>
      <c r="T146" s="382"/>
      <c r="U146" s="382"/>
      <c r="V146" s="382"/>
      <c r="W146" s="382"/>
      <c r="X146" s="382"/>
      <c r="AC146" s="382"/>
      <c r="AD146" s="382"/>
      <c r="AE146" s="382"/>
      <c r="AF146" s="382"/>
      <c r="AG146" s="382"/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25480</v>
      </c>
      <c r="H147" s="126">
        <f>H141-((H144*1.2)+(H145*1.2)+(H146*1.2)+(H142*1.2))</f>
        <v>25480</v>
      </c>
      <c r="J147" s="382"/>
      <c r="K147" s="382"/>
      <c r="L147" s="382"/>
      <c r="M147" s="382"/>
      <c r="N147" s="382"/>
      <c r="O147" s="382"/>
      <c r="S147" s="382"/>
      <c r="T147" s="382"/>
      <c r="U147" s="382"/>
      <c r="V147" s="382"/>
      <c r="W147" s="382"/>
      <c r="X147" s="382"/>
      <c r="AB147" s="382"/>
      <c r="AC147" s="382"/>
      <c r="AD147" s="382"/>
      <c r="AE147" s="382"/>
      <c r="AF147" s="382"/>
      <c r="AG147" s="382"/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0</v>
      </c>
      <c r="I148" s="4">
        <f>(H148-G81)/1.2</f>
        <v>-20400</v>
      </c>
      <c r="J148" s="382"/>
      <c r="K148" s="382"/>
      <c r="L148" s="382"/>
      <c r="M148" s="382"/>
      <c r="N148" s="382"/>
      <c r="O148" s="382"/>
      <c r="S148" s="382"/>
      <c r="T148" s="382"/>
      <c r="U148" s="382"/>
      <c r="V148" s="382"/>
      <c r="W148" s="382"/>
      <c r="X148" s="382"/>
      <c r="AB148" s="382"/>
      <c r="AC148" s="382"/>
      <c r="AD148" s="382"/>
      <c r="AE148" s="382"/>
      <c r="AF148" s="382"/>
      <c r="AG148" s="382"/>
    </row>
    <row r="149" spans="1:35">
      <c r="A149" s="27"/>
      <c r="B149" s="28"/>
      <c r="C149" s="28"/>
      <c r="D149" s="28"/>
      <c r="E149" s="21"/>
      <c r="F149" s="21"/>
      <c r="G149" s="21"/>
      <c r="H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82"/>
      <c r="K150" s="382"/>
      <c r="L150" s="382"/>
      <c r="M150" s="382"/>
      <c r="N150" s="382"/>
      <c r="O150" s="382"/>
      <c r="P150" s="382"/>
      <c r="Q150" s="382"/>
      <c r="S150" s="382"/>
      <c r="T150" s="382"/>
      <c r="U150" s="382"/>
      <c r="V150" s="382"/>
      <c r="W150" s="382"/>
      <c r="X150" s="382"/>
      <c r="Y150" s="382"/>
      <c r="Z150" s="382"/>
      <c r="AB150" s="382"/>
      <c r="AC150" s="382"/>
      <c r="AD150" s="382"/>
      <c r="AE150" s="382"/>
      <c r="AF150" s="382"/>
      <c r="AG150" s="382"/>
      <c r="AH150" s="382"/>
      <c r="AI150" s="382"/>
    </row>
    <row r="151" spans="1:35">
      <c r="A151" s="27"/>
      <c r="B151" s="28"/>
      <c r="C151" s="28"/>
      <c r="D151" s="28"/>
      <c r="E151" s="21"/>
      <c r="F151" s="21"/>
      <c r="G151" s="21"/>
      <c r="H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N152" s="382"/>
      <c r="O152" s="382"/>
      <c r="P152" s="382"/>
      <c r="Q152" s="382"/>
      <c r="W152" s="382"/>
      <c r="X152" s="382"/>
      <c r="Y152" s="382"/>
      <c r="Z152" s="382"/>
      <c r="AF152" s="382"/>
      <c r="AG152" s="382"/>
      <c r="AH152" s="382"/>
      <c r="AI152" s="382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N153" s="382"/>
      <c r="O153" s="382"/>
      <c r="P153" s="382"/>
      <c r="Q153" s="382"/>
      <c r="W153" s="382"/>
      <c r="X153" s="382"/>
      <c r="Y153" s="382"/>
      <c r="Z153" s="382"/>
      <c r="AF153" s="382"/>
      <c r="AG153" s="382"/>
      <c r="AH153" s="382"/>
      <c r="AI153" s="382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N154" s="382"/>
      <c r="O154" s="382"/>
      <c r="P154" s="382"/>
      <c r="Q154" s="382"/>
      <c r="W154" s="382"/>
      <c r="X154" s="382"/>
      <c r="Y154" s="382"/>
      <c r="Z154" s="382"/>
      <c r="AF154" s="382"/>
      <c r="AG154" s="382"/>
      <c r="AH154" s="382"/>
      <c r="AI154" s="382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N155" s="382"/>
      <c r="O155" s="382"/>
      <c r="W155" s="382"/>
      <c r="X155" s="382"/>
      <c r="AF155" s="382"/>
      <c r="AG155" s="382"/>
    </row>
    <row r="156" spans="1:35">
      <c r="A156" s="22" t="s">
        <v>189</v>
      </c>
      <c r="B156" s="23"/>
      <c r="C156" s="23"/>
      <c r="D156" s="63"/>
      <c r="E156" s="23"/>
      <c r="F156" s="63"/>
      <c r="G156" s="128" t="s">
        <v>10</v>
      </c>
      <c r="H156" s="36">
        <v>0</v>
      </c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0</v>
      </c>
      <c r="H157" s="365"/>
      <c r="P157" s="382"/>
      <c r="Q157" s="382"/>
      <c r="Y157" s="382"/>
      <c r="Z157" s="382"/>
      <c r="AH157" s="382"/>
      <c r="AI157" s="382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25480</v>
      </c>
      <c r="H158" s="366"/>
      <c r="P158" s="382"/>
      <c r="Q158" s="382"/>
      <c r="Y158" s="382"/>
      <c r="Z158" s="382"/>
      <c r="AH158" s="382"/>
      <c r="AI158" s="382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1000</v>
      </c>
      <c r="H159" s="367"/>
      <c r="P159" s="382"/>
      <c r="Q159" s="382"/>
      <c r="Y159" s="382"/>
      <c r="Z159" s="382"/>
      <c r="AH159" s="382"/>
      <c r="AI159" s="382"/>
    </row>
    <row r="160" spans="1:35">
      <c r="A160" s="27"/>
      <c r="B160" s="28"/>
      <c r="C160" s="28"/>
      <c r="D160" s="28"/>
      <c r="E160" s="21"/>
      <c r="F160" s="21"/>
      <c r="G160" s="21"/>
      <c r="H160" s="29"/>
    </row>
    <row r="161" spans="1:35">
      <c r="A161" s="27"/>
      <c r="B161" s="28"/>
      <c r="C161" s="28"/>
      <c r="D161" s="28"/>
      <c r="E161" s="21"/>
      <c r="F161" s="21"/>
      <c r="G161" s="21"/>
      <c r="H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82"/>
      <c r="K162" s="382"/>
      <c r="L162" s="382"/>
      <c r="M162" s="382"/>
      <c r="N162" s="382"/>
      <c r="O162" s="382"/>
      <c r="P162" s="382"/>
      <c r="Q162" s="382"/>
      <c r="S162" s="382"/>
      <c r="T162" s="382"/>
      <c r="U162" s="382"/>
      <c r="V162" s="382"/>
      <c r="W162" s="382"/>
      <c r="X162" s="382"/>
      <c r="Y162" s="382"/>
      <c r="Z162" s="382"/>
      <c r="AB162" s="382"/>
      <c r="AC162" s="382"/>
      <c r="AD162" s="382"/>
      <c r="AE162" s="382"/>
      <c r="AF162" s="382"/>
      <c r="AG162" s="382"/>
      <c r="AH162" s="382"/>
      <c r="AI162" s="382"/>
    </row>
    <row r="163" spans="1:35">
      <c r="A163" s="27"/>
      <c r="B163" s="28"/>
      <c r="C163" s="28"/>
      <c r="D163" s="28"/>
      <c r="E163" s="21"/>
      <c r="F163" s="21"/>
      <c r="G163" s="21"/>
      <c r="H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K164" s="382"/>
      <c r="L164" s="382"/>
      <c r="T164" s="382"/>
      <c r="U164" s="382"/>
      <c r="AC164" s="382"/>
      <c r="AD164" s="382"/>
    </row>
    <row r="165" spans="1:35">
      <c r="A165" s="27"/>
      <c r="B165" s="28"/>
      <c r="C165" s="28"/>
      <c r="D165" s="28"/>
      <c r="E165" s="21"/>
      <c r="F165" s="21"/>
      <c r="G165" s="21"/>
      <c r="H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</row>
    <row r="167" spans="1:35">
      <c r="A167" s="132">
        <f>B95</f>
        <v>731.99395129851496</v>
      </c>
      <c r="B167" s="133">
        <f>B94</f>
        <v>16.829999999999998</v>
      </c>
      <c r="C167" s="131"/>
      <c r="D167" s="131"/>
      <c r="E167" s="133">
        <f>B96</f>
        <v>748.823951298515</v>
      </c>
      <c r="F167" s="21"/>
      <c r="G167" s="21">
        <f>ROUND(G95,2)</f>
        <v>629.72</v>
      </c>
      <c r="H167" s="29"/>
    </row>
    <row r="168" spans="1:35">
      <c r="A168" s="27"/>
      <c r="B168" s="28"/>
      <c r="C168" s="28"/>
      <c r="D168" s="28"/>
      <c r="E168" s="21"/>
      <c r="F168" s="21"/>
      <c r="G168" s="21"/>
      <c r="H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</row>
    <row r="170" spans="1:35">
      <c r="A170" s="134">
        <f>B29</f>
        <v>12345</v>
      </c>
      <c r="B170" s="135">
        <f>B30</f>
        <v>0</v>
      </c>
      <c r="C170" s="136"/>
      <c r="D170" s="21"/>
      <c r="E170" s="137">
        <v>7200</v>
      </c>
      <c r="F170" s="21"/>
      <c r="G170" s="21"/>
      <c r="H170" s="29"/>
    </row>
    <row r="171" spans="1:35">
      <c r="A171" s="27"/>
      <c r="B171" s="28"/>
      <c r="C171" s="28"/>
      <c r="D171" s="21"/>
      <c r="E171" s="28"/>
      <c r="F171" s="21"/>
      <c r="G171" s="21"/>
      <c r="H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</row>
    <row r="173" spans="1:35">
      <c r="A173" s="138">
        <f>H141-H137-H139-H140</f>
        <v>20950</v>
      </c>
      <c r="B173" s="34">
        <f>H137</f>
        <v>4190</v>
      </c>
      <c r="C173" s="38"/>
      <c r="D173" s="21"/>
      <c r="E173" s="137">
        <f>H139+H140</f>
        <v>340</v>
      </c>
      <c r="F173" s="21"/>
      <c r="G173" s="21"/>
      <c r="H173" s="29"/>
    </row>
    <row r="174" spans="1:35">
      <c r="A174" s="27"/>
      <c r="B174" s="28"/>
      <c r="C174" s="28"/>
      <c r="D174" s="21"/>
      <c r="E174" s="28"/>
      <c r="F174" s="21"/>
      <c r="G174" s="21"/>
      <c r="H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</row>
    <row r="176" spans="1:35">
      <c r="A176" s="138">
        <f>H141</f>
        <v>25480</v>
      </c>
      <c r="B176" s="34">
        <f>B111</f>
        <v>0</v>
      </c>
      <c r="C176" s="34"/>
      <c r="D176" s="21"/>
      <c r="E176" s="34">
        <f>E111</f>
        <v>0</v>
      </c>
      <c r="F176" s="21"/>
      <c r="G176" s="21"/>
      <c r="H176" s="90"/>
    </row>
    <row r="177" spans="1:8">
      <c r="A177" s="27"/>
      <c r="B177" s="28"/>
      <c r="C177" s="28"/>
      <c r="D177" s="21"/>
      <c r="E177" s="28"/>
      <c r="F177" s="21"/>
      <c r="G177" s="21"/>
      <c r="H177" s="29"/>
    </row>
    <row r="178" spans="1:8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</row>
    <row r="179" spans="1:8">
      <c r="A179" s="94">
        <f>B176+E176</f>
        <v>0</v>
      </c>
      <c r="B179" s="34">
        <f>G154</f>
        <v>0</v>
      </c>
      <c r="C179" s="34"/>
      <c r="D179" s="21"/>
      <c r="E179" s="34">
        <f>G158</f>
        <v>25480</v>
      </c>
      <c r="F179" s="21"/>
      <c r="G179" s="21"/>
      <c r="H179" s="90"/>
    </row>
    <row r="180" spans="1:8">
      <c r="A180" s="27"/>
      <c r="B180" s="28"/>
      <c r="C180" s="28"/>
      <c r="D180" s="21"/>
      <c r="E180" s="28"/>
      <c r="F180" s="21"/>
      <c r="G180" s="21"/>
      <c r="H180" s="29"/>
    </row>
    <row r="181" spans="1:8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</row>
    <row r="182" spans="1:8">
      <c r="A182" s="94">
        <f>(A167*B59)+E185-E179-A185</f>
        <v>5143.8064415524786</v>
      </c>
      <c r="B182" s="34">
        <f>B114</f>
        <v>1000</v>
      </c>
      <c r="C182" s="34"/>
      <c r="D182" s="21"/>
      <c r="E182" s="34">
        <f>E179+A182+B182+A185</f>
        <v>31633.806441552479</v>
      </c>
      <c r="F182" s="21"/>
      <c r="G182" s="21"/>
      <c r="H182" s="90"/>
    </row>
    <row r="183" spans="1:8">
      <c r="A183" s="27"/>
      <c r="B183" s="28"/>
      <c r="C183" s="28"/>
      <c r="D183" s="21"/>
      <c r="E183" s="28"/>
      <c r="F183" s="21"/>
      <c r="G183" s="21"/>
      <c r="H183" s="29"/>
    </row>
    <row r="184" spans="1:8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</row>
    <row r="185" spans="1:8">
      <c r="A185" s="94">
        <f>B60</f>
        <v>10</v>
      </c>
      <c r="B185" s="34">
        <f>A179+B182</f>
        <v>1000</v>
      </c>
      <c r="C185" s="34"/>
      <c r="D185" s="21"/>
      <c r="E185" s="34">
        <f>IF( E170=0, A185+E167, E170+A185)</f>
        <v>7210</v>
      </c>
      <c r="F185" s="21"/>
      <c r="G185" s="21"/>
      <c r="H185" s="90"/>
    </row>
    <row r="186" spans="1:8">
      <c r="A186" s="27"/>
      <c r="B186" s="28"/>
      <c r="C186" s="28"/>
      <c r="D186" s="28"/>
      <c r="E186" s="21"/>
      <c r="F186" s="21"/>
      <c r="G186" s="21"/>
      <c r="H186" s="29"/>
    </row>
    <row r="187" spans="1:8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</row>
    <row r="188" spans="1:8">
      <c r="A188" s="94">
        <f>J18*0.000002*100*1.2</f>
        <v>6.033599999999999</v>
      </c>
      <c r="B188" s="34">
        <f>(G158*B67)</f>
        <v>764.4</v>
      </c>
      <c r="C188" s="28"/>
      <c r="D188" s="28"/>
      <c r="E188" s="34">
        <f>IF(E105="YES",(H36*A108)*0.1,0)</f>
        <v>7.48</v>
      </c>
      <c r="F188" s="21"/>
      <c r="G188" s="21"/>
      <c r="H188" s="29"/>
    </row>
    <row r="189" spans="1:8">
      <c r="A189" s="94"/>
      <c r="B189" s="34"/>
      <c r="C189" s="28"/>
      <c r="D189" s="28"/>
      <c r="E189" s="21"/>
      <c r="F189" s="21"/>
      <c r="G189" s="21"/>
      <c r="H189" s="29"/>
    </row>
    <row r="190" spans="1:8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</row>
    <row r="191" spans="1:8">
      <c r="A191" s="94">
        <v>10</v>
      </c>
      <c r="B191" s="34">
        <f>B188+E188+A191-H156</f>
        <v>781.88</v>
      </c>
      <c r="C191" s="28"/>
      <c r="D191" s="28"/>
      <c r="E191" s="34">
        <f>H148</f>
        <v>0</v>
      </c>
      <c r="F191" s="21"/>
      <c r="G191" s="21"/>
      <c r="H191" s="29"/>
    </row>
    <row r="192" spans="1:8">
      <c r="A192" s="27"/>
      <c r="B192" s="28"/>
      <c r="C192" s="28"/>
      <c r="D192" s="28"/>
      <c r="E192" s="21"/>
      <c r="F192" s="21"/>
      <c r="G192" s="21"/>
      <c r="H192" s="29"/>
    </row>
    <row r="193" spans="1:31">
      <c r="A193" s="58" t="s">
        <v>214</v>
      </c>
      <c r="B193" s="28"/>
      <c r="C193" s="28"/>
      <c r="D193" s="59"/>
      <c r="E193" s="59"/>
      <c r="F193" s="59"/>
      <c r="G193" s="59"/>
      <c r="H193" s="60"/>
    </row>
    <row r="194" spans="1:31">
      <c r="A194" s="27"/>
      <c r="B194" s="61"/>
      <c r="C194" s="61"/>
      <c r="D194" s="28"/>
      <c r="E194" s="21"/>
      <c r="F194" s="21"/>
      <c r="G194" s="21"/>
      <c r="H194" s="29"/>
    </row>
    <row r="195" spans="1:31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82"/>
      <c r="K195" s="382"/>
      <c r="L195" s="382"/>
      <c r="M195" s="382"/>
      <c r="S195" s="382"/>
      <c r="T195" s="382"/>
      <c r="U195" s="382"/>
      <c r="V195" s="382"/>
      <c r="AB195" s="382"/>
      <c r="AC195" s="382"/>
      <c r="AD195" s="382"/>
      <c r="AE195" s="382"/>
    </row>
    <row r="196" spans="1:31" ht="19.5" customHeight="1">
      <c r="A196" s="369"/>
      <c r="B196" s="342" t="str">
        <f>H30</f>
        <v>5000</v>
      </c>
      <c r="C196" s="342"/>
      <c r="D196" s="342"/>
      <c r="E196" s="21"/>
      <c r="F196" s="21"/>
      <c r="G196" s="21"/>
      <c r="H196" s="29"/>
      <c r="J196" s="382"/>
      <c r="K196" s="382"/>
      <c r="L196" s="382"/>
      <c r="M196" s="382"/>
      <c r="S196" s="382"/>
      <c r="T196" s="382"/>
      <c r="U196" s="382"/>
      <c r="V196" s="382"/>
      <c r="AB196" s="382"/>
      <c r="AC196" s="382"/>
      <c r="AD196" s="382"/>
      <c r="AE196" s="382"/>
    </row>
    <row r="197" spans="1:31">
      <c r="A197" s="62" t="str">
        <f>H29</f>
        <v>33</v>
      </c>
      <c r="B197" s="343">
        <f>B96</f>
        <v>748.823951298515</v>
      </c>
      <c r="C197" s="343"/>
      <c r="D197" s="343"/>
      <c r="E197" s="21"/>
      <c r="F197" s="21"/>
      <c r="G197" s="21"/>
      <c r="H197" s="29"/>
      <c r="K197" s="382"/>
      <c r="L197" s="382"/>
      <c r="M197" s="382"/>
      <c r="T197" s="382"/>
      <c r="U197" s="382"/>
      <c r="V197" s="382"/>
      <c r="AC197" s="382"/>
      <c r="AD197" s="382"/>
      <c r="AE197" s="382"/>
    </row>
    <row r="198" spans="1:31">
      <c r="A198" s="27"/>
      <c r="B198" s="28"/>
      <c r="C198" s="28"/>
      <c r="D198" s="28"/>
      <c r="E198" s="21"/>
      <c r="F198" s="21"/>
      <c r="G198" s="21"/>
      <c r="H198" s="29"/>
    </row>
    <row r="199" spans="1:31">
      <c r="A199" s="27"/>
      <c r="B199" s="28"/>
      <c r="C199" s="28"/>
      <c r="D199" s="28"/>
      <c r="E199" s="21"/>
      <c r="F199" s="21"/>
      <c r="G199" s="21"/>
      <c r="H199" s="29"/>
    </row>
    <row r="200" spans="1:31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</row>
    <row r="201" spans="1:31">
      <c r="A201" s="32">
        <f>IF(A40=0,((G167*(B59+1))-E179),((G167*B59)+E185-E179-A185))</f>
        <v>1871.0400000000009</v>
      </c>
      <c r="B201" s="38">
        <f>E179+A201+B182+A185</f>
        <v>28361.040000000001</v>
      </c>
      <c r="C201" s="28"/>
      <c r="D201" s="28"/>
      <c r="E201" s="21"/>
      <c r="F201" s="21"/>
      <c r="G201" s="21"/>
      <c r="H201" s="29"/>
    </row>
    <row r="202" spans="1:31">
      <c r="A202" s="49"/>
      <c r="B202" s="50"/>
      <c r="C202" s="50"/>
      <c r="D202" s="50"/>
      <c r="E202" s="50"/>
      <c r="F202" s="50"/>
      <c r="G202" s="50"/>
      <c r="H202" s="57"/>
    </row>
    <row r="206" spans="1:31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1">
      <c r="A207" s="27"/>
      <c r="B207" s="28"/>
      <c r="C207" s="28"/>
      <c r="D207" s="28"/>
      <c r="E207" s="21"/>
      <c r="F207" s="21"/>
      <c r="G207" s="21"/>
      <c r="H207" s="29"/>
    </row>
    <row r="208" spans="1:31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42" t="s">
        <v>217</v>
      </c>
      <c r="B209" s="131" t="str">
        <f>A197</f>
        <v>33</v>
      </c>
      <c r="C209" s="131"/>
      <c r="D209" s="131"/>
      <c r="E209" s="131" t="str">
        <f>B196</f>
        <v>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731.99395129851496</v>
      </c>
      <c r="B212" s="133">
        <f>B167</f>
        <v>16.829999999999998</v>
      </c>
      <c r="C212" s="131"/>
      <c r="D212" s="131"/>
      <c r="E212" s="133">
        <f>E167</f>
        <v>748.823951298515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20950</v>
      </c>
      <c r="B215" s="34">
        <f>B173</f>
        <v>4190</v>
      </c>
      <c r="C215" s="38"/>
      <c r="D215" s="21"/>
      <c r="E215" s="137">
        <f>E173</f>
        <v>340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25480</v>
      </c>
      <c r="B218" s="34">
        <f>B176</f>
        <v>0</v>
      </c>
      <c r="C218" s="34"/>
      <c r="D218" s="21"/>
      <c r="E218" s="34">
        <f>E176</f>
        <v>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0</v>
      </c>
      <c r="B221" s="34">
        <f>B179</f>
        <v>0</v>
      </c>
      <c r="C221" s="34"/>
      <c r="D221" s="21"/>
      <c r="E221" s="34">
        <f>E179</f>
        <v>25480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5143.8064415524786</v>
      </c>
      <c r="B224" s="34">
        <f>B182</f>
        <v>1000</v>
      </c>
      <c r="C224" s="34"/>
      <c r="D224" s="21"/>
      <c r="E224" s="34">
        <f>E182</f>
        <v>31633.806441552479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1000</v>
      </c>
      <c r="C227" s="34"/>
      <c r="D227" s="21"/>
      <c r="E227" s="34">
        <f>B59</f>
        <v>32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731.99395129851496</v>
      </c>
      <c r="B230" s="34">
        <f>B167</f>
        <v>16.829999999999998</v>
      </c>
      <c r="C230" s="38"/>
      <c r="D230" s="38"/>
      <c r="E230" s="34">
        <f>E167</f>
        <v>748.823951298515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219</v>
      </c>
      <c r="B232" s="28" t="s">
        <v>220</v>
      </c>
      <c r="C232" s="28"/>
      <c r="D232" s="28"/>
      <c r="E232" s="28" t="s">
        <v>80</v>
      </c>
      <c r="F232" s="21"/>
      <c r="G232" s="21"/>
      <c r="H232" s="29"/>
    </row>
    <row r="233" spans="1:8">
      <c r="A233" s="94">
        <f>E170</f>
        <v>7200</v>
      </c>
      <c r="B233" s="34">
        <f>E185</f>
        <v>7210</v>
      </c>
      <c r="C233" s="28"/>
      <c r="D233" s="28"/>
      <c r="E233" s="34">
        <f>J18*0.000006*100*1.2</f>
        <v>18.1008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221</v>
      </c>
      <c r="B235" s="35" t="s">
        <v>85</v>
      </c>
      <c r="C235" s="28"/>
      <c r="D235" s="28"/>
      <c r="E235" s="35" t="s">
        <v>142</v>
      </c>
      <c r="F235" s="21"/>
      <c r="G235" s="21"/>
      <c r="H235" s="29"/>
    </row>
    <row r="236" spans="1:8">
      <c r="A236" s="94">
        <f>A188</f>
        <v>6.033599999999999</v>
      </c>
      <c r="B236" s="34">
        <f>E233+A236</f>
        <v>24.134399999999999</v>
      </c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0</v>
      </c>
      <c r="B240" s="34">
        <f>B188</f>
        <v>764.4</v>
      </c>
      <c r="C240" s="28"/>
      <c r="D240" s="28"/>
      <c r="E240" s="34">
        <f>IF(E105="YES",(H36*A108)*0.1,0)</f>
        <v>7.48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B191</f>
        <v>781.88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B63</f>
        <v>6.5000000000000002E-2</v>
      </c>
      <c r="C253" s="144"/>
      <c r="D253" s="374" t="s">
        <v>226</v>
      </c>
      <c r="E253" s="374"/>
      <c r="F253" s="143">
        <f>B83</f>
        <v>0.13700000000000001</v>
      </c>
      <c r="G253" s="21"/>
      <c r="H253" s="29"/>
    </row>
    <row r="254" spans="1:8">
      <c r="A254" s="139" t="s">
        <v>227</v>
      </c>
      <c r="B254" s="145">
        <f>(E182-B182)-(B201-B182-A185)</f>
        <v>3282.7664415524778</v>
      </c>
      <c r="C254" s="144"/>
      <c r="D254" s="374" t="s">
        <v>228</v>
      </c>
      <c r="E254" s="374"/>
      <c r="F254" s="146">
        <f>F261+F267+F269+B270+B271</f>
        <v>764.4</v>
      </c>
      <c r="G254" s="21"/>
      <c r="H254" s="29"/>
    </row>
    <row r="255" spans="1:8">
      <c r="A255" s="139" t="s">
        <v>229</v>
      </c>
      <c r="B255" s="146">
        <f>F262+B263</f>
        <v>84.800000000000011</v>
      </c>
      <c r="C255" s="144"/>
      <c r="D255" s="374" t="s">
        <v>230</v>
      </c>
      <c r="E255" s="374"/>
      <c r="F255" s="146">
        <f>(B254-F254)+B255</f>
        <v>2603.1664415524779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7.1999999999999995E-2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0.13700000000000001</v>
      </c>
      <c r="C260" s="38"/>
      <c r="D260" s="363" t="s">
        <v>227</v>
      </c>
      <c r="E260" s="363"/>
      <c r="F260" s="115">
        <f>B254</f>
        <v>3282.7664415524778</v>
      </c>
      <c r="G260" s="21"/>
      <c r="H260" s="29"/>
    </row>
    <row r="261" spans="1:8">
      <c r="A261" s="27" t="s">
        <v>233</v>
      </c>
      <c r="B261" s="155">
        <f>B67</f>
        <v>0.03</v>
      </c>
      <c r="C261" s="28"/>
      <c r="D261" s="363" t="s">
        <v>233</v>
      </c>
      <c r="E261" s="363"/>
      <c r="F261" s="119">
        <f>B68</f>
        <v>764.4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74.800000000000011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2603.1664415524779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98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A100:H100"/>
    <mergeCell ref="J100:Q100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G42:H42"/>
    <mergeCell ref="B44:C44"/>
    <mergeCell ref="D44:E44"/>
    <mergeCell ref="B47:C47"/>
    <mergeCell ref="D47:E47"/>
    <mergeCell ref="A51:A52"/>
    <mergeCell ref="B51:C51"/>
    <mergeCell ref="B52:C52"/>
    <mergeCell ref="B53:C53"/>
    <mergeCell ref="B32:C32"/>
    <mergeCell ref="D32:E32"/>
    <mergeCell ref="B35:C35"/>
    <mergeCell ref="D35:E35"/>
    <mergeCell ref="B38:C38"/>
    <mergeCell ref="D38:E38"/>
    <mergeCell ref="J38:K38"/>
    <mergeCell ref="B41:C41"/>
    <mergeCell ref="D41:E41"/>
    <mergeCell ref="B18:F18"/>
    <mergeCell ref="B19:F19"/>
    <mergeCell ref="B20:F20"/>
    <mergeCell ref="A21:F21"/>
    <mergeCell ref="A24:E24"/>
    <mergeCell ref="A26:E26"/>
    <mergeCell ref="B29:C29"/>
    <mergeCell ref="D29:E29"/>
    <mergeCell ref="B30:C30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A1:H1"/>
    <mergeCell ref="B2:C2"/>
    <mergeCell ref="D2:E2"/>
    <mergeCell ref="F2:G2"/>
    <mergeCell ref="B3:C3"/>
    <mergeCell ref="D3:E3"/>
    <mergeCell ref="F3:G3"/>
    <mergeCell ref="B4:C4"/>
    <mergeCell ref="D4:E4"/>
    <mergeCell ref="F4:G4"/>
  </mergeCells>
  <dataValidations count="4">
    <dataValidation type="list" allowBlank="1" showInputMessage="1" showErrorMessage="1" sqref="A18:A20 B105 C108:D108 A144:A146" xr:uid="{00000000-0002-0000-3400-000000000000}">
      <formula1>#REF!</formula1>
      <formula2>0</formula2>
    </dataValidation>
    <dataValidation type="list" allowBlank="1" showErrorMessage="1" sqref="B38" xr:uid="{00000000-0002-0000-3400-000002000000}">
      <formula1>$Z$19:$Z$20</formula1>
      <formula2>0</formula2>
    </dataValidation>
    <dataValidation type="list" allowBlank="1" showInputMessage="1" showErrorMessage="1" sqref="E105 A111" xr:uid="{00000000-0002-0000-3400-000003000000}">
      <formula1>"YES,NO"</formula1>
      <formula2>0</formula2>
    </dataValidation>
    <dataValidation type="list" allowBlank="1" showInputMessage="1" showErrorMessage="1" sqref="B108" xr:uid="{00000000-0002-0000-3400-000004000000}">
      <formula1>"A1 Credit,Limited Credit"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3400-000001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AP272"/>
  <sheetViews>
    <sheetView topLeftCell="A245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6" customWidth="true" style="4" width="18.875"/>
    <col min="7" max="7" customWidth="true" style="4" width="23.125"/>
    <col min="8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44" t="s">
        <v>382</v>
      </c>
      <c r="B1" s="344"/>
      <c r="C1" s="344"/>
      <c r="D1" s="344"/>
      <c r="E1" s="344"/>
      <c r="F1" s="344"/>
      <c r="G1" s="344"/>
      <c r="H1" s="344"/>
      <c r="I1" s="5"/>
      <c r="J1" s="5"/>
    </row>
    <row r="2" spans="1:25" ht="21">
      <c r="A2" s="68"/>
      <c r="B2" s="413" t="s">
        <v>154</v>
      </c>
      <c r="C2" s="413"/>
      <c r="D2" s="413" t="s">
        <v>155</v>
      </c>
      <c r="E2" s="413"/>
      <c r="F2" s="413" t="s">
        <v>156</v>
      </c>
      <c r="G2" s="413"/>
      <c r="H2" s="287" t="s">
        <v>157</v>
      </c>
      <c r="I2" s="5"/>
      <c r="J2" s="5"/>
    </row>
    <row r="3" spans="1:25">
      <c r="A3" s="27" t="s">
        <v>160</v>
      </c>
      <c r="B3" s="414">
        <v>20255</v>
      </c>
      <c r="C3" s="414">
        <v>0</v>
      </c>
      <c r="D3" s="414">
        <v>0</v>
      </c>
      <c r="E3" s="414"/>
      <c r="F3" s="414">
        <v>0</v>
      </c>
      <c r="G3" s="414"/>
      <c r="H3" s="289">
        <v>0</v>
      </c>
      <c r="I3" s="5"/>
      <c r="J3" s="5"/>
    </row>
    <row r="4" spans="1:25">
      <c r="A4" s="27" t="s">
        <v>161</v>
      </c>
      <c r="B4" s="418">
        <v>0</v>
      </c>
      <c r="C4" s="418">
        <v>0</v>
      </c>
      <c r="D4" s="418">
        <v>0</v>
      </c>
      <c r="E4" s="418"/>
      <c r="F4" s="418">
        <v>0</v>
      </c>
      <c r="G4" s="418"/>
      <c r="H4" s="105"/>
      <c r="I4" s="5"/>
      <c r="J4" s="5"/>
    </row>
    <row r="5" spans="1:25">
      <c r="A5" s="27" t="s">
        <v>162</v>
      </c>
      <c r="B5" s="414">
        <v>0</v>
      </c>
      <c r="C5" s="414">
        <v>0</v>
      </c>
      <c r="D5" s="414">
        <v>0</v>
      </c>
      <c r="E5" s="414"/>
      <c r="F5" s="414">
        <v>0</v>
      </c>
      <c r="G5" s="414"/>
      <c r="H5" s="29"/>
      <c r="I5" s="5"/>
      <c r="J5" s="5"/>
    </row>
    <row r="6" spans="1:25">
      <c r="A6" s="27" t="s">
        <v>163</v>
      </c>
      <c r="B6" s="380">
        <f>(B3*B4/100)+B5</f>
        <v>0</v>
      </c>
      <c r="C6" s="380">
        <f>(C3*C4/100)+C5</f>
        <v>0</v>
      </c>
      <c r="D6" s="380">
        <f>(D3*D4/100)+D5</f>
        <v>0</v>
      </c>
      <c r="E6" s="380"/>
      <c r="F6" s="380">
        <f>(F3*F4/100)+F5</f>
        <v>0</v>
      </c>
      <c r="G6" s="380"/>
      <c r="H6" s="29"/>
      <c r="I6" s="5"/>
      <c r="J6" s="5"/>
    </row>
    <row r="7" spans="1:25">
      <c r="A7" s="27" t="s">
        <v>164</v>
      </c>
      <c r="B7" s="380">
        <f>B3-B6</f>
        <v>20255</v>
      </c>
      <c r="C7" s="380">
        <f>C3-C6</f>
        <v>0</v>
      </c>
      <c r="D7" s="380">
        <f>D3-D6</f>
        <v>0</v>
      </c>
      <c r="E7" s="380"/>
      <c r="F7" s="380">
        <f>F3-F6</f>
        <v>0</v>
      </c>
      <c r="G7" s="380"/>
      <c r="H7" s="29"/>
      <c r="I7" s="5"/>
      <c r="J7" s="5"/>
    </row>
    <row r="8" spans="1:25">
      <c r="A8" s="27"/>
      <c r="B8" s="28"/>
      <c r="C8" s="28"/>
      <c r="D8" s="28"/>
      <c r="E8" s="28"/>
      <c r="F8" s="28"/>
      <c r="G8" s="28"/>
      <c r="H8" s="29"/>
      <c r="I8" s="5"/>
      <c r="J8" s="5"/>
      <c r="L8" s="14" t="s">
        <v>17</v>
      </c>
      <c r="M8" s="11">
        <f>H13+H14</f>
        <v>340</v>
      </c>
    </row>
    <row r="9" spans="1:25" ht="21">
      <c r="A9" s="356" t="s">
        <v>172</v>
      </c>
      <c r="B9" s="356"/>
      <c r="C9" s="356"/>
      <c r="D9" s="356"/>
      <c r="E9" s="356">
        <f>(B7+C7+D7+E3)</f>
        <v>20255</v>
      </c>
      <c r="F9" s="356"/>
      <c r="G9" s="109"/>
      <c r="H9" s="290">
        <f>B7+D7+F7+H3</f>
        <v>20255</v>
      </c>
      <c r="I9" s="5"/>
      <c r="J9" s="5"/>
      <c r="L9" s="11"/>
      <c r="M9" s="11"/>
    </row>
    <row r="10" spans="1:25">
      <c r="A10" s="357" t="s">
        <v>173</v>
      </c>
      <c r="B10" s="357"/>
      <c r="C10" s="357"/>
      <c r="D10" s="357"/>
      <c r="E10" s="357">
        <v>50</v>
      </c>
      <c r="F10" s="357"/>
      <c r="G10" s="121"/>
      <c r="H10" s="289">
        <v>695</v>
      </c>
      <c r="I10" s="5"/>
      <c r="J10" s="5"/>
      <c r="L10" s="16" t="s">
        <v>15</v>
      </c>
      <c r="M10" s="11">
        <f>H15-H11-M8</f>
        <v>20950</v>
      </c>
    </row>
    <row r="11" spans="1:25">
      <c r="A11" s="357" t="s">
        <v>174</v>
      </c>
      <c r="B11" s="357"/>
      <c r="C11" s="357"/>
      <c r="D11" s="357"/>
      <c r="E11" s="357"/>
      <c r="F11" s="357"/>
      <c r="G11" s="121"/>
      <c r="H11" s="29">
        <f>(H9+H10)*20%</f>
        <v>4190</v>
      </c>
      <c r="I11" s="5"/>
      <c r="J11" s="5"/>
      <c r="L11" s="11"/>
      <c r="M11" s="11"/>
    </row>
    <row r="12" spans="1:25">
      <c r="A12" s="357" t="s">
        <v>175</v>
      </c>
      <c r="B12" s="357"/>
      <c r="C12" s="357"/>
      <c r="D12" s="357"/>
      <c r="E12" s="357"/>
      <c r="F12" s="357"/>
      <c r="G12" s="121"/>
      <c r="H12" s="289">
        <v>0</v>
      </c>
      <c r="I12" s="5"/>
      <c r="J12" s="5"/>
    </row>
    <row r="13" spans="1:25">
      <c r="A13" s="357" t="s">
        <v>176</v>
      </c>
      <c r="B13" s="357"/>
      <c r="C13" s="357"/>
      <c r="D13" s="357"/>
      <c r="E13" s="357">
        <v>585</v>
      </c>
      <c r="F13" s="357"/>
      <c r="G13" s="121"/>
      <c r="H13" s="289">
        <v>275</v>
      </c>
      <c r="I13" s="5"/>
      <c r="J13" s="5"/>
    </row>
    <row r="14" spans="1:25">
      <c r="A14" s="357" t="s">
        <v>177</v>
      </c>
      <c r="B14" s="357"/>
      <c r="C14" s="357"/>
      <c r="D14" s="357"/>
      <c r="E14" s="357">
        <v>55</v>
      </c>
      <c r="F14" s="357"/>
      <c r="G14" s="121"/>
      <c r="H14" s="289">
        <v>65</v>
      </c>
      <c r="I14" s="5"/>
      <c r="J14" s="5" t="s">
        <v>24</v>
      </c>
    </row>
    <row r="15" spans="1:25">
      <c r="A15" s="357" t="s">
        <v>178</v>
      </c>
      <c r="B15" s="357"/>
      <c r="C15" s="357"/>
      <c r="D15" s="357"/>
      <c r="E15" s="357"/>
      <c r="F15" s="357"/>
      <c r="G15" s="121"/>
      <c r="H15" s="291">
        <f>(H9+H10+H13+H14+H11)-H12</f>
        <v>25480</v>
      </c>
      <c r="I15" s="5"/>
      <c r="J15" s="17">
        <f>H15</f>
        <v>25480</v>
      </c>
    </row>
    <row r="16" spans="1:25">
      <c r="A16" s="357" t="s">
        <v>179</v>
      </c>
      <c r="B16" s="357"/>
      <c r="C16" s="357"/>
      <c r="D16" s="357"/>
      <c r="E16" s="357">
        <v>120</v>
      </c>
      <c r="F16" s="357"/>
      <c r="G16" s="121"/>
      <c r="H16" s="289">
        <v>0</v>
      </c>
      <c r="I16" s="5"/>
      <c r="J16" s="5"/>
      <c r="Y16" s="18" t="s">
        <v>26</v>
      </c>
    </row>
    <row r="17" spans="1:26">
      <c r="A17" s="358" t="s">
        <v>180</v>
      </c>
      <c r="B17" s="358"/>
      <c r="C17" s="358"/>
      <c r="D17" s="358"/>
      <c r="E17" s="358"/>
      <c r="F17" s="358"/>
      <c r="G17" s="34"/>
      <c r="H17" s="29"/>
      <c r="I17" s="5"/>
      <c r="J17" s="5" t="s">
        <v>27</v>
      </c>
      <c r="Y17" s="18" t="s">
        <v>28</v>
      </c>
    </row>
    <row r="18" spans="1:26">
      <c r="A18" s="124" t="s">
        <v>26</v>
      </c>
      <c r="B18" s="360" t="s">
        <v>181</v>
      </c>
      <c r="C18" s="360"/>
      <c r="D18" s="360"/>
      <c r="E18" s="360"/>
      <c r="F18" s="360"/>
      <c r="G18" s="35"/>
      <c r="H18" s="292">
        <v>0</v>
      </c>
      <c r="I18" s="5"/>
      <c r="J18" s="17">
        <f>(B3+D3+F3+H3+H10)*1.2</f>
        <v>25140</v>
      </c>
      <c r="Y18" s="18" t="s">
        <v>29</v>
      </c>
    </row>
    <row r="19" spans="1:26">
      <c r="A19" s="124" t="s">
        <v>28</v>
      </c>
      <c r="B19" s="360" t="s">
        <v>181</v>
      </c>
      <c r="C19" s="360"/>
      <c r="D19" s="360"/>
      <c r="E19" s="360"/>
      <c r="F19" s="360"/>
      <c r="G19" s="35"/>
      <c r="H19" s="292">
        <v>0</v>
      </c>
      <c r="I19" s="5"/>
      <c r="J19" s="5"/>
      <c r="Z19" s="5" t="s">
        <v>31</v>
      </c>
    </row>
    <row r="20" spans="1:26">
      <c r="A20" s="124" t="s">
        <v>29</v>
      </c>
      <c r="B20" s="360" t="s">
        <v>181</v>
      </c>
      <c r="C20" s="360"/>
      <c r="D20" s="360"/>
      <c r="E20" s="360"/>
      <c r="F20" s="360"/>
      <c r="G20" s="35"/>
      <c r="H20" s="292">
        <v>0</v>
      </c>
      <c r="I20" s="5"/>
      <c r="J20" s="5"/>
      <c r="Z20" s="5" t="s">
        <v>32</v>
      </c>
    </row>
    <row r="21" spans="1:26" ht="21">
      <c r="A21" s="417" t="s">
        <v>182</v>
      </c>
      <c r="B21" s="417"/>
      <c r="C21" s="417"/>
      <c r="D21" s="417"/>
      <c r="E21" s="417"/>
      <c r="F21" s="417"/>
      <c r="G21" s="293"/>
      <c r="H21" s="294">
        <f>H15-((H18*1.2)+(H19*1.2)+(H20*1.2)+(H16*1.2))</f>
        <v>25480</v>
      </c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76" t="s">
        <v>246</v>
      </c>
      <c r="B24" s="376"/>
      <c r="C24" s="376"/>
      <c r="D24" s="376"/>
      <c r="E24" s="376"/>
      <c r="F24" s="55"/>
      <c r="G24" s="55"/>
      <c r="H24" s="55"/>
    </row>
    <row r="25" spans="1:26">
      <c r="A25" s="157"/>
      <c r="B25" s="158"/>
      <c r="C25" s="158"/>
      <c r="D25" s="158"/>
      <c r="E25" s="159"/>
      <c r="F25" s="55"/>
      <c r="G25" s="55"/>
      <c r="H25" s="55"/>
    </row>
    <row r="26" spans="1:26" ht="23.25">
      <c r="A26" s="377" t="s">
        <v>247</v>
      </c>
      <c r="B26" s="377"/>
      <c r="C26" s="377"/>
      <c r="D26" s="377"/>
      <c r="E26" s="377"/>
      <c r="F26" s="55"/>
      <c r="G26" s="160"/>
      <c r="H26" s="160"/>
    </row>
    <row r="27" spans="1:26">
      <c r="A27" s="157"/>
      <c r="B27" s="158"/>
      <c r="C27" s="158"/>
      <c r="D27" s="158"/>
      <c r="E27" s="159"/>
      <c r="F27" s="55"/>
      <c r="G27" s="161" t="s">
        <v>96</v>
      </c>
      <c r="H27" s="161">
        <f>IF(A32=Y104,1,IF(A32=Y105,1,IF(A32=Y106,3,IF(A32=Y107,6,IF(A32=Y108,9,IF(A32=Y109,12,IF(A32=Y110,3,IF(A32=Y111,6,IF(A32=Y112,9,0)))))))))</f>
        <v>0</v>
      </c>
    </row>
    <row r="28" spans="1:26" ht="37.5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IF(A32=Y104,H29-H37,IF(A32=Y105,H29-H37,IF(A32=Y106,H29-1,IF(A32=Y107,H29-1,IF(A32=Y108,H29-1,IF(A32=Y109,H29-1,IF(A32=Y110,H29-H37,IF(A32=Y111,H29-H37,IF(A32=Y112,H29-H37,0)))))))))</f>
        <v>0</v>
      </c>
    </row>
    <row r="29" spans="1:26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 t="str">
        <f>B35</f>
        <v>33</v>
      </c>
    </row>
    <row r="30" spans="1:26">
      <c r="A30" s="157"/>
      <c r="B30" s="380"/>
      <c r="C30" s="380"/>
      <c r="D30" s="158"/>
      <c r="E30" s="159"/>
      <c r="F30" s="55"/>
      <c r="G30" s="160" t="s">
        <v>45</v>
      </c>
      <c r="H30" s="160" t="str">
        <f>D35</f>
        <v>5000</v>
      </c>
    </row>
    <row r="31" spans="1:26" ht="37.5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</row>
    <row r="32" spans="1:26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>
        <f>A41</f>
        <v>0</v>
      </c>
      <c r="J32" s="39" t="s">
        <v>50</v>
      </c>
      <c r="K32" s="40" t="s">
        <v>405</v>
      </c>
    </row>
    <row r="33" spans="1:16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J33" s="39"/>
      <c r="K33" s="13"/>
    </row>
    <row r="34" spans="1:16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J34" s="39" t="s">
        <v>57</v>
      </c>
      <c r="K34" s="44" t="s">
        <v>398</v>
      </c>
    </row>
    <row r="35" spans="1:16">
      <c r="A35" s="167">
        <f>B32+D32</f>
        <v>500</v>
      </c>
      <c r="B35" s="378" t="s">
        <v>403</v>
      </c>
      <c r="C35" s="378"/>
      <c r="D35" s="378" t="s">
        <v>397</v>
      </c>
      <c r="E35" s="378"/>
      <c r="F35" s="55"/>
      <c r="G35" s="46"/>
      <c r="H35" s="174"/>
      <c r="J35" s="39"/>
      <c r="K35" s="13">
        <v>6.5000000000000002E-2</v>
      </c>
    </row>
    <row r="36" spans="1:16">
      <c r="A36" s="157"/>
      <c r="B36" s="158"/>
      <c r="C36" s="158"/>
      <c r="D36" s="158"/>
      <c r="E36" s="159"/>
      <c r="F36" s="55"/>
      <c r="G36" s="55" t="s">
        <v>91</v>
      </c>
      <c r="H36" s="56">
        <v>0</v>
      </c>
      <c r="J36" s="39" t="s">
        <v>64</v>
      </c>
      <c r="K36" s="47">
        <f>K32-K34</f>
        <v>24480</v>
      </c>
    </row>
    <row r="37" spans="1:16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</row>
    <row r="38" spans="1:16">
      <c r="A38" s="175">
        <f>(B35/12)*D35</f>
        <v>13750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J38" s="382"/>
      <c r="K38" s="382"/>
      <c r="L38" s="5"/>
      <c r="N38" s="4">
        <f>80.88*36</f>
        <v>2911.68</v>
      </c>
    </row>
    <row r="39" spans="1:16">
      <c r="A39" s="176"/>
      <c r="B39" s="171"/>
      <c r="C39" s="171"/>
      <c r="D39" s="158"/>
      <c r="E39" s="159"/>
      <c r="F39" s="55"/>
      <c r="G39" s="55"/>
      <c r="H39" s="5"/>
      <c r="L39" s="5"/>
      <c r="N39" s="4">
        <f>K39-L39</f>
        <v>0</v>
      </c>
    </row>
    <row r="40" spans="1:16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L40" s="5"/>
      <c r="N40" s="4">
        <f>N38-N39</f>
        <v>2911.68</v>
      </c>
    </row>
    <row r="41" spans="1:16">
      <c r="A41" s="89">
        <f>H36/B35</f>
        <v>0</v>
      </c>
      <c r="B41" s="383" t="str">
        <f>IF(B38="YES",D38+A41,D38)</f>
        <v>500</v>
      </c>
      <c r="C41" s="383"/>
      <c r="D41" s="346">
        <v>6000</v>
      </c>
      <c r="E41" s="346"/>
      <c r="F41" s="55"/>
      <c r="G41" s="55"/>
      <c r="H41" s="180"/>
      <c r="J41" s="5"/>
      <c r="K41" s="5"/>
      <c r="L41" s="5"/>
    </row>
    <row r="42" spans="1:16">
      <c r="A42" s="176"/>
      <c r="B42" s="171"/>
      <c r="C42" s="171"/>
      <c r="D42" s="171"/>
      <c r="E42" s="181"/>
      <c r="F42" s="55"/>
      <c r="G42" s="384" t="s">
        <v>65</v>
      </c>
      <c r="H42" s="384"/>
      <c r="J42" s="5"/>
      <c r="K42" s="5"/>
      <c r="L42" s="5"/>
    </row>
    <row r="43" spans="1:16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500.36363636363637</v>
      </c>
      <c r="J43" s="5"/>
      <c r="K43" s="5"/>
      <c r="L43" s="5"/>
    </row>
    <row r="44" spans="1:16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0</v>
      </c>
      <c r="J44" s="5"/>
      <c r="K44" s="5"/>
      <c r="L44" s="5"/>
    </row>
    <row r="45" spans="1:16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500.36363636363637</v>
      </c>
      <c r="J45" s="5"/>
      <c r="K45" s="5"/>
      <c r="L45" s="5"/>
    </row>
    <row r="46" spans="1:16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500.36363636363637</v>
      </c>
      <c r="J46" s="5"/>
      <c r="K46" s="5"/>
      <c r="L46" s="5"/>
    </row>
    <row r="47" spans="1:16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J47" s="5"/>
      <c r="K47" s="5"/>
      <c r="L47" s="5"/>
    </row>
    <row r="48" spans="1:16">
      <c r="B48" s="171"/>
      <c r="C48" s="171"/>
      <c r="D48" s="171"/>
      <c r="E48" s="181"/>
      <c r="F48" s="55"/>
      <c r="G48" s="55"/>
      <c r="H48" s="5"/>
      <c r="J48" s="48"/>
      <c r="K48" s="5"/>
      <c r="L48" s="5"/>
    </row>
    <row r="49" spans="1:29">
      <c r="A49" s="176"/>
      <c r="B49" s="171"/>
      <c r="C49" s="171"/>
      <c r="D49" s="171"/>
      <c r="E49" s="181"/>
      <c r="F49" s="55"/>
      <c r="G49" s="55"/>
      <c r="H49" s="5"/>
      <c r="J49" s="5"/>
      <c r="K49" s="5"/>
      <c r="L49" s="5"/>
    </row>
    <row r="50" spans="1:29">
      <c r="A50" s="157"/>
      <c r="B50" s="183"/>
      <c r="C50" s="183"/>
      <c r="D50" s="158"/>
      <c r="E50" s="159"/>
      <c r="I50" s="5"/>
      <c r="J50" s="5"/>
      <c r="K50" s="5"/>
    </row>
    <row r="51" spans="1:29" ht="19.5" customHeight="1">
      <c r="A51" s="387" t="s">
        <v>94</v>
      </c>
      <c r="B51" s="388" t="s">
        <v>95</v>
      </c>
      <c r="C51" s="388"/>
      <c r="D51" s="158"/>
      <c r="E51" s="159"/>
      <c r="I51" s="5"/>
      <c r="J51" s="5"/>
      <c r="K51" s="5"/>
    </row>
    <row r="52" spans="1:29">
      <c r="A52" s="387"/>
      <c r="B52" s="389" t="str">
        <f>H30</f>
        <v>5000</v>
      </c>
      <c r="C52" s="389"/>
      <c r="D52" s="158"/>
      <c r="E52" s="159"/>
      <c r="I52" s="5"/>
      <c r="J52" s="5"/>
      <c r="K52" s="5"/>
    </row>
    <row r="53" spans="1:29">
      <c r="A53" s="185" t="str">
        <f>H29</f>
        <v>33</v>
      </c>
      <c r="B53" s="343">
        <f>H45</f>
        <v>500.36363636363637</v>
      </c>
      <c r="C53" s="343"/>
      <c r="D53" s="158"/>
      <c r="E53" s="159"/>
      <c r="I53" s="5"/>
      <c r="J53" s="5"/>
      <c r="K53" s="5"/>
    </row>
    <row r="54" spans="1:29">
      <c r="I54" s="5"/>
      <c r="J54" s="5"/>
      <c r="K54" s="5"/>
    </row>
    <row r="55" spans="1:29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29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29">
      <c r="A57" s="22"/>
      <c r="B57" s="23"/>
      <c r="C57" s="23"/>
      <c r="D57" s="23"/>
      <c r="E57" s="63"/>
      <c r="F57" s="63"/>
      <c r="G57" s="63"/>
      <c r="H57" s="24"/>
    </row>
    <row r="58" spans="1:29">
      <c r="A58" s="27" t="s">
        <v>96</v>
      </c>
      <c r="B58" s="28">
        <v>1</v>
      </c>
      <c r="C58" s="186"/>
      <c r="D58" s="28"/>
      <c r="E58" s="21"/>
      <c r="F58" s="21"/>
      <c r="G58" s="21"/>
      <c r="H58" s="29"/>
    </row>
    <row r="59" spans="1:29">
      <c r="A59" s="27" t="s">
        <v>97</v>
      </c>
      <c r="B59" s="28">
        <f>B35-B58</f>
        <v>32</v>
      </c>
      <c r="C59" s="186"/>
      <c r="D59" s="28"/>
      <c r="E59" s="21"/>
      <c r="F59" s="21"/>
      <c r="G59" s="21"/>
      <c r="H59" s="29"/>
    </row>
    <row r="60" spans="1:29">
      <c r="A60" s="64" t="s">
        <v>98</v>
      </c>
      <c r="B60" s="65">
        <v>10</v>
      </c>
      <c r="C60" s="186"/>
      <c r="D60" s="28"/>
      <c r="E60" s="21"/>
      <c r="F60" s="21"/>
      <c r="G60" s="21"/>
      <c r="H60" s="29"/>
    </row>
    <row r="61" spans="1:29">
      <c r="A61" s="27" t="s">
        <v>27</v>
      </c>
      <c r="B61" s="28">
        <f>J18</f>
        <v>25140</v>
      </c>
      <c r="C61" s="186"/>
      <c r="D61" s="28"/>
      <c r="E61" s="21"/>
      <c r="F61" s="21"/>
      <c r="G61" s="21"/>
      <c r="H61" s="29"/>
    </row>
    <row r="62" spans="1:29">
      <c r="A62" s="66" t="s">
        <v>99</v>
      </c>
      <c r="B62" s="67">
        <v>0</v>
      </c>
      <c r="C62" s="186"/>
      <c r="D62" s="28"/>
      <c r="E62" s="21"/>
      <c r="F62" s="21"/>
      <c r="G62" s="21"/>
      <c r="H62" s="29"/>
      <c r="K62" s="10"/>
      <c r="T62" s="10"/>
      <c r="AC62" s="10"/>
    </row>
    <row r="63" spans="1:29">
      <c r="A63" s="68" t="s">
        <v>100</v>
      </c>
      <c r="B63" s="69">
        <v>6.5000000000000002E-2</v>
      </c>
      <c r="C63" s="186"/>
      <c r="D63" s="28"/>
      <c r="E63" s="21"/>
      <c r="F63" s="21"/>
      <c r="G63" s="21"/>
      <c r="H63" s="29"/>
      <c r="K63" s="10"/>
      <c r="T63" s="10"/>
      <c r="AC63" s="10"/>
    </row>
    <row r="64" spans="1:29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K64" s="10"/>
      <c r="T64" s="10"/>
      <c r="AC64" s="10"/>
    </row>
    <row r="65" spans="1:29">
      <c r="A65" s="49" t="s">
        <v>102</v>
      </c>
      <c r="B65" s="57">
        <f>(B89*B59)-B53</f>
        <v>21913.199837575186</v>
      </c>
      <c r="C65" s="28"/>
      <c r="D65" s="28"/>
      <c r="E65" s="21"/>
      <c r="F65" s="21"/>
      <c r="G65" s="21"/>
      <c r="H65" s="29"/>
    </row>
    <row r="66" spans="1:29">
      <c r="A66" s="66" t="s">
        <v>103</v>
      </c>
      <c r="B66" s="67">
        <v>0.03</v>
      </c>
      <c r="C66" s="28"/>
      <c r="D66" s="28"/>
      <c r="E66" s="21"/>
      <c r="F66" s="21"/>
      <c r="G66" s="21"/>
      <c r="H66" s="29"/>
      <c r="K66" s="10"/>
      <c r="T66" s="10"/>
      <c r="AC66" s="10"/>
    </row>
    <row r="67" spans="1:29">
      <c r="A67" s="27"/>
      <c r="B67" s="72">
        <f>B66</f>
        <v>0.03</v>
      </c>
      <c r="C67" s="28"/>
      <c r="D67" s="28"/>
      <c r="E67" s="21"/>
      <c r="F67" s="21"/>
      <c r="G67" s="21"/>
      <c r="H67" s="29"/>
      <c r="K67" s="10"/>
      <c r="T67" s="10"/>
      <c r="AC67" s="10"/>
    </row>
    <row r="68" spans="1:29">
      <c r="A68" s="49" t="s">
        <v>105</v>
      </c>
      <c r="B68" s="57">
        <f>(G158*B67)</f>
        <v>807</v>
      </c>
      <c r="C68" s="28"/>
      <c r="D68" s="28"/>
      <c r="E68" s="21"/>
      <c r="F68" s="21"/>
      <c r="G68" s="21"/>
      <c r="H68" s="29"/>
    </row>
    <row r="69" spans="1:29">
      <c r="A69" s="66" t="s">
        <v>106</v>
      </c>
      <c r="B69" s="67">
        <v>0</v>
      </c>
      <c r="C69" s="187"/>
      <c r="D69" s="28"/>
      <c r="E69" s="21"/>
      <c r="F69" s="21"/>
      <c r="G69" s="21"/>
      <c r="H69" s="29"/>
      <c r="K69" s="10"/>
      <c r="T69" s="10"/>
      <c r="AC69" s="10"/>
    </row>
    <row r="70" spans="1:29">
      <c r="A70" s="68" t="s">
        <v>107</v>
      </c>
      <c r="B70" s="69">
        <v>0</v>
      </c>
      <c r="C70" s="187"/>
      <c r="D70" s="28"/>
      <c r="E70" s="21"/>
      <c r="F70" s="21"/>
      <c r="G70" s="21"/>
      <c r="H70" s="29"/>
      <c r="K70" s="10"/>
      <c r="T70" s="10"/>
      <c r="AC70" s="10"/>
    </row>
    <row r="71" spans="1:29">
      <c r="A71" s="49" t="s">
        <v>108</v>
      </c>
      <c r="B71" s="73">
        <f>B69*(1+B70)</f>
        <v>0</v>
      </c>
      <c r="C71" s="187"/>
      <c r="D71" s="28"/>
      <c r="E71" s="21"/>
      <c r="F71" s="21"/>
      <c r="G71" s="21"/>
      <c r="H71" s="29"/>
      <c r="K71" s="10"/>
      <c r="T71" s="10"/>
      <c r="AC71" s="10"/>
    </row>
    <row r="72" spans="1:29">
      <c r="A72" s="66" t="s">
        <v>109</v>
      </c>
      <c r="B72" s="74">
        <v>0</v>
      </c>
      <c r="C72" s="187"/>
      <c r="D72" s="28"/>
      <c r="E72" s="21"/>
      <c r="F72" s="21"/>
      <c r="G72" s="21"/>
      <c r="H72" s="29"/>
    </row>
    <row r="73" spans="1:29">
      <c r="A73" s="68" t="s">
        <v>110</v>
      </c>
      <c r="B73" s="65">
        <v>0</v>
      </c>
      <c r="C73" s="187"/>
      <c r="D73" s="28"/>
      <c r="E73" s="21"/>
      <c r="F73" s="21"/>
      <c r="G73" s="21"/>
      <c r="H73" s="29"/>
    </row>
    <row r="74" spans="1:29">
      <c r="A74" s="49" t="s">
        <v>111</v>
      </c>
      <c r="B74" s="57">
        <f>B73*B35</f>
        <v>0</v>
      </c>
      <c r="C74" s="187"/>
      <c r="D74" s="28">
        <f>B74+B72</f>
        <v>0</v>
      </c>
      <c r="E74" s="21"/>
      <c r="F74" s="21"/>
      <c r="G74" s="21"/>
      <c r="H74" s="29"/>
    </row>
    <row r="75" spans="1:29">
      <c r="A75" s="68" t="s">
        <v>112</v>
      </c>
      <c r="B75" s="65">
        <v>0</v>
      </c>
      <c r="C75" s="187"/>
      <c r="D75" s="28">
        <f>B75</f>
        <v>0</v>
      </c>
      <c r="E75" s="21"/>
      <c r="F75" s="21"/>
      <c r="G75" s="21"/>
      <c r="H75" s="29"/>
    </row>
    <row r="76" spans="1:29">
      <c r="A76" s="70" t="s">
        <v>113</v>
      </c>
      <c r="B76" s="75">
        <v>0</v>
      </c>
      <c r="C76" s="187"/>
      <c r="D76" s="28">
        <f>B76</f>
        <v>0</v>
      </c>
      <c r="E76" s="21"/>
      <c r="F76" s="28"/>
      <c r="G76" s="21"/>
      <c r="H76" s="29"/>
    </row>
    <row r="77" spans="1:29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</row>
    <row r="78" spans="1:29">
      <c r="A78" s="27" t="s">
        <v>115</v>
      </c>
      <c r="B78" s="29">
        <f>B77/B35</f>
        <v>0</v>
      </c>
      <c r="C78" s="28"/>
      <c r="D78" s="28"/>
      <c r="E78" s="21"/>
      <c r="F78" s="21"/>
      <c r="G78" s="21"/>
      <c r="H78" s="29"/>
    </row>
    <row r="79" spans="1:29">
      <c r="A79" s="78" t="s">
        <v>116</v>
      </c>
      <c r="B79" s="52">
        <f>H46</f>
        <v>500.36363636363637</v>
      </c>
      <c r="C79" s="28"/>
      <c r="D79" s="28"/>
      <c r="E79" s="21"/>
      <c r="F79" s="21"/>
      <c r="G79" s="21"/>
      <c r="H79" s="29"/>
    </row>
    <row r="80" spans="1:29">
      <c r="A80" s="27"/>
      <c r="B80" s="28"/>
      <c r="C80" s="28"/>
      <c r="D80" s="28"/>
      <c r="E80" s="21"/>
      <c r="F80" s="21"/>
      <c r="G80" s="21"/>
      <c r="H80" s="29"/>
    </row>
    <row r="81" spans="1:29">
      <c r="A81" s="22" t="s">
        <v>117</v>
      </c>
      <c r="B81" s="24">
        <f>K36</f>
        <v>24480</v>
      </c>
      <c r="C81" s="28"/>
      <c r="D81" s="28"/>
      <c r="E81" s="21"/>
      <c r="F81" s="22" t="s">
        <v>117</v>
      </c>
      <c r="G81" s="24">
        <f>B81</f>
        <v>24480</v>
      </c>
      <c r="H81" s="29"/>
    </row>
    <row r="82" spans="1:29">
      <c r="A82" s="27" t="s">
        <v>118</v>
      </c>
      <c r="B82" s="29">
        <f>IF(A111="YES",D41,0)*1.2</f>
        <v>7200</v>
      </c>
      <c r="C82" s="28"/>
      <c r="D82" s="28"/>
      <c r="E82" s="21"/>
      <c r="F82" s="27" t="s">
        <v>118</v>
      </c>
      <c r="G82" s="29">
        <f>IF(A111="YES",D41,0)*1.2</f>
        <v>7200</v>
      </c>
      <c r="H82" s="29"/>
    </row>
    <row r="83" spans="1:29">
      <c r="A83" s="27" t="s">
        <v>119</v>
      </c>
      <c r="B83" s="79">
        <f>B62+B63+B64</f>
        <v>0.115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K83" s="10"/>
      <c r="T83" s="10"/>
      <c r="AC83" s="10"/>
    </row>
    <row r="84" spans="1:29">
      <c r="A84" s="27" t="s">
        <v>120</v>
      </c>
      <c r="B84" s="72">
        <f>B83/12</f>
        <v>9.5833333333333343E-3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K84" s="10"/>
      <c r="T84" s="10"/>
      <c r="AC84" s="10"/>
    </row>
    <row r="85" spans="1:29">
      <c r="A85" s="27" t="s">
        <v>121</v>
      </c>
      <c r="B85" s="29">
        <f>IF(B82=0,(B59+B58),(B59))</f>
        <v>32</v>
      </c>
      <c r="C85" s="28"/>
      <c r="D85" s="28"/>
      <c r="E85" s="21"/>
      <c r="F85" s="27" t="s">
        <v>121</v>
      </c>
      <c r="G85" s="29">
        <f>IF(G82=0,(B59+B58),(B59))</f>
        <v>32</v>
      </c>
      <c r="H85" s="29"/>
    </row>
    <row r="86" spans="1:29">
      <c r="A86" s="27" t="s">
        <v>122</v>
      </c>
      <c r="B86" s="29">
        <f>(B82/((1+B84)^(B85+1)))</f>
        <v>5255.8239110954255</v>
      </c>
      <c r="C86" s="28">
        <f>(B82/((1+B84)^(B85+1)))</f>
        <v>5255.8239110954255</v>
      </c>
      <c r="D86" s="28"/>
      <c r="E86" s="21"/>
      <c r="F86" s="27" t="s">
        <v>122</v>
      </c>
      <c r="G86" s="29">
        <f>(G82/((1+G84)^(G85+1)))</f>
        <v>6024.3729512856571</v>
      </c>
      <c r="H86" s="29"/>
    </row>
    <row r="87" spans="1:29">
      <c r="A87" s="27" t="s">
        <v>123</v>
      </c>
      <c r="B87" s="29">
        <f>((1-(1/((1+B84)^B85)))/B84)</f>
        <v>27.446489513380339</v>
      </c>
      <c r="C87" s="28">
        <f>((1-(1/((1+B84)^B85)))/B84)</f>
        <v>27.446489513380339</v>
      </c>
      <c r="D87" s="28"/>
      <c r="E87" s="21"/>
      <c r="F87" s="27" t="s">
        <v>123</v>
      </c>
      <c r="G87" s="29">
        <f>((1-(1/((1+G84)^G85)))/G84)</f>
        <v>29.307564834911432</v>
      </c>
      <c r="H87" s="29"/>
    </row>
    <row r="88" spans="1:29">
      <c r="A88" s="27" t="s">
        <v>124</v>
      </c>
      <c r="B88" s="29">
        <f>B81-B86</f>
        <v>19224.176088904576</v>
      </c>
      <c r="C88" s="28">
        <f>B81-B86</f>
        <v>19224.176088904576</v>
      </c>
      <c r="D88" s="28"/>
      <c r="E88" s="21"/>
      <c r="F88" s="27" t="s">
        <v>124</v>
      </c>
      <c r="G88" s="29">
        <f>G81-G86</f>
        <v>18455.627048714341</v>
      </c>
      <c r="H88" s="29"/>
    </row>
    <row r="89" spans="1:29">
      <c r="A89" s="27" t="s">
        <v>125</v>
      </c>
      <c r="B89" s="29">
        <f>(B88/B87)</f>
        <v>700.4238585605882</v>
      </c>
      <c r="C89" s="28">
        <f>(B88/B87)</f>
        <v>700.4238585605882</v>
      </c>
      <c r="D89" s="28"/>
      <c r="E89" s="21"/>
      <c r="F89" s="27" t="s">
        <v>125</v>
      </c>
      <c r="G89" s="29">
        <f>(G88/G87)</f>
        <v>629.72229704768358</v>
      </c>
      <c r="H89" s="29"/>
    </row>
    <row r="90" spans="1:29">
      <c r="A90" s="27" t="s">
        <v>126</v>
      </c>
      <c r="B90" s="29">
        <f>((B89*(B85))+B77)</f>
        <v>22413.563473938822</v>
      </c>
      <c r="C90" s="28"/>
      <c r="D90" s="28"/>
      <c r="E90" s="21"/>
      <c r="F90" s="27" t="s">
        <v>126</v>
      </c>
      <c r="G90" s="29">
        <f>((G89*(G85))+G77)</f>
        <v>20151.113505525875</v>
      </c>
      <c r="H90" s="29"/>
    </row>
    <row r="91" spans="1:29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</row>
    <row r="92" spans="1:29">
      <c r="A92" s="49" t="s">
        <v>128</v>
      </c>
      <c r="B92" s="57">
        <f>(B90+B91)</f>
        <v>22413.563473938822</v>
      </c>
      <c r="C92" s="28"/>
      <c r="D92" s="28"/>
      <c r="E92" s="21"/>
      <c r="F92" s="49" t="s">
        <v>128</v>
      </c>
      <c r="G92" s="57">
        <f>(G90+G91)</f>
        <v>20151.113505525875</v>
      </c>
      <c r="H92" s="29"/>
    </row>
    <row r="93" spans="1:29">
      <c r="A93" s="27"/>
      <c r="B93" s="28"/>
      <c r="C93" s="28"/>
      <c r="D93" s="28"/>
      <c r="E93" s="21"/>
      <c r="F93" s="27"/>
      <c r="G93" s="28"/>
      <c r="H93" s="29"/>
    </row>
    <row r="94" spans="1:29">
      <c r="A94" s="76" t="s">
        <v>129</v>
      </c>
      <c r="B94" s="80" t="str">
        <f>IF(B38="YES",((H36/B85)*(1+A108)),"0")</f>
        <v>0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</row>
    <row r="95" spans="1:29">
      <c r="A95" s="81" t="s">
        <v>130</v>
      </c>
      <c r="B95" s="82">
        <f>B92/(B85)</f>
        <v>700.4238585605882</v>
      </c>
      <c r="C95" s="28"/>
      <c r="D95" s="28"/>
      <c r="E95" s="21"/>
      <c r="F95" s="81" t="s">
        <v>130</v>
      </c>
      <c r="G95" s="82">
        <f>G92/(G85)</f>
        <v>629.72229704768358</v>
      </c>
      <c r="H95" s="29"/>
    </row>
    <row r="96" spans="1:29">
      <c r="A96" s="83" t="s">
        <v>131</v>
      </c>
      <c r="B96" s="84">
        <f>B94+B95</f>
        <v>700.4238585605882</v>
      </c>
      <c r="C96" s="28"/>
      <c r="D96" s="28"/>
      <c r="E96" s="21"/>
      <c r="F96" s="83" t="s">
        <v>131</v>
      </c>
      <c r="G96" s="84">
        <f>G94+G95</f>
        <v>629.72229704768358</v>
      </c>
      <c r="H96" s="29"/>
    </row>
    <row r="97" spans="1:42">
      <c r="A97" s="49"/>
      <c r="B97" s="50"/>
      <c r="C97" s="50"/>
      <c r="D97" s="50"/>
      <c r="E97" s="85"/>
      <c r="F97" s="85"/>
      <c r="G97" s="85"/>
      <c r="H97" s="57"/>
    </row>
    <row r="98" spans="1:42">
      <c r="A98" s="21"/>
      <c r="B98" s="21"/>
      <c r="C98" s="21"/>
      <c r="D98" s="21"/>
      <c r="E98" s="21"/>
      <c r="F98" s="21"/>
      <c r="G98" s="21"/>
      <c r="H98" s="21"/>
    </row>
    <row r="99" spans="1:42">
      <c r="A99" s="21"/>
      <c r="B99" s="21"/>
      <c r="C99" s="21"/>
      <c r="D99" s="21"/>
      <c r="E99" s="21"/>
      <c r="F99" s="21"/>
      <c r="G99" s="21"/>
      <c r="H99" s="21"/>
    </row>
    <row r="100" spans="1:42" ht="47.25" customHeight="1">
      <c r="A100" s="344" t="s">
        <v>134</v>
      </c>
      <c r="B100" s="344"/>
      <c r="C100" s="344"/>
      <c r="D100" s="344"/>
      <c r="E100" s="344"/>
      <c r="F100" s="344"/>
      <c r="G100" s="344"/>
      <c r="H100" s="344"/>
      <c r="J100" s="382"/>
      <c r="K100" s="382"/>
      <c r="L100" s="382"/>
      <c r="M100" s="382"/>
      <c r="N100" s="382"/>
      <c r="O100" s="382"/>
      <c r="P100" s="382"/>
      <c r="Q100" s="382"/>
      <c r="S100" s="382"/>
      <c r="T100" s="382"/>
      <c r="U100" s="382"/>
      <c r="V100" s="382"/>
      <c r="W100" s="382"/>
      <c r="X100" s="382"/>
      <c r="Y100" s="382"/>
      <c r="Z100" s="382"/>
      <c r="AB100" s="382"/>
      <c r="AC100" s="382"/>
      <c r="AD100" s="382"/>
      <c r="AE100" s="382"/>
      <c r="AF100" s="382"/>
      <c r="AG100" s="382"/>
      <c r="AH100" s="382"/>
      <c r="AI100" s="382"/>
    </row>
    <row r="101" spans="1:42">
      <c r="A101" s="22"/>
      <c r="B101" s="23"/>
      <c r="C101" s="23"/>
      <c r="D101" s="23"/>
      <c r="E101" s="63"/>
      <c r="F101" s="63"/>
      <c r="G101" s="63"/>
      <c r="H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82"/>
      <c r="K102" s="382"/>
      <c r="L102" s="382"/>
      <c r="M102" s="382"/>
      <c r="N102" s="382"/>
      <c r="O102" s="382"/>
      <c r="P102" s="382"/>
      <c r="Q102" s="382"/>
      <c r="S102" s="382"/>
      <c r="T102" s="382"/>
      <c r="U102" s="382"/>
      <c r="V102" s="382"/>
      <c r="W102" s="382"/>
      <c r="X102" s="382"/>
      <c r="Y102" s="382"/>
      <c r="Z102" s="382"/>
      <c r="AB102" s="382"/>
      <c r="AC102" s="382"/>
      <c r="AD102" s="382"/>
      <c r="AE102" s="382"/>
      <c r="AF102" s="382"/>
      <c r="AG102" s="382"/>
      <c r="AH102" s="382"/>
      <c r="AI102" s="382"/>
    </row>
    <row r="103" spans="1:42">
      <c r="A103" s="27"/>
      <c r="B103" s="28"/>
      <c r="C103" s="28"/>
      <c r="D103" s="28"/>
      <c r="E103" s="21"/>
      <c r="F103" s="21"/>
      <c r="G103" s="21"/>
      <c r="H103" s="88"/>
      <c r="Z103" s="55" t="s">
        <v>140</v>
      </c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Z104" s="55" t="s">
        <v>270</v>
      </c>
    </row>
    <row r="105" spans="1:42">
      <c r="A105" s="32" t="s">
        <v>139</v>
      </c>
      <c r="B105" s="345" t="s">
        <v>140</v>
      </c>
      <c r="C105" s="345"/>
      <c r="D105" s="345"/>
      <c r="E105" s="346" t="s">
        <v>386</v>
      </c>
      <c r="F105" s="346"/>
      <c r="G105" s="346"/>
      <c r="H105" s="88"/>
      <c r="K105" s="382"/>
      <c r="L105" s="382"/>
      <c r="M105" s="382"/>
      <c r="N105" s="382"/>
      <c r="O105" s="382"/>
      <c r="P105" s="382"/>
      <c r="T105" s="382"/>
      <c r="U105" s="382"/>
      <c r="V105" s="382"/>
      <c r="W105" s="382"/>
      <c r="X105" s="382"/>
      <c r="Y105" s="382"/>
      <c r="Z105" s="55" t="s">
        <v>271</v>
      </c>
      <c r="AC105" s="382"/>
      <c r="AD105" s="382"/>
      <c r="AE105" s="382"/>
      <c r="AF105" s="382"/>
      <c r="AG105" s="382"/>
      <c r="AH105" s="382"/>
    </row>
    <row r="106" spans="1:42">
      <c r="A106" s="27"/>
      <c r="B106" s="28"/>
      <c r="C106" s="28"/>
      <c r="D106" s="21"/>
      <c r="E106" s="28"/>
      <c r="F106" s="28"/>
      <c r="G106" s="21"/>
      <c r="H106" s="29"/>
      <c r="Z106" s="55" t="s">
        <v>272</v>
      </c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Z107" s="55" t="s">
        <v>273</v>
      </c>
    </row>
    <row r="108" spans="1:42">
      <c r="A108" s="188">
        <v>0.2</v>
      </c>
      <c r="B108" s="348" t="s">
        <v>400</v>
      </c>
      <c r="C108" s="348"/>
      <c r="D108" s="348"/>
      <c r="E108" s="349">
        <f>B83</f>
        <v>0.115</v>
      </c>
      <c r="F108" s="349"/>
      <c r="G108" s="349"/>
      <c r="H108" s="42"/>
      <c r="J108" s="10"/>
      <c r="K108" s="382"/>
      <c r="L108" s="382"/>
      <c r="M108" s="382"/>
      <c r="N108" s="390"/>
      <c r="O108" s="390"/>
      <c r="P108" s="390"/>
      <c r="S108" s="10"/>
      <c r="T108" s="382"/>
      <c r="U108" s="382"/>
      <c r="V108" s="382"/>
      <c r="W108" s="390"/>
      <c r="X108" s="390"/>
      <c r="Y108" s="390"/>
      <c r="Z108" s="55" t="s">
        <v>274</v>
      </c>
      <c r="AB108" s="10"/>
      <c r="AC108" s="382"/>
      <c r="AD108" s="382"/>
      <c r="AE108" s="382"/>
      <c r="AF108" s="390"/>
      <c r="AG108" s="390"/>
      <c r="AH108" s="390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Z109" s="55" t="s">
        <v>275</v>
      </c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Z110" s="55" t="s">
        <v>276</v>
      </c>
    </row>
    <row r="111" spans="1:42">
      <c r="A111" s="36" t="s">
        <v>385</v>
      </c>
      <c r="B111" s="348">
        <v>0</v>
      </c>
      <c r="C111" s="348"/>
      <c r="D111" s="348"/>
      <c r="E111" s="348">
        <v>0</v>
      </c>
      <c r="F111" s="348"/>
      <c r="G111" s="348"/>
      <c r="H111" s="88"/>
      <c r="K111" s="382"/>
      <c r="L111" s="382"/>
      <c r="M111" s="382"/>
      <c r="N111" s="382"/>
      <c r="O111" s="382"/>
      <c r="P111" s="382"/>
      <c r="T111" s="382"/>
      <c r="U111" s="382"/>
      <c r="V111" s="382"/>
      <c r="W111" s="382"/>
      <c r="X111" s="382"/>
      <c r="Y111" s="382"/>
      <c r="Z111" s="55" t="s">
        <v>277</v>
      </c>
      <c r="AC111" s="382"/>
      <c r="AD111" s="382"/>
      <c r="AE111" s="382"/>
      <c r="AF111" s="382"/>
      <c r="AG111" s="382"/>
      <c r="AH111" s="382"/>
    </row>
    <row r="112" spans="1:42">
      <c r="A112" s="27"/>
      <c r="B112" s="28"/>
      <c r="C112" s="28"/>
      <c r="D112" s="28"/>
      <c r="E112" s="28"/>
      <c r="F112" s="28"/>
      <c r="G112" s="21"/>
      <c r="H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</row>
    <row r="114" spans="1:35">
      <c r="A114" s="94">
        <f>B111+E111</f>
        <v>0</v>
      </c>
      <c r="B114" s="348">
        <v>833.33333333333337</v>
      </c>
      <c r="C114" s="348"/>
      <c r="D114" s="348"/>
      <c r="E114" s="348" t="s">
        <v>31</v>
      </c>
      <c r="F114" s="348"/>
      <c r="G114" s="348"/>
      <c r="H114" s="88"/>
      <c r="K114" s="382"/>
      <c r="L114" s="382"/>
      <c r="M114" s="382"/>
      <c r="N114" s="382"/>
      <c r="O114" s="382"/>
      <c r="P114" s="382"/>
      <c r="T114" s="382"/>
      <c r="U114" s="382"/>
      <c r="V114" s="382"/>
      <c r="W114" s="382"/>
      <c r="X114" s="382"/>
      <c r="Y114" s="382"/>
      <c r="AC114" s="382"/>
      <c r="AD114" s="382"/>
      <c r="AE114" s="382"/>
      <c r="AF114" s="382"/>
      <c r="AG114" s="382"/>
      <c r="AH114" s="382"/>
    </row>
    <row r="115" spans="1:35">
      <c r="A115" s="95"/>
      <c r="B115" s="21"/>
      <c r="C115" s="21"/>
      <c r="D115" s="21"/>
      <c r="E115" s="21"/>
      <c r="F115" s="21"/>
      <c r="G115" s="21"/>
      <c r="H115" s="88"/>
    </row>
    <row r="116" spans="1:35">
      <c r="A116" s="95"/>
      <c r="B116" s="21"/>
      <c r="C116" s="21"/>
      <c r="D116" s="21"/>
      <c r="E116" s="21"/>
      <c r="F116" s="21"/>
      <c r="G116" s="21"/>
      <c r="H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82"/>
      <c r="K117" s="382"/>
      <c r="L117" s="382"/>
      <c r="M117" s="382"/>
      <c r="N117" s="382"/>
      <c r="O117" s="382"/>
      <c r="P117" s="382"/>
      <c r="Q117" s="382"/>
      <c r="S117" s="382"/>
      <c r="T117" s="382"/>
      <c r="U117" s="382"/>
      <c r="V117" s="382"/>
      <c r="W117" s="382"/>
      <c r="X117" s="382"/>
      <c r="Y117" s="382"/>
      <c r="Z117" s="382"/>
      <c r="AB117" s="382"/>
      <c r="AC117" s="382"/>
      <c r="AD117" s="382"/>
      <c r="AE117" s="382"/>
      <c r="AF117" s="382"/>
      <c r="AG117" s="382"/>
      <c r="AH117" s="382"/>
      <c r="AI117" s="382"/>
    </row>
    <row r="118" spans="1:35">
      <c r="A118" s="95"/>
      <c r="B118" s="21"/>
      <c r="C118" s="21"/>
      <c r="D118" s="21"/>
      <c r="E118" s="21"/>
      <c r="F118" s="21"/>
      <c r="G118" s="21"/>
      <c r="H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K119" s="382"/>
      <c r="L119" s="382"/>
      <c r="M119" s="382"/>
      <c r="N119" s="382"/>
      <c r="O119" s="382"/>
      <c r="P119" s="382"/>
      <c r="T119" s="382"/>
      <c r="U119" s="382"/>
      <c r="V119" s="382"/>
      <c r="W119" s="382"/>
      <c r="X119" s="382"/>
      <c r="Y119" s="382"/>
      <c r="AC119" s="382"/>
      <c r="AD119" s="382"/>
      <c r="AE119" s="382"/>
      <c r="AF119" s="382"/>
      <c r="AG119" s="382"/>
      <c r="AH119" s="382"/>
    </row>
    <row r="120" spans="1:35" ht="21">
      <c r="A120" s="68" t="s">
        <v>31</v>
      </c>
      <c r="B120" s="97">
        <v>0</v>
      </c>
      <c r="C120" s="98" t="s">
        <v>159</v>
      </c>
      <c r="D120" s="97" t="s">
        <v>158</v>
      </c>
      <c r="E120" s="99">
        <v>0</v>
      </c>
      <c r="F120" s="97" t="s">
        <v>158</v>
      </c>
      <c r="G120" s="99" t="s">
        <v>159</v>
      </c>
      <c r="H120" s="100"/>
    </row>
    <row r="121" spans="1:35">
      <c r="A121" s="22" t="s">
        <v>160</v>
      </c>
      <c r="B121" s="22">
        <f>B3</f>
        <v>20255</v>
      </c>
      <c r="C121" s="36">
        <f>B121</f>
        <v>20255</v>
      </c>
      <c r="D121" s="22">
        <f>D3</f>
        <v>0</v>
      </c>
      <c r="E121" s="36">
        <f>D121</f>
        <v>0</v>
      </c>
      <c r="F121" s="22">
        <f>F3</f>
        <v>0</v>
      </c>
      <c r="G121" s="36">
        <f>F121</f>
        <v>0</v>
      </c>
      <c r="H121" s="101">
        <f>H3</f>
        <v>0</v>
      </c>
    </row>
    <row r="122" spans="1:35">
      <c r="A122" s="27" t="s">
        <v>161</v>
      </c>
      <c r="B122" s="102">
        <f>B4</f>
        <v>0</v>
      </c>
      <c r="C122" s="103">
        <f>B122</f>
        <v>0</v>
      </c>
      <c r="D122" s="102">
        <f>D4</f>
        <v>0</v>
      </c>
      <c r="E122" s="103">
        <f>D122</f>
        <v>0</v>
      </c>
      <c r="F122" s="102">
        <f>F4</f>
        <v>0</v>
      </c>
      <c r="G122" s="104">
        <f>F122</f>
        <v>0</v>
      </c>
      <c r="H122" s="105"/>
      <c r="K122" s="10"/>
      <c r="L122" s="10"/>
      <c r="M122" s="10"/>
      <c r="N122" s="10"/>
      <c r="O122" s="10"/>
      <c r="P122" s="10"/>
      <c r="Q122" s="10"/>
      <c r="T122" s="10"/>
      <c r="U122" s="10"/>
      <c r="V122" s="10"/>
      <c r="W122" s="10"/>
      <c r="X122" s="10"/>
      <c r="Y122" s="10"/>
      <c r="Z122" s="10"/>
      <c r="AC122" s="10"/>
      <c r="AD122" s="10"/>
      <c r="AE122" s="10"/>
      <c r="AF122" s="10"/>
      <c r="AG122" s="10"/>
      <c r="AH122" s="10"/>
      <c r="AI122" s="10"/>
    </row>
    <row r="123" spans="1:35">
      <c r="A123" s="27" t="s">
        <v>162</v>
      </c>
      <c r="B123" s="27">
        <f>B5</f>
        <v>0</v>
      </c>
      <c r="C123" s="36">
        <f>B123</f>
        <v>0</v>
      </c>
      <c r="D123" s="27">
        <f>D5</f>
        <v>0</v>
      </c>
      <c r="E123" s="36">
        <f>D123</f>
        <v>0</v>
      </c>
      <c r="F123" s="27">
        <f>F5</f>
        <v>0</v>
      </c>
      <c r="G123" s="36">
        <f>F123</f>
        <v>0</v>
      </c>
      <c r="H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</row>
    <row r="125" spans="1:35">
      <c r="A125" s="49" t="s">
        <v>164</v>
      </c>
      <c r="B125" s="49">
        <f t="shared" ref="B125:G125" si="0">B121-B124</f>
        <v>20255</v>
      </c>
      <c r="C125" s="57">
        <f t="shared" si="0"/>
        <v>20255</v>
      </c>
      <c r="D125" s="49">
        <f t="shared" si="0"/>
        <v>0</v>
      </c>
      <c r="E125" s="57">
        <f t="shared" si="0"/>
        <v>0</v>
      </c>
      <c r="F125" s="49">
        <f t="shared" si="0"/>
        <v>0</v>
      </c>
      <c r="G125" s="57">
        <f t="shared" si="0"/>
        <v>0</v>
      </c>
      <c r="H125" s="57"/>
    </row>
    <row r="126" spans="1:35">
      <c r="A126" s="27"/>
      <c r="B126" s="28"/>
      <c r="C126" s="28"/>
      <c r="D126" s="28"/>
      <c r="E126" s="28"/>
      <c r="F126" s="28"/>
      <c r="G126" s="28"/>
      <c r="H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</row>
    <row r="129" spans="1:34">
      <c r="A129" s="27"/>
      <c r="B129" s="28"/>
      <c r="C129" s="28"/>
      <c r="D129" s="28"/>
      <c r="E129" s="28"/>
      <c r="F129" s="28"/>
      <c r="G129" s="115"/>
      <c r="H129" s="116"/>
    </row>
    <row r="130" spans="1:34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K130" s="382"/>
      <c r="L130" s="382"/>
      <c r="M130" s="382"/>
      <c r="N130" s="382"/>
      <c r="O130" s="382"/>
      <c r="P130" s="382"/>
      <c r="T130" s="382"/>
      <c r="U130" s="382"/>
      <c r="V130" s="382"/>
      <c r="W130" s="382"/>
      <c r="X130" s="382"/>
      <c r="Y130" s="382"/>
      <c r="AC130" s="382"/>
      <c r="AD130" s="382"/>
      <c r="AE130" s="382"/>
      <c r="AF130" s="382"/>
      <c r="AG130" s="382"/>
      <c r="AH130" s="382"/>
    </row>
    <row r="131" spans="1:34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K131" s="382"/>
      <c r="L131" s="382"/>
      <c r="M131" s="390"/>
      <c r="N131" s="390"/>
      <c r="O131" s="382"/>
      <c r="P131" s="382"/>
      <c r="T131" s="382"/>
      <c r="U131" s="382"/>
      <c r="V131" s="390"/>
      <c r="W131" s="390"/>
      <c r="X131" s="382"/>
      <c r="Y131" s="382"/>
      <c r="AC131" s="382"/>
      <c r="AD131" s="382"/>
      <c r="AE131" s="390"/>
      <c r="AF131" s="390"/>
      <c r="AG131" s="382"/>
      <c r="AH131" s="382"/>
    </row>
    <row r="132" spans="1:34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K132" s="382"/>
      <c r="L132" s="382"/>
      <c r="M132" s="390"/>
      <c r="N132" s="390"/>
      <c r="O132" s="382"/>
      <c r="P132" s="382"/>
      <c r="T132" s="382"/>
      <c r="U132" s="382"/>
      <c r="V132" s="390"/>
      <c r="W132" s="390"/>
      <c r="X132" s="382"/>
      <c r="Y132" s="382"/>
      <c r="AC132" s="382"/>
      <c r="AD132" s="382"/>
      <c r="AE132" s="390"/>
      <c r="AF132" s="390"/>
      <c r="AG132" s="382"/>
      <c r="AH132" s="382"/>
    </row>
    <row r="133" spans="1:34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K133" s="382"/>
      <c r="L133" s="382"/>
      <c r="M133" s="390"/>
      <c r="N133" s="390"/>
      <c r="O133" s="382"/>
      <c r="P133" s="382"/>
      <c r="T133" s="382"/>
      <c r="U133" s="382"/>
      <c r="V133" s="390"/>
      <c r="W133" s="390"/>
      <c r="X133" s="382"/>
      <c r="Y133" s="382"/>
      <c r="AC133" s="382"/>
      <c r="AD133" s="382"/>
      <c r="AE133" s="390"/>
      <c r="AF133" s="390"/>
      <c r="AG133" s="382"/>
      <c r="AH133" s="382"/>
    </row>
    <row r="134" spans="1:34">
      <c r="A134" s="27"/>
      <c r="B134" s="28"/>
      <c r="C134" s="28"/>
      <c r="D134" s="28"/>
      <c r="E134" s="28"/>
      <c r="F134" s="28"/>
      <c r="G134" s="115"/>
      <c r="H134" s="116"/>
    </row>
    <row r="135" spans="1:34" ht="21">
      <c r="A135" s="356" t="s">
        <v>172</v>
      </c>
      <c r="B135" s="356"/>
      <c r="C135" s="356"/>
      <c r="D135" s="356"/>
      <c r="E135" s="356"/>
      <c r="F135" s="356"/>
      <c r="G135" s="109">
        <f t="shared" ref="G135:G142" si="1">H9</f>
        <v>20255</v>
      </c>
      <c r="H135" s="120">
        <f>C125+E125+G125+H128</f>
        <v>20255</v>
      </c>
      <c r="J135" s="382"/>
      <c r="K135" s="382"/>
      <c r="L135" s="382"/>
      <c r="M135" s="382"/>
      <c r="N135" s="382"/>
      <c r="O135" s="382"/>
      <c r="S135" s="382"/>
      <c r="T135" s="382"/>
      <c r="U135" s="382"/>
      <c r="V135" s="382"/>
      <c r="W135" s="382"/>
      <c r="X135" s="382"/>
      <c r="AB135" s="382"/>
      <c r="AC135" s="382"/>
      <c r="AD135" s="382"/>
      <c r="AE135" s="382"/>
      <c r="AF135" s="382"/>
      <c r="AG135" s="382"/>
    </row>
    <row r="136" spans="1:34">
      <c r="A136" s="357" t="s">
        <v>173</v>
      </c>
      <c r="B136" s="357"/>
      <c r="C136" s="357"/>
      <c r="D136" s="357"/>
      <c r="E136" s="357"/>
      <c r="F136" s="357"/>
      <c r="G136" s="121">
        <f t="shared" si="1"/>
        <v>695</v>
      </c>
      <c r="H136" s="29">
        <f>G136</f>
        <v>695</v>
      </c>
      <c r="J136" s="382"/>
      <c r="K136" s="382"/>
      <c r="L136" s="382"/>
      <c r="M136" s="382"/>
      <c r="N136" s="382"/>
      <c r="O136" s="382"/>
      <c r="S136" s="382"/>
      <c r="T136" s="382"/>
      <c r="U136" s="382"/>
      <c r="V136" s="382"/>
      <c r="W136" s="382"/>
      <c r="X136" s="382"/>
      <c r="AB136" s="382"/>
      <c r="AC136" s="382"/>
      <c r="AD136" s="382"/>
      <c r="AE136" s="382"/>
      <c r="AF136" s="382"/>
      <c r="AG136" s="382"/>
    </row>
    <row r="137" spans="1:34">
      <c r="A137" s="357" t="s">
        <v>174</v>
      </c>
      <c r="B137" s="357"/>
      <c r="C137" s="357"/>
      <c r="D137" s="357"/>
      <c r="E137" s="357"/>
      <c r="F137" s="357"/>
      <c r="G137" s="121">
        <f t="shared" si="1"/>
        <v>4190</v>
      </c>
      <c r="H137" s="29">
        <f>(H135+H136)*20%</f>
        <v>4190</v>
      </c>
      <c r="J137" s="382"/>
      <c r="K137" s="382"/>
      <c r="L137" s="382"/>
      <c r="M137" s="382"/>
      <c r="N137" s="382"/>
      <c r="O137" s="382"/>
      <c r="S137" s="382"/>
      <c r="T137" s="382"/>
      <c r="U137" s="382"/>
      <c r="V137" s="382"/>
      <c r="W137" s="382"/>
      <c r="X137" s="382"/>
      <c r="AB137" s="382"/>
      <c r="AC137" s="382"/>
      <c r="AD137" s="382"/>
      <c r="AE137" s="382"/>
      <c r="AF137" s="382"/>
      <c r="AG137" s="382"/>
    </row>
    <row r="138" spans="1:34">
      <c r="A138" s="357" t="s">
        <v>175</v>
      </c>
      <c r="B138" s="357"/>
      <c r="C138" s="357"/>
      <c r="D138" s="357"/>
      <c r="E138" s="357"/>
      <c r="F138" s="357"/>
      <c r="G138" s="121">
        <f t="shared" si="1"/>
        <v>0</v>
      </c>
      <c r="H138" s="29">
        <v>0</v>
      </c>
      <c r="J138" s="382"/>
      <c r="K138" s="382"/>
      <c r="L138" s="382"/>
      <c r="M138" s="382"/>
      <c r="N138" s="382"/>
      <c r="O138" s="382"/>
      <c r="S138" s="382"/>
      <c r="T138" s="382"/>
      <c r="U138" s="382"/>
      <c r="V138" s="382"/>
      <c r="W138" s="382"/>
      <c r="X138" s="382"/>
      <c r="AB138" s="382"/>
      <c r="AC138" s="382"/>
      <c r="AD138" s="382"/>
      <c r="AE138" s="382"/>
      <c r="AF138" s="382"/>
      <c r="AG138" s="382"/>
    </row>
    <row r="139" spans="1:34">
      <c r="A139" s="357" t="s">
        <v>176</v>
      </c>
      <c r="B139" s="357"/>
      <c r="C139" s="357"/>
      <c r="D139" s="357"/>
      <c r="E139" s="357"/>
      <c r="F139" s="357"/>
      <c r="G139" s="121">
        <f t="shared" si="1"/>
        <v>275</v>
      </c>
      <c r="H139" s="29">
        <f>G139</f>
        <v>275</v>
      </c>
      <c r="J139" s="382"/>
      <c r="K139" s="382"/>
      <c r="L139" s="382"/>
      <c r="M139" s="382"/>
      <c r="N139" s="382"/>
      <c r="O139" s="382"/>
      <c r="S139" s="382"/>
      <c r="T139" s="382"/>
      <c r="U139" s="382"/>
      <c r="V139" s="382"/>
      <c r="W139" s="382"/>
      <c r="X139" s="382"/>
      <c r="AB139" s="382"/>
      <c r="AC139" s="382"/>
      <c r="AD139" s="382"/>
      <c r="AE139" s="382"/>
      <c r="AF139" s="382"/>
      <c r="AG139" s="382"/>
    </row>
    <row r="140" spans="1:34">
      <c r="A140" s="357" t="s">
        <v>177</v>
      </c>
      <c r="B140" s="357"/>
      <c r="C140" s="357"/>
      <c r="D140" s="357"/>
      <c r="E140" s="357"/>
      <c r="F140" s="357"/>
      <c r="G140" s="121">
        <f t="shared" si="1"/>
        <v>65</v>
      </c>
      <c r="H140" s="29">
        <f>G140</f>
        <v>65</v>
      </c>
      <c r="J140" s="382"/>
      <c r="K140" s="382"/>
      <c r="L140" s="382"/>
      <c r="M140" s="382"/>
      <c r="N140" s="382"/>
      <c r="O140" s="382"/>
      <c r="S140" s="382"/>
      <c r="T140" s="382"/>
      <c r="U140" s="382"/>
      <c r="V140" s="382"/>
      <c r="W140" s="382"/>
      <c r="X140" s="382"/>
      <c r="AB140" s="382"/>
      <c r="AC140" s="382"/>
      <c r="AD140" s="382"/>
      <c r="AE140" s="382"/>
      <c r="AF140" s="382"/>
      <c r="AG140" s="382"/>
    </row>
    <row r="141" spans="1:34" ht="21">
      <c r="A141" s="357" t="s">
        <v>178</v>
      </c>
      <c r="B141" s="357"/>
      <c r="C141" s="357"/>
      <c r="D141" s="357"/>
      <c r="E141" s="357"/>
      <c r="F141" s="357"/>
      <c r="G141" s="123">
        <f t="shared" si="1"/>
        <v>25480</v>
      </c>
      <c r="H141" s="122">
        <f>(H135+H136+H139+H140+H137)-H138</f>
        <v>25480</v>
      </c>
      <c r="J141" s="382"/>
      <c r="K141" s="382"/>
      <c r="L141" s="382"/>
      <c r="M141" s="382"/>
      <c r="N141" s="382"/>
      <c r="O141" s="382"/>
      <c r="S141" s="382"/>
      <c r="T141" s="382"/>
      <c r="U141" s="382"/>
      <c r="V141" s="382"/>
      <c r="W141" s="382"/>
      <c r="X141" s="382"/>
      <c r="AB141" s="382"/>
      <c r="AC141" s="382"/>
      <c r="AD141" s="382"/>
      <c r="AE141" s="382"/>
      <c r="AF141" s="382"/>
      <c r="AG141" s="382"/>
    </row>
    <row r="142" spans="1:34">
      <c r="A142" s="357" t="s">
        <v>179</v>
      </c>
      <c r="B142" s="357"/>
      <c r="C142" s="357"/>
      <c r="D142" s="357"/>
      <c r="E142" s="357"/>
      <c r="F142" s="357"/>
      <c r="G142" s="121">
        <f t="shared" si="1"/>
        <v>0</v>
      </c>
      <c r="H142" s="36">
        <f>G142</f>
        <v>0</v>
      </c>
      <c r="J142" s="382"/>
      <c r="K142" s="382"/>
      <c r="L142" s="382"/>
      <c r="M142" s="382"/>
      <c r="N142" s="382"/>
      <c r="O142" s="382"/>
      <c r="S142" s="382"/>
      <c r="T142" s="382"/>
      <c r="U142" s="382"/>
      <c r="V142" s="382"/>
      <c r="W142" s="382"/>
      <c r="X142" s="382"/>
      <c r="AB142" s="382"/>
      <c r="AC142" s="382"/>
      <c r="AD142" s="382"/>
      <c r="AE142" s="382"/>
      <c r="AF142" s="382"/>
      <c r="AG142" s="382"/>
    </row>
    <row r="143" spans="1:34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82"/>
      <c r="K143" s="382"/>
      <c r="L143" s="382"/>
      <c r="M143" s="382"/>
      <c r="N143" s="382"/>
      <c r="O143" s="382"/>
      <c r="S143" s="382"/>
      <c r="T143" s="382"/>
      <c r="U143" s="382"/>
      <c r="V143" s="382"/>
      <c r="W143" s="382"/>
      <c r="X143" s="382"/>
      <c r="AB143" s="382"/>
      <c r="AC143" s="382"/>
      <c r="AD143" s="382"/>
      <c r="AE143" s="382"/>
      <c r="AF143" s="382"/>
      <c r="AG143" s="382"/>
    </row>
    <row r="144" spans="1:34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K144" s="382"/>
      <c r="L144" s="382"/>
      <c r="M144" s="382"/>
      <c r="N144" s="382"/>
      <c r="O144" s="382"/>
      <c r="T144" s="382"/>
      <c r="U144" s="382"/>
      <c r="V144" s="382"/>
      <c r="W144" s="382"/>
      <c r="X144" s="382"/>
      <c r="AC144" s="382"/>
      <c r="AD144" s="382"/>
      <c r="AE144" s="382"/>
      <c r="AF144" s="382"/>
      <c r="AG144" s="382"/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K145" s="382"/>
      <c r="L145" s="382"/>
      <c r="M145" s="382"/>
      <c r="N145" s="382"/>
      <c r="O145" s="382"/>
      <c r="T145" s="382"/>
      <c r="U145" s="382"/>
      <c r="V145" s="382"/>
      <c r="W145" s="382"/>
      <c r="X145" s="382"/>
      <c r="AC145" s="382"/>
      <c r="AD145" s="382"/>
      <c r="AE145" s="382"/>
      <c r="AF145" s="382"/>
      <c r="AG145" s="382"/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K146" s="382"/>
      <c r="L146" s="382"/>
      <c r="M146" s="382"/>
      <c r="N146" s="382"/>
      <c r="O146" s="382"/>
      <c r="T146" s="382"/>
      <c r="U146" s="382"/>
      <c r="V146" s="382"/>
      <c r="W146" s="382"/>
      <c r="X146" s="382"/>
      <c r="AC146" s="382"/>
      <c r="AD146" s="382"/>
      <c r="AE146" s="382"/>
      <c r="AF146" s="382"/>
      <c r="AG146" s="382"/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25480</v>
      </c>
      <c r="H147" s="126">
        <f>H141-((H144*1.2)+(H145*1.2)+(H146*1.2)+(H142*1.2))</f>
        <v>25480</v>
      </c>
      <c r="J147" s="382"/>
      <c r="K147" s="382"/>
      <c r="L147" s="382"/>
      <c r="M147" s="382"/>
      <c r="N147" s="382"/>
      <c r="O147" s="382"/>
      <c r="S147" s="382"/>
      <c r="T147" s="382"/>
      <c r="U147" s="382"/>
      <c r="V147" s="382"/>
      <c r="W147" s="382"/>
      <c r="X147" s="382"/>
      <c r="AB147" s="382"/>
      <c r="AC147" s="382"/>
      <c r="AD147" s="382"/>
      <c r="AE147" s="382"/>
      <c r="AF147" s="382"/>
      <c r="AG147" s="382"/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0</v>
      </c>
      <c r="I148" s="4">
        <f>(H148-G81)/1.2</f>
        <v>-20400</v>
      </c>
      <c r="J148" s="382"/>
      <c r="K148" s="382"/>
      <c r="L148" s="382"/>
      <c r="M148" s="382"/>
      <c r="N148" s="382"/>
      <c r="O148" s="382"/>
      <c r="S148" s="382"/>
      <c r="T148" s="382"/>
      <c r="U148" s="382"/>
      <c r="V148" s="382"/>
      <c r="W148" s="382"/>
      <c r="X148" s="382"/>
      <c r="AB148" s="382"/>
      <c r="AC148" s="382"/>
      <c r="AD148" s="382"/>
      <c r="AE148" s="382"/>
      <c r="AF148" s="382"/>
      <c r="AG148" s="382"/>
    </row>
    <row r="149" spans="1:35">
      <c r="A149" s="27"/>
      <c r="B149" s="28"/>
      <c r="C149" s="28"/>
      <c r="D149" s="28"/>
      <c r="E149" s="21"/>
      <c r="F149" s="21"/>
      <c r="G149" s="21"/>
      <c r="H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82"/>
      <c r="K150" s="382"/>
      <c r="L150" s="382"/>
      <c r="M150" s="382"/>
      <c r="N150" s="382"/>
      <c r="O150" s="382"/>
      <c r="P150" s="382"/>
      <c r="Q150" s="382"/>
      <c r="S150" s="382"/>
      <c r="T150" s="382"/>
      <c r="U150" s="382"/>
      <c r="V150" s="382"/>
      <c r="W150" s="382"/>
      <c r="X150" s="382"/>
      <c r="Y150" s="382"/>
      <c r="Z150" s="382"/>
      <c r="AB150" s="382"/>
      <c r="AC150" s="382"/>
      <c r="AD150" s="382"/>
      <c r="AE150" s="382"/>
      <c r="AF150" s="382"/>
      <c r="AG150" s="382"/>
      <c r="AH150" s="382"/>
      <c r="AI150" s="382"/>
    </row>
    <row r="151" spans="1:35">
      <c r="A151" s="27"/>
      <c r="B151" s="28"/>
      <c r="C151" s="28"/>
      <c r="D151" s="28"/>
      <c r="E151" s="21"/>
      <c r="F151" s="21"/>
      <c r="G151" s="21"/>
      <c r="H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N152" s="382"/>
      <c r="O152" s="382"/>
      <c r="P152" s="382"/>
      <c r="Q152" s="382"/>
      <c r="W152" s="382"/>
      <c r="X152" s="382"/>
      <c r="Y152" s="382"/>
      <c r="Z152" s="382"/>
      <c r="AF152" s="382"/>
      <c r="AG152" s="382"/>
      <c r="AH152" s="382"/>
      <c r="AI152" s="382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N153" s="382"/>
      <c r="O153" s="382"/>
      <c r="P153" s="382"/>
      <c r="Q153" s="382"/>
      <c r="W153" s="382"/>
      <c r="X153" s="382"/>
      <c r="Y153" s="382"/>
      <c r="Z153" s="382"/>
      <c r="AF153" s="382"/>
      <c r="AG153" s="382"/>
      <c r="AH153" s="382"/>
      <c r="AI153" s="382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N154" s="382"/>
      <c r="O154" s="382"/>
      <c r="P154" s="382"/>
      <c r="Q154" s="382"/>
      <c r="W154" s="382"/>
      <c r="X154" s="382"/>
      <c r="Y154" s="382"/>
      <c r="Z154" s="382"/>
      <c r="AF154" s="382"/>
      <c r="AG154" s="382"/>
      <c r="AH154" s="382"/>
      <c r="AI154" s="382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N155" s="382"/>
      <c r="O155" s="382"/>
      <c r="W155" s="382"/>
      <c r="X155" s="382"/>
      <c r="AF155" s="382"/>
      <c r="AG155" s="382"/>
    </row>
    <row r="156" spans="1:35">
      <c r="A156" s="22" t="s">
        <v>189</v>
      </c>
      <c r="B156" s="23"/>
      <c r="C156" s="23"/>
      <c r="D156" s="63"/>
      <c r="E156" s="23"/>
      <c r="F156" s="63"/>
      <c r="G156" s="128" t="s">
        <v>10</v>
      </c>
      <c r="H156" s="36">
        <v>1420</v>
      </c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0</v>
      </c>
      <c r="H157" s="365"/>
      <c r="P157" s="382"/>
      <c r="Q157" s="382"/>
      <c r="Y157" s="382"/>
      <c r="Z157" s="382"/>
      <c r="AH157" s="382"/>
      <c r="AI157" s="382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26900</v>
      </c>
      <c r="H158" s="366"/>
      <c r="P158" s="382"/>
      <c r="Q158" s="382"/>
      <c r="Y158" s="382"/>
      <c r="Z158" s="382"/>
      <c r="AH158" s="382"/>
      <c r="AI158" s="382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833.33333333333337</v>
      </c>
      <c r="H159" s="367"/>
      <c r="P159" s="382"/>
      <c r="Q159" s="382"/>
      <c r="Y159" s="382"/>
      <c r="Z159" s="382"/>
      <c r="AH159" s="382"/>
      <c r="AI159" s="382"/>
    </row>
    <row r="160" spans="1:35">
      <c r="A160" s="27"/>
      <c r="B160" s="28"/>
      <c r="C160" s="28"/>
      <c r="D160" s="28"/>
      <c r="E160" s="21"/>
      <c r="F160" s="21"/>
      <c r="G160" s="21"/>
      <c r="H160" s="29"/>
    </row>
    <row r="161" spans="1:35">
      <c r="A161" s="27"/>
      <c r="B161" s="28"/>
      <c r="C161" s="28"/>
      <c r="D161" s="28"/>
      <c r="E161" s="21">
        <v>0</v>
      </c>
      <c r="F161" s="21"/>
      <c r="G161" s="21">
        <v>0</v>
      </c>
      <c r="H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>
        <v>0</v>
      </c>
      <c r="H162" s="335"/>
      <c r="J162" s="382"/>
      <c r="K162" s="382"/>
      <c r="L162" s="382"/>
      <c r="M162" s="382"/>
      <c r="N162" s="382"/>
      <c r="O162" s="382"/>
      <c r="P162" s="382"/>
      <c r="Q162" s="382"/>
      <c r="S162" s="382"/>
      <c r="T162" s="382"/>
      <c r="U162" s="382"/>
      <c r="V162" s="382"/>
      <c r="W162" s="382"/>
      <c r="X162" s="382"/>
      <c r="Y162" s="382"/>
      <c r="Z162" s="382"/>
      <c r="AB162" s="382"/>
      <c r="AC162" s="382"/>
      <c r="AD162" s="382"/>
      <c r="AE162" s="382"/>
      <c r="AF162" s="382"/>
      <c r="AG162" s="382"/>
      <c r="AH162" s="382"/>
      <c r="AI162" s="382"/>
    </row>
    <row r="163" spans="1:35">
      <c r="A163" s="27"/>
      <c r="B163" s="28"/>
      <c r="C163" s="28"/>
      <c r="D163" s="28"/>
      <c r="E163" s="21"/>
      <c r="F163" s="21"/>
      <c r="G163" s="21"/>
      <c r="H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K164" s="382"/>
      <c r="L164" s="382"/>
      <c r="T164" s="382"/>
      <c r="U164" s="382"/>
      <c r="AC164" s="382"/>
      <c r="AD164" s="382"/>
    </row>
    <row r="165" spans="1:35">
      <c r="A165" s="27"/>
      <c r="B165" s="28"/>
      <c r="C165" s="28"/>
      <c r="D165" s="28"/>
      <c r="E165" s="21"/>
      <c r="F165" s="21"/>
      <c r="G165" s="21"/>
      <c r="H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</row>
    <row r="167" spans="1:35">
      <c r="A167" s="132">
        <f>B95</f>
        <v>700.4238585605882</v>
      </c>
      <c r="B167" s="133" t="str">
        <f>B94</f>
        <v>0</v>
      </c>
      <c r="C167" s="131"/>
      <c r="D167" s="131"/>
      <c r="E167" s="133">
        <f>B96</f>
        <v>700.4238585605882</v>
      </c>
      <c r="F167" s="21"/>
      <c r="G167" s="21">
        <f>ROUND(G95,2)</f>
        <v>629.72</v>
      </c>
      <c r="H167" s="29"/>
    </row>
    <row r="168" spans="1:35">
      <c r="A168" s="27"/>
      <c r="B168" s="28"/>
      <c r="C168" s="28"/>
      <c r="D168" s="28"/>
      <c r="E168" s="21"/>
      <c r="F168" s="21"/>
      <c r="G168" s="21"/>
      <c r="H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</row>
    <row r="170" spans="1:35">
      <c r="A170" s="134" t="str">
        <f>H29</f>
        <v>33</v>
      </c>
      <c r="B170" s="135" t="str">
        <f>H30</f>
        <v>5000</v>
      </c>
      <c r="C170" s="136"/>
      <c r="D170" s="21"/>
      <c r="E170" s="137">
        <v>7200</v>
      </c>
      <c r="F170" s="21"/>
      <c r="G170" s="21"/>
      <c r="H170" s="29"/>
    </row>
    <row r="171" spans="1:35">
      <c r="A171" s="27"/>
      <c r="B171" s="28"/>
      <c r="C171" s="28"/>
      <c r="D171" s="21"/>
      <c r="E171" s="28"/>
      <c r="F171" s="21"/>
      <c r="G171" s="21"/>
      <c r="H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</row>
    <row r="173" spans="1:35">
      <c r="A173" s="138">
        <f>H141-H137-H139-H140</f>
        <v>20950</v>
      </c>
      <c r="B173" s="34">
        <f>H137</f>
        <v>4190</v>
      </c>
      <c r="C173" s="38"/>
      <c r="D173" s="21"/>
      <c r="E173" s="137">
        <f>H139+H140</f>
        <v>340</v>
      </c>
      <c r="F173" s="21"/>
      <c r="G173" s="21"/>
      <c r="H173" s="29"/>
    </row>
    <row r="174" spans="1:35">
      <c r="A174" s="27"/>
      <c r="B174" s="28"/>
      <c r="C174" s="28"/>
      <c r="D174" s="21"/>
      <c r="E174" s="28"/>
      <c r="F174" s="21"/>
      <c r="G174" s="21"/>
      <c r="H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</row>
    <row r="176" spans="1:35">
      <c r="A176" s="138">
        <f>H141</f>
        <v>25480</v>
      </c>
      <c r="B176" s="34">
        <f>B111</f>
        <v>0</v>
      </c>
      <c r="C176" s="34"/>
      <c r="D176" s="21"/>
      <c r="E176" s="34">
        <f>E111</f>
        <v>0</v>
      </c>
      <c r="F176" s="21"/>
      <c r="G176" s="21"/>
      <c r="H176" s="90"/>
    </row>
    <row r="177" spans="1:8">
      <c r="A177" s="27"/>
      <c r="B177" s="28"/>
      <c r="C177" s="28"/>
      <c r="D177" s="21"/>
      <c r="E177" s="28"/>
      <c r="F177" s="21"/>
      <c r="G177" s="21"/>
      <c r="H177" s="29"/>
    </row>
    <row r="178" spans="1:8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</row>
    <row r="179" spans="1:8">
      <c r="A179" s="94">
        <f>B176+E176</f>
        <v>0</v>
      </c>
      <c r="B179" s="34">
        <f>G154</f>
        <v>0</v>
      </c>
      <c r="C179" s="34"/>
      <c r="D179" s="21"/>
      <c r="E179" s="34">
        <f>G158</f>
        <v>26900</v>
      </c>
      <c r="F179" s="21"/>
      <c r="G179" s="21"/>
      <c r="H179" s="90"/>
    </row>
    <row r="180" spans="1:8">
      <c r="A180" s="27"/>
      <c r="B180" s="28"/>
      <c r="C180" s="28"/>
      <c r="D180" s="21"/>
      <c r="E180" s="28"/>
      <c r="F180" s="21"/>
      <c r="G180" s="21"/>
      <c r="H180" s="29"/>
    </row>
    <row r="181" spans="1:8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</row>
    <row r="182" spans="1:8">
      <c r="A182" s="94">
        <f>(A167*B59)+E185-E179-A185</f>
        <v>2713.5634739388224</v>
      </c>
      <c r="B182" s="34">
        <f>B114</f>
        <v>833.33333333333337</v>
      </c>
      <c r="C182" s="34"/>
      <c r="D182" s="21"/>
      <c r="E182" s="34">
        <f>E179+A182+(B182*1.2)+A185</f>
        <v>30623.563473938822</v>
      </c>
      <c r="F182" s="21"/>
      <c r="G182" s="21"/>
      <c r="H182" s="90"/>
    </row>
    <row r="183" spans="1:8">
      <c r="A183" s="27"/>
      <c r="B183" s="28"/>
      <c r="C183" s="28"/>
      <c r="D183" s="21"/>
      <c r="E183" s="28"/>
      <c r="F183" s="21"/>
      <c r="G183" s="21"/>
      <c r="H183" s="29"/>
    </row>
    <row r="184" spans="1:8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</row>
    <row r="185" spans="1:8">
      <c r="A185" s="94">
        <f>B60</f>
        <v>10</v>
      </c>
      <c r="B185" s="34">
        <f>A179+B182*1.2</f>
        <v>1000</v>
      </c>
      <c r="C185" s="34"/>
      <c r="D185" s="21"/>
      <c r="E185" s="34">
        <f>IF( E170=0, A185+E167, E170+A185)</f>
        <v>7210</v>
      </c>
      <c r="F185" s="21"/>
      <c r="G185" s="21"/>
      <c r="H185" s="90"/>
    </row>
    <row r="186" spans="1:8">
      <c r="A186" s="27"/>
      <c r="B186" s="28"/>
      <c r="C186" s="28"/>
      <c r="D186" s="28"/>
      <c r="E186" s="21"/>
      <c r="F186" s="21"/>
      <c r="G186" s="21"/>
      <c r="H186" s="29"/>
    </row>
    <row r="187" spans="1:8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</row>
    <row r="188" spans="1:8">
      <c r="A188" s="94">
        <f>J18*0.000002*100</f>
        <v>5.0279999999999996</v>
      </c>
      <c r="B188" s="34">
        <f>(G158*B67)</f>
        <v>807</v>
      </c>
      <c r="C188" s="28"/>
      <c r="D188" s="28"/>
      <c r="E188" s="34">
        <f>IF(E105="YES",(H36*A108)*0.1,0)</f>
        <v>0</v>
      </c>
      <c r="F188" s="21"/>
      <c r="G188" s="21"/>
      <c r="H188" s="29"/>
    </row>
    <row r="189" spans="1:8">
      <c r="A189" s="94"/>
      <c r="B189" s="34"/>
      <c r="C189" s="28"/>
      <c r="D189" s="28"/>
      <c r="E189" s="21"/>
      <c r="F189" s="21"/>
      <c r="G189" s="21"/>
      <c r="H189" s="29"/>
    </row>
    <row r="190" spans="1:8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</row>
    <row r="191" spans="1:8">
      <c r="A191" s="94">
        <v>10</v>
      </c>
      <c r="B191" s="34">
        <f>B188+E188+A191-H156</f>
        <v>-603</v>
      </c>
      <c r="C191" s="28"/>
      <c r="D191" s="28"/>
      <c r="E191" s="34">
        <f>H148</f>
        <v>0</v>
      </c>
      <c r="F191" s="21"/>
      <c r="G191" s="21"/>
      <c r="H191" s="29"/>
    </row>
    <row r="192" spans="1:8">
      <c r="A192" s="27"/>
      <c r="B192" s="28"/>
      <c r="C192" s="28"/>
      <c r="D192" s="28"/>
      <c r="E192" s="21"/>
      <c r="F192" s="21"/>
      <c r="G192" s="21"/>
      <c r="H192" s="29"/>
    </row>
    <row r="193" spans="1:31">
      <c r="A193" s="58" t="s">
        <v>214</v>
      </c>
      <c r="B193" s="28"/>
      <c r="C193" s="28"/>
      <c r="D193" s="59"/>
      <c r="E193" s="59"/>
      <c r="F193" s="59"/>
      <c r="G193" s="59"/>
      <c r="H193" s="60"/>
    </row>
    <row r="194" spans="1:31">
      <c r="A194" s="27"/>
      <c r="B194" s="61"/>
      <c r="C194" s="61"/>
      <c r="D194" s="28"/>
      <c r="E194" s="21"/>
      <c r="F194" s="21"/>
      <c r="G194" s="21"/>
      <c r="H194" s="29"/>
    </row>
    <row r="195" spans="1:31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82"/>
      <c r="K195" s="382"/>
      <c r="L195" s="382"/>
      <c r="M195" s="382"/>
      <c r="S195" s="382"/>
      <c r="T195" s="382"/>
      <c r="U195" s="382"/>
      <c r="V195" s="382"/>
      <c r="AB195" s="382"/>
      <c r="AC195" s="382"/>
      <c r="AD195" s="382"/>
      <c r="AE195" s="382"/>
    </row>
    <row r="196" spans="1:31" ht="19.5" customHeight="1">
      <c r="A196" s="369"/>
      <c r="B196" s="342" t="str">
        <f>H30</f>
        <v>5000</v>
      </c>
      <c r="C196" s="342"/>
      <c r="D196" s="342"/>
      <c r="E196" s="21"/>
      <c r="F196" s="21"/>
      <c r="G196" s="21"/>
      <c r="H196" s="29"/>
      <c r="J196" s="382"/>
      <c r="K196" s="382"/>
      <c r="L196" s="382"/>
      <c r="M196" s="382"/>
      <c r="S196" s="382"/>
      <c r="T196" s="382"/>
      <c r="U196" s="382"/>
      <c r="V196" s="382"/>
      <c r="AB196" s="382"/>
      <c r="AC196" s="382"/>
      <c r="AD196" s="382"/>
      <c r="AE196" s="382"/>
    </row>
    <row r="197" spans="1:31">
      <c r="A197" s="62" t="str">
        <f>H29</f>
        <v>33</v>
      </c>
      <c r="B197" s="343">
        <f>B96</f>
        <v>700.4238585605882</v>
      </c>
      <c r="C197" s="343"/>
      <c r="D197" s="343"/>
      <c r="E197" s="21"/>
      <c r="F197" s="21"/>
      <c r="G197" s="21"/>
      <c r="H197" s="29"/>
      <c r="K197" s="382"/>
      <c r="L197" s="382"/>
      <c r="M197" s="382"/>
      <c r="T197" s="382"/>
      <c r="U197" s="382"/>
      <c r="V197" s="382"/>
      <c r="AC197" s="382"/>
      <c r="AD197" s="382"/>
      <c r="AE197" s="382"/>
    </row>
    <row r="198" spans="1:31">
      <c r="A198" s="27"/>
      <c r="B198" s="28"/>
      <c r="C198" s="28"/>
      <c r="D198" s="28"/>
      <c r="E198" s="21"/>
      <c r="F198" s="21"/>
      <c r="G198" s="21"/>
      <c r="H198" s="29"/>
    </row>
    <row r="199" spans="1:31">
      <c r="A199" s="27"/>
      <c r="B199" s="28"/>
      <c r="C199" s="28"/>
      <c r="D199" s="28"/>
      <c r="E199" s="21"/>
      <c r="F199" s="21"/>
      <c r="G199" s="21"/>
      <c r="H199" s="29"/>
    </row>
    <row r="200" spans="1:31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</row>
    <row r="201" spans="1:31">
      <c r="A201" s="32">
        <f>IF(A40=0,((G167*(B59+1))-E179),((G167*B59)+E185-E179-A185))</f>
        <v>451.04000000000087</v>
      </c>
      <c r="B201" s="38">
        <f>E179+A201+(B182*1.2)+A185</f>
        <v>28361.040000000001</v>
      </c>
      <c r="C201" s="28"/>
      <c r="D201" s="28"/>
      <c r="E201" s="21"/>
      <c r="F201" s="21"/>
      <c r="G201" s="21"/>
      <c r="H201" s="29"/>
    </row>
    <row r="202" spans="1:31">
      <c r="A202" s="49"/>
      <c r="B202" s="50"/>
      <c r="C202" s="50"/>
      <c r="D202" s="50"/>
      <c r="E202" s="50"/>
      <c r="F202" s="50"/>
      <c r="G202" s="50"/>
      <c r="H202" s="57"/>
    </row>
    <row r="206" spans="1:31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1">
      <c r="A207" s="27"/>
      <c r="B207" s="28"/>
      <c r="C207" s="28"/>
      <c r="D207" s="28"/>
      <c r="E207" s="21"/>
      <c r="F207" s="21"/>
      <c r="G207" s="21"/>
      <c r="H207" s="29"/>
    </row>
    <row r="208" spans="1:31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42" t="s">
        <v>217</v>
      </c>
      <c r="B209" s="131" t="str">
        <f>A197</f>
        <v>33</v>
      </c>
      <c r="C209" s="131"/>
      <c r="D209" s="131"/>
      <c r="E209" s="131" t="str">
        <f>B196</f>
        <v>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700.4238585605882</v>
      </c>
      <c r="B212" s="133" t="str">
        <f>B167</f>
        <v>0</v>
      </c>
      <c r="C212" s="131"/>
      <c r="D212" s="131"/>
      <c r="E212" s="133">
        <f>E167</f>
        <v>700.4238585605882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20950</v>
      </c>
      <c r="B215" s="34">
        <f>B173</f>
        <v>4190</v>
      </c>
      <c r="C215" s="38"/>
      <c r="D215" s="21"/>
      <c r="E215" s="137">
        <f>E173</f>
        <v>340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25480</v>
      </c>
      <c r="B218" s="34">
        <f>B176</f>
        <v>0</v>
      </c>
      <c r="C218" s="34"/>
      <c r="D218" s="21"/>
      <c r="E218" s="34">
        <f>E176</f>
        <v>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0</v>
      </c>
      <c r="B221" s="34">
        <f>B179</f>
        <v>0</v>
      </c>
      <c r="C221" s="34"/>
      <c r="D221" s="21"/>
      <c r="E221" s="34">
        <f>E179</f>
        <v>26900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2713.5634739388224</v>
      </c>
      <c r="B224" s="34">
        <f>B182</f>
        <v>833.33333333333337</v>
      </c>
      <c r="C224" s="34"/>
      <c r="D224" s="21"/>
      <c r="E224" s="34">
        <f>E182</f>
        <v>30623.563473938822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1000</v>
      </c>
      <c r="C227" s="34"/>
      <c r="D227" s="21"/>
      <c r="E227" s="34">
        <f>B59</f>
        <v>32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700.4238585605882</v>
      </c>
      <c r="B230" s="34" t="str">
        <f>B167</f>
        <v>0</v>
      </c>
      <c r="C230" s="38"/>
      <c r="D230" s="38"/>
      <c r="E230" s="34">
        <f>E167</f>
        <v>700.4238585605882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219</v>
      </c>
      <c r="B232" s="28" t="s">
        <v>220</v>
      </c>
      <c r="C232" s="28"/>
      <c r="D232" s="28"/>
      <c r="E232" s="28" t="s">
        <v>80</v>
      </c>
      <c r="F232" s="21"/>
      <c r="G232" s="21"/>
      <c r="H232" s="29"/>
    </row>
    <row r="233" spans="1:8">
      <c r="A233" s="94">
        <f>E170</f>
        <v>7200</v>
      </c>
      <c r="B233" s="34">
        <f>E185</f>
        <v>7210</v>
      </c>
      <c r="C233" s="28"/>
      <c r="D233" s="28"/>
      <c r="E233" s="34">
        <f>J18*0.000006*100</f>
        <v>15.084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221</v>
      </c>
      <c r="B235" s="35" t="s">
        <v>85</v>
      </c>
      <c r="C235" s="28"/>
      <c r="D235" s="28"/>
      <c r="E235" s="35" t="s">
        <v>142</v>
      </c>
      <c r="F235" s="21"/>
      <c r="G235" s="21"/>
      <c r="H235" s="29"/>
    </row>
    <row r="236" spans="1:8">
      <c r="A236" s="94">
        <f>A188</f>
        <v>5.0279999999999996</v>
      </c>
      <c r="B236" s="34">
        <f>E233+A236</f>
        <v>20.111999999999998</v>
      </c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0</v>
      </c>
      <c r="B240" s="34">
        <f>B188</f>
        <v>807</v>
      </c>
      <c r="C240" s="28"/>
      <c r="D240" s="28"/>
      <c r="E240" s="34">
        <f>IF(E105="YES",(H36*A108)*0.1,0)</f>
        <v>0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B191</f>
        <v>-603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B63</f>
        <v>6.5000000000000002E-2</v>
      </c>
      <c r="C253" s="144"/>
      <c r="D253" s="374" t="s">
        <v>226</v>
      </c>
      <c r="E253" s="374"/>
      <c r="F253" s="143">
        <f>B83</f>
        <v>0.115</v>
      </c>
      <c r="G253" s="21"/>
      <c r="H253" s="29"/>
    </row>
    <row r="254" spans="1:8">
      <c r="A254" s="139" t="s">
        <v>227</v>
      </c>
      <c r="B254" s="146">
        <f>(E182-B182)-(B201-B182-A185)</f>
        <v>2272.5234739388216</v>
      </c>
      <c r="C254" s="144"/>
      <c r="D254" s="374" t="s">
        <v>228</v>
      </c>
      <c r="E254" s="374"/>
      <c r="F254" s="146">
        <f>F261+F267+F269+B270+B271</f>
        <v>807</v>
      </c>
      <c r="G254" s="21"/>
      <c r="H254" s="29"/>
    </row>
    <row r="255" spans="1:8">
      <c r="A255" s="139" t="s">
        <v>229</v>
      </c>
      <c r="B255" s="146">
        <f>F262+B263</f>
        <v>10</v>
      </c>
      <c r="C255" s="144"/>
      <c r="D255" s="374" t="s">
        <v>230</v>
      </c>
      <c r="E255" s="374"/>
      <c r="F255" s="146">
        <f>(B254-F254)+B255</f>
        <v>1475.5234739388216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0.115</v>
      </c>
      <c r="C260" s="38"/>
      <c r="D260" s="363" t="s">
        <v>227</v>
      </c>
      <c r="E260" s="363"/>
      <c r="F260" s="115">
        <f>B254</f>
        <v>2272.5234739388216</v>
      </c>
      <c r="G260" s="21"/>
      <c r="H260" s="29"/>
    </row>
    <row r="261" spans="1:8">
      <c r="A261" s="27" t="s">
        <v>233</v>
      </c>
      <c r="B261" s="155">
        <f>B67</f>
        <v>0.03</v>
      </c>
      <c r="C261" s="28"/>
      <c r="D261" s="363" t="s">
        <v>233</v>
      </c>
      <c r="E261" s="363"/>
      <c r="F261" s="119">
        <f>B68</f>
        <v>807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0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1475.5234739388216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98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A100:H100"/>
    <mergeCell ref="J100:Q100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G42:H42"/>
    <mergeCell ref="B44:C44"/>
    <mergeCell ref="D44:E44"/>
    <mergeCell ref="B47:C47"/>
    <mergeCell ref="D47:E47"/>
    <mergeCell ref="A51:A52"/>
    <mergeCell ref="B51:C51"/>
    <mergeCell ref="B52:C52"/>
    <mergeCell ref="B53:C53"/>
    <mergeCell ref="B32:C32"/>
    <mergeCell ref="D32:E32"/>
    <mergeCell ref="B35:C35"/>
    <mergeCell ref="D35:E35"/>
    <mergeCell ref="B38:C38"/>
    <mergeCell ref="D38:E38"/>
    <mergeCell ref="J38:K38"/>
    <mergeCell ref="B41:C41"/>
    <mergeCell ref="D41:E41"/>
    <mergeCell ref="B18:F18"/>
    <mergeCell ref="B19:F19"/>
    <mergeCell ref="B20:F20"/>
    <mergeCell ref="A21:F21"/>
    <mergeCell ref="A24:E24"/>
    <mergeCell ref="A26:E26"/>
    <mergeCell ref="B29:C29"/>
    <mergeCell ref="D29:E29"/>
    <mergeCell ref="B30:C30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A1:H1"/>
    <mergeCell ref="B2:C2"/>
    <mergeCell ref="D2:E2"/>
    <mergeCell ref="F2:G2"/>
    <mergeCell ref="B3:C3"/>
    <mergeCell ref="D3:E3"/>
    <mergeCell ref="F3:G3"/>
    <mergeCell ref="B4:C4"/>
    <mergeCell ref="D4:E4"/>
    <mergeCell ref="F4:G4"/>
  </mergeCells>
  <dataValidations count="4">
    <dataValidation type="list" allowBlank="1" showErrorMessage="1" sqref="B38" xr:uid="{00000000-0002-0000-3500-000001000000}">
      <formula1>$Z$19:$Z$20</formula1>
      <formula2>0</formula2>
    </dataValidation>
    <dataValidation type="list" allowBlank="1" showInputMessage="1" showErrorMessage="1" sqref="A18:A20 B105 C108:D108 A144:A146" xr:uid="{00000000-0002-0000-3500-000002000000}">
      <formula1>#REF!</formula1>
      <formula2>0</formula2>
    </dataValidation>
    <dataValidation type="list" allowBlank="1" showInputMessage="1" showErrorMessage="1" sqref="E105 A111" xr:uid="{00000000-0002-0000-3500-000003000000}">
      <formula1>"YES,NO"</formula1>
      <formula2>0</formula2>
    </dataValidation>
    <dataValidation type="list" allowBlank="1" showInputMessage="1" showErrorMessage="1" sqref="B108" xr:uid="{00000000-0002-0000-3500-000004000000}">
      <formula1>"A1 Credit,Limited Credit"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35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AP272"/>
  <sheetViews>
    <sheetView topLeftCell="A251" zoomScale="110" zoomScaleNormal="110" workbookViewId="0">
      <selection activeCell="F261" sqref="F261"/>
    </sheetView>
  </sheetViews>
  <sheetFormatPr defaultColWidth="8.375" defaultRowHeight="18.75"/>
  <cols>
    <col min="1" max="1" customWidth="true" style="4" width="41.625"/>
    <col min="2" max="6" customWidth="true" style="4" width="18.875"/>
    <col min="7" max="7" customWidth="true" style="4" width="23.125"/>
    <col min="8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44" t="s">
        <v>382</v>
      </c>
      <c r="B1" s="344"/>
      <c r="C1" s="344"/>
      <c r="D1" s="344"/>
      <c r="E1" s="344"/>
      <c r="F1" s="344"/>
      <c r="G1" s="344"/>
      <c r="H1" s="344"/>
      <c r="I1" s="5"/>
      <c r="J1" s="5"/>
    </row>
    <row r="2" spans="1:25" ht="21">
      <c r="A2" s="68"/>
      <c r="B2" s="413" t="s">
        <v>154</v>
      </c>
      <c r="C2" s="413"/>
      <c r="D2" s="413" t="s">
        <v>155</v>
      </c>
      <c r="E2" s="413"/>
      <c r="F2" s="413" t="s">
        <v>156</v>
      </c>
      <c r="G2" s="413"/>
      <c r="H2" s="287" t="s">
        <v>157</v>
      </c>
      <c r="I2" s="5"/>
      <c r="J2" s="5"/>
    </row>
    <row r="3" spans="1:25">
      <c r="A3" s="27" t="s">
        <v>160</v>
      </c>
      <c r="B3" s="414">
        <v>20255</v>
      </c>
      <c r="C3" s="414">
        <v>0</v>
      </c>
      <c r="D3" s="414">
        <v>0</v>
      </c>
      <c r="E3" s="414"/>
      <c r="F3" s="414">
        <v>0</v>
      </c>
      <c r="G3" s="414"/>
      <c r="H3" s="289">
        <v>0</v>
      </c>
      <c r="I3" s="5"/>
      <c r="J3" s="5"/>
    </row>
    <row r="4" spans="1:25">
      <c r="A4" s="27" t="s">
        <v>161</v>
      </c>
      <c r="B4" s="418">
        <v>0</v>
      </c>
      <c r="C4" s="418">
        <v>0</v>
      </c>
      <c r="D4" s="418">
        <v>0</v>
      </c>
      <c r="E4" s="418"/>
      <c r="F4" s="418">
        <v>0</v>
      </c>
      <c r="G4" s="418"/>
      <c r="H4" s="105"/>
      <c r="I4" s="5"/>
      <c r="J4" s="5"/>
    </row>
    <row r="5" spans="1:25">
      <c r="A5" s="27" t="s">
        <v>162</v>
      </c>
      <c r="B5" s="414">
        <v>0</v>
      </c>
      <c r="C5" s="414">
        <v>0</v>
      </c>
      <c r="D5" s="414">
        <v>0</v>
      </c>
      <c r="E5" s="414"/>
      <c r="F5" s="414">
        <v>0</v>
      </c>
      <c r="G5" s="414"/>
      <c r="H5" s="29"/>
      <c r="I5" s="5"/>
      <c r="J5" s="5"/>
    </row>
    <row r="6" spans="1:25">
      <c r="A6" s="27" t="s">
        <v>163</v>
      </c>
      <c r="B6" s="380">
        <f>(B3*B4/100)+B5</f>
        <v>0</v>
      </c>
      <c r="C6" s="380">
        <f>(C3*C4/100)+C5</f>
        <v>0</v>
      </c>
      <c r="D6" s="380">
        <f>(D3*D4/100)+D5</f>
        <v>0</v>
      </c>
      <c r="E6" s="380"/>
      <c r="F6" s="380">
        <f>(F3*F4/100)+F5</f>
        <v>0</v>
      </c>
      <c r="G6" s="380"/>
      <c r="H6" s="29"/>
      <c r="I6" s="5"/>
      <c r="J6" s="5"/>
    </row>
    <row r="7" spans="1:25">
      <c r="A7" s="27" t="s">
        <v>164</v>
      </c>
      <c r="B7" s="380">
        <f>B3-B6</f>
        <v>20255</v>
      </c>
      <c r="C7" s="380">
        <f>C3-C6</f>
        <v>0</v>
      </c>
      <c r="D7" s="380">
        <f>D3-D6</f>
        <v>0</v>
      </c>
      <c r="E7" s="380"/>
      <c r="F7" s="380">
        <f>F3-F6</f>
        <v>0</v>
      </c>
      <c r="G7" s="380"/>
      <c r="H7" s="29"/>
      <c r="I7" s="5"/>
      <c r="J7" s="5"/>
    </row>
    <row r="8" spans="1:25">
      <c r="A8" s="27"/>
      <c r="B8" s="28"/>
      <c r="C8" s="28"/>
      <c r="D8" s="28"/>
      <c r="E8" s="28"/>
      <c r="F8" s="28"/>
      <c r="G8" s="28"/>
      <c r="H8" s="29"/>
      <c r="I8" s="5"/>
      <c r="J8" s="5"/>
      <c r="L8" s="14" t="s">
        <v>17</v>
      </c>
      <c r="M8" s="11">
        <f>H13+H14</f>
        <v>340</v>
      </c>
    </row>
    <row r="9" spans="1:25" ht="21">
      <c r="A9" s="356" t="s">
        <v>172</v>
      </c>
      <c r="B9" s="356"/>
      <c r="C9" s="356"/>
      <c r="D9" s="356"/>
      <c r="E9" s="356">
        <f>(B7+C7+D7+E3)</f>
        <v>20255</v>
      </c>
      <c r="F9" s="356"/>
      <c r="G9" s="109"/>
      <c r="H9" s="290">
        <f>B7+D7+F7+H3</f>
        <v>20255</v>
      </c>
      <c r="I9" s="5"/>
      <c r="J9" s="5"/>
      <c r="L9" s="11"/>
      <c r="M9" s="11"/>
    </row>
    <row r="10" spans="1:25">
      <c r="A10" s="357" t="s">
        <v>173</v>
      </c>
      <c r="B10" s="357"/>
      <c r="C10" s="357"/>
      <c r="D10" s="357"/>
      <c r="E10" s="357">
        <v>50</v>
      </c>
      <c r="F10" s="357"/>
      <c r="G10" s="121"/>
      <c r="H10" s="289">
        <v>695</v>
      </c>
      <c r="I10" s="5"/>
      <c r="J10" s="5"/>
      <c r="L10" s="16" t="s">
        <v>15</v>
      </c>
      <c r="M10" s="11">
        <f>H15-H11-M8</f>
        <v>20950</v>
      </c>
    </row>
    <row r="11" spans="1:25">
      <c r="A11" s="357" t="s">
        <v>174</v>
      </c>
      <c r="B11" s="357"/>
      <c r="C11" s="357"/>
      <c r="D11" s="357"/>
      <c r="E11" s="357"/>
      <c r="F11" s="357"/>
      <c r="G11" s="121"/>
      <c r="H11" s="29">
        <f>(H9+H10)*20%</f>
        <v>4190</v>
      </c>
      <c r="I11" s="5"/>
      <c r="J11" s="5"/>
      <c r="L11" s="11"/>
      <c r="M11" s="11"/>
    </row>
    <row r="12" spans="1:25">
      <c r="A12" s="357" t="s">
        <v>175</v>
      </c>
      <c r="B12" s="357"/>
      <c r="C12" s="357"/>
      <c r="D12" s="357"/>
      <c r="E12" s="357"/>
      <c r="F12" s="357"/>
      <c r="G12" s="121"/>
      <c r="H12" s="289">
        <v>0</v>
      </c>
      <c r="I12" s="5"/>
      <c r="J12" s="5"/>
    </row>
    <row r="13" spans="1:25">
      <c r="A13" s="357" t="s">
        <v>176</v>
      </c>
      <c r="B13" s="357"/>
      <c r="C13" s="357"/>
      <c r="D13" s="357"/>
      <c r="E13" s="357">
        <v>585</v>
      </c>
      <c r="F13" s="357"/>
      <c r="G13" s="121"/>
      <c r="H13" s="289">
        <v>275</v>
      </c>
      <c r="I13" s="5"/>
      <c r="J13" s="5"/>
    </row>
    <row r="14" spans="1:25">
      <c r="A14" s="357" t="s">
        <v>177</v>
      </c>
      <c r="B14" s="357"/>
      <c r="C14" s="357"/>
      <c r="D14" s="357"/>
      <c r="E14" s="357">
        <v>55</v>
      </c>
      <c r="F14" s="357"/>
      <c r="G14" s="121"/>
      <c r="H14" s="289">
        <v>65</v>
      </c>
      <c r="I14" s="5"/>
      <c r="J14" s="5" t="s">
        <v>24</v>
      </c>
    </row>
    <row r="15" spans="1:25">
      <c r="A15" s="357" t="s">
        <v>178</v>
      </c>
      <c r="B15" s="357"/>
      <c r="C15" s="357"/>
      <c r="D15" s="357"/>
      <c r="E15" s="357"/>
      <c r="F15" s="357"/>
      <c r="G15" s="121"/>
      <c r="H15" s="291">
        <f>(H9+H10+H13+H14+H11)-H12</f>
        <v>25480</v>
      </c>
      <c r="I15" s="5"/>
      <c r="J15" s="17">
        <f>H15</f>
        <v>25480</v>
      </c>
    </row>
    <row r="16" spans="1:25">
      <c r="A16" s="357" t="s">
        <v>179</v>
      </c>
      <c r="B16" s="357"/>
      <c r="C16" s="357"/>
      <c r="D16" s="357"/>
      <c r="E16" s="357">
        <v>120</v>
      </c>
      <c r="F16" s="357"/>
      <c r="G16" s="121"/>
      <c r="H16" s="289">
        <v>0</v>
      </c>
      <c r="I16" s="5"/>
      <c r="J16" s="5"/>
      <c r="Y16" s="18" t="s">
        <v>26</v>
      </c>
    </row>
    <row r="17" spans="1:26">
      <c r="A17" s="358" t="s">
        <v>180</v>
      </c>
      <c r="B17" s="358"/>
      <c r="C17" s="358"/>
      <c r="D17" s="358"/>
      <c r="E17" s="358"/>
      <c r="F17" s="358"/>
      <c r="G17" s="34"/>
      <c r="H17" s="29"/>
      <c r="I17" s="5"/>
      <c r="J17" s="5" t="s">
        <v>27</v>
      </c>
      <c r="Y17" s="18" t="s">
        <v>28</v>
      </c>
    </row>
    <row r="18" spans="1:26">
      <c r="A18" s="124" t="s">
        <v>26</v>
      </c>
      <c r="B18" s="360" t="s">
        <v>181</v>
      </c>
      <c r="C18" s="360"/>
      <c r="D18" s="360"/>
      <c r="E18" s="360"/>
      <c r="F18" s="360"/>
      <c r="G18" s="35"/>
      <c r="H18" s="292">
        <v>0</v>
      </c>
      <c r="I18" s="5"/>
      <c r="J18" s="17">
        <f>(B3+D3+F3+H3+H10)*1.2</f>
        <v>25140</v>
      </c>
      <c r="Y18" s="18" t="s">
        <v>29</v>
      </c>
    </row>
    <row r="19" spans="1:26">
      <c r="A19" s="124" t="s">
        <v>28</v>
      </c>
      <c r="B19" s="360" t="s">
        <v>181</v>
      </c>
      <c r="C19" s="360"/>
      <c r="D19" s="360"/>
      <c r="E19" s="360"/>
      <c r="F19" s="360"/>
      <c r="G19" s="35"/>
      <c r="H19" s="292">
        <v>0</v>
      </c>
      <c r="I19" s="5"/>
      <c r="J19" s="5"/>
      <c r="Z19" s="5" t="s">
        <v>31</v>
      </c>
    </row>
    <row r="20" spans="1:26">
      <c r="A20" s="124" t="s">
        <v>29</v>
      </c>
      <c r="B20" s="360" t="s">
        <v>181</v>
      </c>
      <c r="C20" s="360"/>
      <c r="D20" s="360"/>
      <c r="E20" s="360"/>
      <c r="F20" s="360"/>
      <c r="G20" s="35"/>
      <c r="H20" s="292">
        <v>0</v>
      </c>
      <c r="I20" s="5"/>
      <c r="J20" s="5"/>
      <c r="Z20" s="5" t="s">
        <v>32</v>
      </c>
    </row>
    <row r="21" spans="1:26" ht="21">
      <c r="A21" s="417" t="s">
        <v>182</v>
      </c>
      <c r="B21" s="417"/>
      <c r="C21" s="417"/>
      <c r="D21" s="417"/>
      <c r="E21" s="417"/>
      <c r="F21" s="417"/>
      <c r="G21" s="293"/>
      <c r="H21" s="294">
        <f>H15-((H18*1.2)+(H19*1.2)+(H20*1.2)+(H16*1.2))</f>
        <v>25480</v>
      </c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76" t="s">
        <v>246</v>
      </c>
      <c r="B24" s="376"/>
      <c r="C24" s="376"/>
      <c r="D24" s="376"/>
      <c r="E24" s="376"/>
      <c r="F24" s="55"/>
      <c r="G24" s="55"/>
      <c r="H24" s="55"/>
    </row>
    <row r="25" spans="1:26">
      <c r="A25" s="157"/>
      <c r="B25" s="158"/>
      <c r="C25" s="158"/>
      <c r="D25" s="158"/>
      <c r="E25" s="159"/>
      <c r="F25" s="55"/>
      <c r="G25" s="55"/>
      <c r="H25" s="55"/>
    </row>
    <row r="26" spans="1:26" ht="23.25">
      <c r="A26" s="377" t="s">
        <v>247</v>
      </c>
      <c r="B26" s="377"/>
      <c r="C26" s="377"/>
      <c r="D26" s="377"/>
      <c r="E26" s="377"/>
      <c r="F26" s="55"/>
      <c r="G26" s="160"/>
      <c r="H26" s="160"/>
    </row>
    <row r="27" spans="1:26">
      <c r="A27" s="157"/>
      <c r="B27" s="158"/>
      <c r="C27" s="158"/>
      <c r="D27" s="158"/>
      <c r="E27" s="159"/>
      <c r="F27" s="55"/>
      <c r="G27" s="161" t="s">
        <v>96</v>
      </c>
      <c r="H27" s="161">
        <f>IF(A32=Y104,1,IF(A32=Y105,1,IF(A32=Y106,3,IF(A32=Y107,6,IF(A32=Y108,9,IF(A32=Y109,12,IF(A32=Y110,3,IF(A32=Y111,6,IF(A32=Y112,9,0)))))))))</f>
        <v>0</v>
      </c>
    </row>
    <row r="28" spans="1:26" ht="37.5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IF(A32=Y104,H29-H37,IF(A32=Y105,H29-H37,IF(A32=Y106,H29-1,IF(A32=Y107,H29-1,IF(A32=Y108,H29-1,IF(A32=Y109,H29-1,IF(A32=Y110,H29-H37,IF(A32=Y111,H29-H37,IF(A32=Y112,H29-H37,0)))))))))</f>
        <v>0</v>
      </c>
    </row>
    <row r="29" spans="1:26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 t="str">
        <f>B35</f>
        <v>33</v>
      </c>
    </row>
    <row r="30" spans="1:26">
      <c r="A30" s="157"/>
      <c r="B30" s="380"/>
      <c r="C30" s="380"/>
      <c r="D30" s="158"/>
      <c r="E30" s="159"/>
      <c r="F30" s="55"/>
      <c r="G30" s="160" t="s">
        <v>45</v>
      </c>
      <c r="H30" s="160" t="str">
        <f>D35</f>
        <v>5000</v>
      </c>
    </row>
    <row r="31" spans="1:26" ht="37.5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</row>
    <row r="32" spans="1:26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11.333333333333334</v>
      </c>
      <c r="E32" s="381"/>
      <c r="F32" s="55"/>
      <c r="G32" s="168" t="s">
        <v>253</v>
      </c>
      <c r="H32" s="166">
        <f>A41</f>
        <v>11.333333333333334</v>
      </c>
      <c r="J32" s="39" t="s">
        <v>50</v>
      </c>
      <c r="K32" s="40" t="s">
        <v>405</v>
      </c>
    </row>
    <row r="33" spans="1:16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J33" s="39"/>
      <c r="K33" s="13"/>
    </row>
    <row r="34" spans="1:16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J34" s="39" t="s">
        <v>57</v>
      </c>
      <c r="K34" s="44" t="s">
        <v>398</v>
      </c>
    </row>
    <row r="35" spans="1:16">
      <c r="A35" s="167">
        <f>B32+D32</f>
        <v>511.33333333333331</v>
      </c>
      <c r="B35" s="378" t="s">
        <v>403</v>
      </c>
      <c r="C35" s="378"/>
      <c r="D35" s="378" t="s">
        <v>397</v>
      </c>
      <c r="E35" s="378"/>
      <c r="F35" s="55"/>
      <c r="G35" s="46"/>
      <c r="H35" s="174"/>
      <c r="J35" s="39"/>
      <c r="K35" s="13">
        <v>6.5000000000000002E-2</v>
      </c>
    </row>
    <row r="36" spans="1:16">
      <c r="A36" s="157"/>
      <c r="B36" s="158"/>
      <c r="C36" s="158"/>
      <c r="D36" s="158"/>
      <c r="E36" s="159"/>
      <c r="F36" s="55"/>
      <c r="G36" s="55" t="s">
        <v>91</v>
      </c>
      <c r="H36" s="56" t="s">
        <v>406</v>
      </c>
      <c r="J36" s="39" t="s">
        <v>64</v>
      </c>
      <c r="K36" s="47">
        <f>K32-K34</f>
        <v>24480</v>
      </c>
    </row>
    <row r="37" spans="1:16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</row>
    <row r="38" spans="1:16">
      <c r="A38" s="175">
        <f>(B35/12)*D35</f>
        <v>13750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J38" s="382"/>
      <c r="K38" s="382"/>
      <c r="L38" s="5"/>
      <c r="N38" s="4">
        <f>80.88*36</f>
        <v>2911.68</v>
      </c>
    </row>
    <row r="39" spans="1:16">
      <c r="A39" s="176"/>
      <c r="B39" s="171"/>
      <c r="C39" s="171"/>
      <c r="D39" s="158"/>
      <c r="E39" s="159"/>
      <c r="F39" s="55"/>
      <c r="G39" s="55"/>
      <c r="H39" s="5"/>
      <c r="L39" s="5"/>
      <c r="N39" s="4">
        <f>K39-L39</f>
        <v>0</v>
      </c>
    </row>
    <row r="40" spans="1:16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L40" s="5"/>
      <c r="N40" s="4">
        <f>N38-N39</f>
        <v>2911.68</v>
      </c>
    </row>
    <row r="41" spans="1:16">
      <c r="A41" s="89">
        <f>H36/B35</f>
        <v>11.333333333333334</v>
      </c>
      <c r="B41" s="383">
        <f>IF(B38="YES",D38+A41,D38)</f>
        <v>511.33333333333331</v>
      </c>
      <c r="C41" s="383"/>
      <c r="D41" s="346">
        <v>6000</v>
      </c>
      <c r="E41" s="346"/>
      <c r="F41" s="55"/>
      <c r="G41" s="55"/>
      <c r="H41" s="180"/>
      <c r="J41" s="5"/>
      <c r="K41" s="5"/>
      <c r="L41" s="5"/>
    </row>
    <row r="42" spans="1:16">
      <c r="A42" s="176"/>
      <c r="B42" s="171"/>
      <c r="C42" s="171"/>
      <c r="D42" s="171"/>
      <c r="E42" s="181"/>
      <c r="F42" s="55"/>
      <c r="G42" s="384" t="s">
        <v>65</v>
      </c>
      <c r="H42" s="384"/>
      <c r="J42" s="5"/>
      <c r="K42" s="5"/>
      <c r="L42" s="5"/>
    </row>
    <row r="43" spans="1:16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500.36363636363637</v>
      </c>
      <c r="J43" s="5"/>
      <c r="K43" s="5"/>
      <c r="L43" s="5"/>
    </row>
    <row r="44" spans="1:16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11.333333333333334</v>
      </c>
      <c r="J44" s="5"/>
      <c r="K44" s="5"/>
      <c r="L44" s="5"/>
    </row>
    <row r="45" spans="1:16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511.69696969696969</v>
      </c>
      <c r="J45" s="5"/>
      <c r="K45" s="5"/>
      <c r="L45" s="5"/>
    </row>
    <row r="46" spans="1:16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500.36363636363637</v>
      </c>
      <c r="J46" s="5"/>
      <c r="K46" s="5"/>
      <c r="L46" s="5"/>
    </row>
    <row r="47" spans="1:16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J47" s="5"/>
      <c r="K47" s="5"/>
      <c r="L47" s="5"/>
    </row>
    <row r="48" spans="1:16">
      <c r="B48" s="171"/>
      <c r="C48" s="171"/>
      <c r="D48" s="171"/>
      <c r="E48" s="181"/>
      <c r="F48" s="55"/>
      <c r="G48" s="55"/>
      <c r="H48" s="5"/>
      <c r="J48" s="48"/>
      <c r="K48" s="5"/>
      <c r="L48" s="5"/>
    </row>
    <row r="49" spans="1:29">
      <c r="A49" s="176"/>
      <c r="B49" s="171"/>
      <c r="C49" s="171"/>
      <c r="D49" s="171"/>
      <c r="E49" s="181"/>
      <c r="F49" s="55"/>
      <c r="G49" s="55"/>
      <c r="H49" s="5"/>
      <c r="J49" s="5"/>
      <c r="K49" s="5"/>
      <c r="L49" s="5"/>
    </row>
    <row r="50" spans="1:29">
      <c r="A50" s="157"/>
      <c r="B50" s="183"/>
      <c r="C50" s="183"/>
      <c r="D50" s="158"/>
      <c r="E50" s="159"/>
      <c r="I50" s="5"/>
      <c r="J50" s="5"/>
      <c r="K50" s="5"/>
    </row>
    <row r="51" spans="1:29" ht="19.5" customHeight="1">
      <c r="A51" s="387" t="s">
        <v>94</v>
      </c>
      <c r="B51" s="388" t="s">
        <v>95</v>
      </c>
      <c r="C51" s="388"/>
      <c r="D51" s="158"/>
      <c r="E51" s="159"/>
      <c r="I51" s="5"/>
      <c r="J51" s="5"/>
      <c r="K51" s="5"/>
    </row>
    <row r="52" spans="1:29">
      <c r="A52" s="387"/>
      <c r="B52" s="389" t="str">
        <f>H30</f>
        <v>5000</v>
      </c>
      <c r="C52" s="389"/>
      <c r="D52" s="158"/>
      <c r="E52" s="159"/>
      <c r="I52" s="5"/>
      <c r="J52" s="5"/>
      <c r="K52" s="5"/>
    </row>
    <row r="53" spans="1:29">
      <c r="A53" s="185" t="str">
        <f>H29</f>
        <v>33</v>
      </c>
      <c r="B53" s="343">
        <f>H45</f>
        <v>511.69696969696969</v>
      </c>
      <c r="C53" s="343"/>
      <c r="D53" s="158"/>
      <c r="E53" s="159"/>
      <c r="I53" s="5"/>
      <c r="J53" s="5"/>
      <c r="K53" s="5"/>
    </row>
    <row r="54" spans="1:29">
      <c r="I54" s="5"/>
      <c r="J54" s="5"/>
      <c r="K54" s="5"/>
    </row>
    <row r="55" spans="1:29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29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29">
      <c r="A57" s="22"/>
      <c r="B57" s="23"/>
      <c r="C57" s="23"/>
      <c r="D57" s="23"/>
      <c r="E57" s="63"/>
      <c r="F57" s="63"/>
      <c r="G57" s="63"/>
      <c r="H57" s="24"/>
    </row>
    <row r="58" spans="1:29">
      <c r="A58" s="27" t="s">
        <v>96</v>
      </c>
      <c r="B58" s="28">
        <v>1</v>
      </c>
      <c r="C58" s="186"/>
      <c r="D58" s="28"/>
      <c r="E58" s="21"/>
      <c r="F58" s="21"/>
      <c r="G58" s="21"/>
      <c r="H58" s="29"/>
    </row>
    <row r="59" spans="1:29">
      <c r="A59" s="27" t="s">
        <v>97</v>
      </c>
      <c r="B59" s="28">
        <f>B35-B58</f>
        <v>32</v>
      </c>
      <c r="C59" s="186"/>
      <c r="D59" s="28"/>
      <c r="E59" s="21"/>
      <c r="F59" s="21"/>
      <c r="G59" s="21"/>
      <c r="H59" s="29"/>
    </row>
    <row r="60" spans="1:29">
      <c r="A60" s="64" t="s">
        <v>98</v>
      </c>
      <c r="B60" s="65">
        <v>10</v>
      </c>
      <c r="C60" s="186"/>
      <c r="D60" s="28"/>
      <c r="E60" s="21"/>
      <c r="F60" s="21"/>
      <c r="G60" s="21"/>
      <c r="H60" s="29"/>
    </row>
    <row r="61" spans="1:29">
      <c r="A61" s="27" t="s">
        <v>27</v>
      </c>
      <c r="B61" s="28">
        <f>J18</f>
        <v>25140</v>
      </c>
      <c r="C61" s="186"/>
      <c r="D61" s="28"/>
      <c r="E61" s="21"/>
      <c r="F61" s="21"/>
      <c r="G61" s="21"/>
      <c r="H61" s="29"/>
    </row>
    <row r="62" spans="1:29">
      <c r="A62" s="66" t="s">
        <v>99</v>
      </c>
      <c r="B62" s="67">
        <v>0</v>
      </c>
      <c r="C62" s="186"/>
      <c r="D62" s="28"/>
      <c r="E62" s="21"/>
      <c r="F62" s="21"/>
      <c r="G62" s="21"/>
      <c r="H62" s="29"/>
      <c r="K62" s="10"/>
      <c r="T62" s="10"/>
      <c r="AC62" s="10"/>
    </row>
    <row r="63" spans="1:29">
      <c r="A63" s="68" t="s">
        <v>100</v>
      </c>
      <c r="B63" s="69">
        <v>6.5000000000000002E-2</v>
      </c>
      <c r="C63" s="186"/>
      <c r="D63" s="28"/>
      <c r="E63" s="21"/>
      <c r="F63" s="21"/>
      <c r="G63" s="21"/>
      <c r="H63" s="29"/>
      <c r="K63" s="10"/>
      <c r="T63" s="10"/>
      <c r="AC63" s="10"/>
    </row>
    <row r="64" spans="1:29">
      <c r="A64" s="70" t="s">
        <v>101</v>
      </c>
      <c r="B64" s="71">
        <v>7.1999999999999995E-2</v>
      </c>
      <c r="C64" s="28"/>
      <c r="D64" s="28"/>
      <c r="E64" s="21"/>
      <c r="F64" s="21"/>
      <c r="G64" s="21"/>
      <c r="H64" s="29"/>
      <c r="K64" s="10"/>
      <c r="T64" s="10"/>
      <c r="AC64" s="10"/>
    </row>
    <row r="65" spans="1:29">
      <c r="A65" s="49" t="s">
        <v>102</v>
      </c>
      <c r="B65" s="57">
        <f>(B89*B59)-B53</f>
        <v>22912.10947185551</v>
      </c>
      <c r="C65" s="28"/>
      <c r="D65" s="28"/>
      <c r="E65" s="21"/>
      <c r="F65" s="21"/>
      <c r="G65" s="21"/>
      <c r="H65" s="29"/>
    </row>
    <row r="66" spans="1:29">
      <c r="A66" s="66" t="s">
        <v>103</v>
      </c>
      <c r="B66" s="67">
        <v>0.03</v>
      </c>
      <c r="C66" s="28"/>
      <c r="D66" s="28"/>
      <c r="E66" s="21"/>
      <c r="F66" s="21"/>
      <c r="G66" s="21"/>
      <c r="H66" s="29"/>
      <c r="K66" s="10"/>
      <c r="T66" s="10"/>
      <c r="AC66" s="10"/>
    </row>
    <row r="67" spans="1:29">
      <c r="A67" s="27"/>
      <c r="B67" s="72">
        <f>B66</f>
        <v>0.03</v>
      </c>
      <c r="C67" s="28"/>
      <c r="D67" s="28"/>
      <c r="E67" s="21"/>
      <c r="F67" s="21"/>
      <c r="G67" s="21"/>
      <c r="H67" s="29"/>
      <c r="K67" s="10"/>
      <c r="T67" s="10"/>
      <c r="AC67" s="10"/>
    </row>
    <row r="68" spans="1:29">
      <c r="A68" s="49" t="s">
        <v>105</v>
      </c>
      <c r="B68" s="57">
        <f>(G158*B67)</f>
        <v>764.4</v>
      </c>
      <c r="C68" s="28"/>
      <c r="D68" s="28"/>
      <c r="E68" s="21"/>
      <c r="F68" s="21"/>
      <c r="G68" s="21"/>
      <c r="H68" s="29"/>
    </row>
    <row r="69" spans="1:29">
      <c r="A69" s="66" t="s">
        <v>106</v>
      </c>
      <c r="B69" s="67">
        <v>0</v>
      </c>
      <c r="C69" s="187"/>
      <c r="D69" s="28"/>
      <c r="E69" s="21"/>
      <c r="F69" s="21"/>
      <c r="G69" s="21"/>
      <c r="H69" s="29"/>
      <c r="K69" s="10"/>
      <c r="T69" s="10"/>
      <c r="AC69" s="10"/>
    </row>
    <row r="70" spans="1:29">
      <c r="A70" s="68" t="s">
        <v>107</v>
      </c>
      <c r="B70" s="69">
        <v>0</v>
      </c>
      <c r="C70" s="187"/>
      <c r="D70" s="28"/>
      <c r="E70" s="21"/>
      <c r="F70" s="21"/>
      <c r="G70" s="21"/>
      <c r="H70" s="29"/>
      <c r="K70" s="10"/>
      <c r="T70" s="10"/>
      <c r="AC70" s="10"/>
    </row>
    <row r="71" spans="1:29">
      <c r="A71" s="49" t="s">
        <v>108</v>
      </c>
      <c r="B71" s="73">
        <f>B69*(1+B70)</f>
        <v>0</v>
      </c>
      <c r="C71" s="187"/>
      <c r="D71" s="28"/>
      <c r="E71" s="21"/>
      <c r="F71" s="21"/>
      <c r="G71" s="21"/>
      <c r="H71" s="29"/>
      <c r="K71" s="10"/>
      <c r="T71" s="10"/>
      <c r="AC71" s="10"/>
    </row>
    <row r="72" spans="1:29">
      <c r="A72" s="66" t="s">
        <v>109</v>
      </c>
      <c r="B72" s="74">
        <v>0</v>
      </c>
      <c r="C72" s="187"/>
      <c r="D72" s="28"/>
      <c r="E72" s="21"/>
      <c r="F72" s="21"/>
      <c r="G72" s="21"/>
      <c r="H72" s="29"/>
    </row>
    <row r="73" spans="1:29">
      <c r="A73" s="68" t="s">
        <v>110</v>
      </c>
      <c r="B73" s="65">
        <v>0</v>
      </c>
      <c r="C73" s="187"/>
      <c r="D73" s="28"/>
      <c r="E73" s="21"/>
      <c r="F73" s="21"/>
      <c r="G73" s="21"/>
      <c r="H73" s="29"/>
    </row>
    <row r="74" spans="1:29">
      <c r="A74" s="49" t="s">
        <v>111</v>
      </c>
      <c r="B74" s="57">
        <f>B73*B35</f>
        <v>0</v>
      </c>
      <c r="C74" s="187"/>
      <c r="D74" s="28">
        <f>B74+B72</f>
        <v>0</v>
      </c>
      <c r="E74" s="21"/>
      <c r="F74" s="21"/>
      <c r="G74" s="21"/>
      <c r="H74" s="29"/>
    </row>
    <row r="75" spans="1:29">
      <c r="A75" s="68" t="s">
        <v>112</v>
      </c>
      <c r="B75" s="65">
        <v>0</v>
      </c>
      <c r="C75" s="187"/>
      <c r="D75" s="28">
        <f>B75</f>
        <v>0</v>
      </c>
      <c r="E75" s="21"/>
      <c r="F75" s="21"/>
      <c r="G75" s="21"/>
      <c r="H75" s="29"/>
    </row>
    <row r="76" spans="1:29">
      <c r="A76" s="70" t="s">
        <v>113</v>
      </c>
      <c r="B76" s="75">
        <v>0</v>
      </c>
      <c r="C76" s="187"/>
      <c r="D76" s="28">
        <f>B76</f>
        <v>0</v>
      </c>
      <c r="E76" s="21"/>
      <c r="F76" s="28"/>
      <c r="G76" s="21"/>
      <c r="H76" s="29"/>
    </row>
    <row r="77" spans="1:29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</row>
    <row r="78" spans="1:29">
      <c r="A78" s="27" t="s">
        <v>115</v>
      </c>
      <c r="B78" s="29">
        <f>B77/B35</f>
        <v>0</v>
      </c>
      <c r="C78" s="28"/>
      <c r="D78" s="28"/>
      <c r="E78" s="21"/>
      <c r="F78" s="21"/>
      <c r="G78" s="21"/>
      <c r="H78" s="29"/>
    </row>
    <row r="79" spans="1:29">
      <c r="A79" s="78" t="s">
        <v>116</v>
      </c>
      <c r="B79" s="52">
        <f>H46</f>
        <v>500.36363636363637</v>
      </c>
      <c r="C79" s="28"/>
      <c r="D79" s="28"/>
      <c r="E79" s="21"/>
      <c r="F79" s="21"/>
      <c r="G79" s="21"/>
      <c r="H79" s="29"/>
    </row>
    <row r="80" spans="1:29">
      <c r="A80" s="27"/>
      <c r="B80" s="28"/>
      <c r="C80" s="28"/>
      <c r="D80" s="28"/>
      <c r="E80" s="21"/>
      <c r="F80" s="21"/>
      <c r="G80" s="21"/>
      <c r="H80" s="29"/>
    </row>
    <row r="81" spans="1:29">
      <c r="A81" s="22" t="s">
        <v>117</v>
      </c>
      <c r="B81" s="24">
        <f>K36</f>
        <v>24480</v>
      </c>
      <c r="C81" s="28"/>
      <c r="D81" s="28"/>
      <c r="E81" s="21"/>
      <c r="F81" s="22" t="s">
        <v>117</v>
      </c>
      <c r="G81" s="24">
        <f>B81</f>
        <v>24480</v>
      </c>
      <c r="H81" s="29"/>
    </row>
    <row r="82" spans="1:29">
      <c r="A82" s="27" t="s">
        <v>118</v>
      </c>
      <c r="B82" s="29">
        <f>IF(A111="YES",D41,0)*1.2</f>
        <v>7200</v>
      </c>
      <c r="C82" s="28"/>
      <c r="D82" s="28"/>
      <c r="E82" s="21"/>
      <c r="F82" s="27" t="s">
        <v>118</v>
      </c>
      <c r="G82" s="29">
        <f>IF(A111="YES",D41,0)*1.2</f>
        <v>7200</v>
      </c>
      <c r="H82" s="29"/>
    </row>
    <row r="83" spans="1:29">
      <c r="A83" s="27" t="s">
        <v>119</v>
      </c>
      <c r="B83" s="79">
        <f>B62+B63+B64</f>
        <v>0.13700000000000001</v>
      </c>
      <c r="C83" s="28"/>
      <c r="D83" s="28"/>
      <c r="E83" s="21"/>
      <c r="F83" s="27" t="s">
        <v>119</v>
      </c>
      <c r="G83" s="79">
        <f>B63</f>
        <v>6.5000000000000002E-2</v>
      </c>
      <c r="H83" s="29"/>
      <c r="K83" s="10"/>
      <c r="T83" s="10"/>
      <c r="AC83" s="10"/>
    </row>
    <row r="84" spans="1:29">
      <c r="A84" s="27" t="s">
        <v>120</v>
      </c>
      <c r="B84" s="72">
        <f>B83/12</f>
        <v>1.1416666666666667E-2</v>
      </c>
      <c r="C84" s="28"/>
      <c r="D84" s="28"/>
      <c r="E84" s="21"/>
      <c r="F84" s="27" t="s">
        <v>120</v>
      </c>
      <c r="G84" s="72">
        <f>G83/12</f>
        <v>5.4166666666666669E-3</v>
      </c>
      <c r="H84" s="29"/>
      <c r="K84" s="10"/>
      <c r="T84" s="10"/>
      <c r="AC84" s="10"/>
    </row>
    <row r="85" spans="1:29">
      <c r="A85" s="27" t="s">
        <v>121</v>
      </c>
      <c r="B85" s="29">
        <f>IF(B82=0,(B59+B58),(B59))</f>
        <v>32</v>
      </c>
      <c r="C85" s="28"/>
      <c r="D85" s="28"/>
      <c r="E85" s="21"/>
      <c r="F85" s="27" t="s">
        <v>121</v>
      </c>
      <c r="G85" s="29">
        <f>IF(G82=0,(B59+B58),(B59))</f>
        <v>32</v>
      </c>
      <c r="H85" s="29"/>
    </row>
    <row r="86" spans="1:29">
      <c r="A86" s="27" t="s">
        <v>122</v>
      </c>
      <c r="B86" s="29">
        <f>(B82/((1+B84)^(B85+1)))</f>
        <v>4950.3852950071832</v>
      </c>
      <c r="C86" s="28">
        <f>(B82/((1+B84)^(B85+1)))</f>
        <v>4950.3852950071832</v>
      </c>
      <c r="D86" s="28"/>
      <c r="E86" s="21"/>
      <c r="F86" s="27" t="s">
        <v>122</v>
      </c>
      <c r="G86" s="29">
        <f>(G82/((1+G84)^(G85+1)))</f>
        <v>6024.3729512856571</v>
      </c>
      <c r="H86" s="29"/>
    </row>
    <row r="87" spans="1:29">
      <c r="A87" s="27" t="s">
        <v>123</v>
      </c>
      <c r="B87" s="29">
        <f>((1-(1/((1+B84)^B85)))/B84)</f>
        <v>26.680021973335176</v>
      </c>
      <c r="C87" s="28">
        <f>((1-(1/((1+B84)^B85)))/B84)</f>
        <v>26.680021973335176</v>
      </c>
      <c r="D87" s="28"/>
      <c r="E87" s="21"/>
      <c r="F87" s="27" t="s">
        <v>123</v>
      </c>
      <c r="G87" s="29">
        <f>((1-(1/((1+G84)^G85)))/G84)</f>
        <v>29.307564834911432</v>
      </c>
      <c r="H87" s="29"/>
    </row>
    <row r="88" spans="1:29">
      <c r="A88" s="27" t="s">
        <v>124</v>
      </c>
      <c r="B88" s="29">
        <f>B81-B86</f>
        <v>19529.614704992819</v>
      </c>
      <c r="C88" s="28">
        <f>B81-B86</f>
        <v>19529.614704992819</v>
      </c>
      <c r="D88" s="28"/>
      <c r="E88" s="21"/>
      <c r="F88" s="27" t="s">
        <v>124</v>
      </c>
      <c r="G88" s="29">
        <f>G81-G86</f>
        <v>18455.627048714341</v>
      </c>
      <c r="H88" s="29"/>
    </row>
    <row r="89" spans="1:29">
      <c r="A89" s="27" t="s">
        <v>125</v>
      </c>
      <c r="B89" s="29">
        <f>(B88/B87)</f>
        <v>731.99395129851496</v>
      </c>
      <c r="C89" s="28">
        <f>(B88/B87)</f>
        <v>731.99395129851496</v>
      </c>
      <c r="D89" s="28"/>
      <c r="E89" s="21"/>
      <c r="F89" s="27" t="s">
        <v>125</v>
      </c>
      <c r="G89" s="29">
        <f>(G88/G87)</f>
        <v>629.72229704768358</v>
      </c>
      <c r="H89" s="29"/>
    </row>
    <row r="90" spans="1:29">
      <c r="A90" s="27" t="s">
        <v>126</v>
      </c>
      <c r="B90" s="29">
        <f>((B89*(B85))+B77)</f>
        <v>23423.806441552479</v>
      </c>
      <c r="C90" s="28"/>
      <c r="D90" s="28"/>
      <c r="E90" s="21"/>
      <c r="F90" s="27" t="s">
        <v>126</v>
      </c>
      <c r="G90" s="29">
        <f>((G89*(G85))+G77)</f>
        <v>20151.113505525875</v>
      </c>
      <c r="H90" s="29"/>
    </row>
    <row r="91" spans="1:29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</row>
    <row r="92" spans="1:29">
      <c r="A92" s="49" t="s">
        <v>128</v>
      </c>
      <c r="B92" s="57">
        <f>(B90+B91)</f>
        <v>23423.806441552479</v>
      </c>
      <c r="C92" s="28"/>
      <c r="D92" s="28"/>
      <c r="E92" s="21"/>
      <c r="F92" s="49" t="s">
        <v>128</v>
      </c>
      <c r="G92" s="57">
        <f>(G90+G91)</f>
        <v>20151.113505525875</v>
      </c>
      <c r="H92" s="29"/>
    </row>
    <row r="93" spans="1:29">
      <c r="A93" s="27"/>
      <c r="B93" s="28"/>
      <c r="C93" s="28"/>
      <c r="D93" s="28"/>
      <c r="E93" s="21"/>
      <c r="F93" s="27"/>
      <c r="G93" s="28"/>
      <c r="H93" s="29"/>
    </row>
    <row r="94" spans="1:29">
      <c r="A94" s="76" t="s">
        <v>129</v>
      </c>
      <c r="B94" s="80">
        <f>IF(B38="YES",((H36/B85)*(1+A108)*1.2),"0")</f>
        <v>16.829999999999998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</row>
    <row r="95" spans="1:29">
      <c r="A95" s="81" t="s">
        <v>130</v>
      </c>
      <c r="B95" s="82">
        <f>B92/(B85)</f>
        <v>731.99395129851496</v>
      </c>
      <c r="C95" s="28"/>
      <c r="D95" s="28"/>
      <c r="E95" s="21"/>
      <c r="F95" s="81" t="s">
        <v>130</v>
      </c>
      <c r="G95" s="82">
        <f>G92/(G85)</f>
        <v>629.72229704768358</v>
      </c>
      <c r="H95" s="29"/>
    </row>
    <row r="96" spans="1:29">
      <c r="A96" s="83" t="s">
        <v>131</v>
      </c>
      <c r="B96" s="84">
        <f>B94+B95</f>
        <v>748.823951298515</v>
      </c>
      <c r="C96" s="28"/>
      <c r="D96" s="28"/>
      <c r="E96" s="21"/>
      <c r="F96" s="83" t="s">
        <v>131</v>
      </c>
      <c r="G96" s="84">
        <f>G94+G95</f>
        <v>629.72229704768358</v>
      </c>
      <c r="H96" s="29"/>
    </row>
    <row r="97" spans="1:42">
      <c r="A97" s="49"/>
      <c r="B97" s="50"/>
      <c r="C97" s="50"/>
      <c r="D97" s="50"/>
      <c r="E97" s="85"/>
      <c r="F97" s="85"/>
      <c r="G97" s="85"/>
      <c r="H97" s="57"/>
    </row>
    <row r="98" spans="1:42">
      <c r="A98" s="21"/>
      <c r="B98" s="21"/>
      <c r="C98" s="21"/>
      <c r="D98" s="21"/>
      <c r="E98" s="21"/>
      <c r="F98" s="21"/>
      <c r="G98" s="21"/>
      <c r="H98" s="21"/>
    </row>
    <row r="99" spans="1:42">
      <c r="A99" s="21"/>
      <c r="B99" s="21"/>
      <c r="C99" s="21"/>
      <c r="D99" s="21"/>
      <c r="E99" s="21"/>
      <c r="F99" s="21"/>
      <c r="G99" s="21"/>
      <c r="H99" s="21"/>
    </row>
    <row r="100" spans="1:42" ht="47.25" customHeight="1">
      <c r="A100" s="344" t="s">
        <v>278</v>
      </c>
      <c r="B100" s="344"/>
      <c r="C100" s="344"/>
      <c r="D100" s="344"/>
      <c r="E100" s="344"/>
      <c r="F100" s="344"/>
      <c r="G100" s="344"/>
      <c r="H100" s="344"/>
      <c r="J100" s="382"/>
      <c r="K100" s="382"/>
      <c r="L100" s="382"/>
      <c r="M100" s="382"/>
      <c r="N100" s="382"/>
      <c r="O100" s="382"/>
      <c r="P100" s="382"/>
      <c r="Q100" s="382"/>
      <c r="S100" s="382"/>
      <c r="T100" s="382"/>
      <c r="U100" s="382"/>
      <c r="V100" s="382"/>
      <c r="W100" s="382"/>
      <c r="X100" s="382"/>
      <c r="Y100" s="382"/>
      <c r="Z100" s="382"/>
      <c r="AB100" s="382"/>
      <c r="AC100" s="382"/>
      <c r="AD100" s="382"/>
      <c r="AE100" s="382"/>
      <c r="AF100" s="382"/>
      <c r="AG100" s="382"/>
      <c r="AH100" s="382"/>
      <c r="AI100" s="382"/>
    </row>
    <row r="101" spans="1:42">
      <c r="A101" s="22"/>
      <c r="B101" s="23"/>
      <c r="C101" s="23"/>
      <c r="D101" s="23"/>
      <c r="E101" s="63"/>
      <c r="F101" s="63"/>
      <c r="G101" s="63"/>
      <c r="H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82"/>
      <c r="K102" s="382"/>
      <c r="L102" s="382"/>
      <c r="M102" s="382"/>
      <c r="N102" s="382"/>
      <c r="O102" s="382"/>
      <c r="P102" s="382"/>
      <c r="Q102" s="382"/>
      <c r="S102" s="382"/>
      <c r="T102" s="382"/>
      <c r="U102" s="382"/>
      <c r="V102" s="382"/>
      <c r="W102" s="382"/>
      <c r="X102" s="382"/>
      <c r="Y102" s="382"/>
      <c r="Z102" s="382"/>
      <c r="AB102" s="382"/>
      <c r="AC102" s="382"/>
      <c r="AD102" s="382"/>
      <c r="AE102" s="382"/>
      <c r="AF102" s="382"/>
      <c r="AG102" s="382"/>
      <c r="AH102" s="382"/>
      <c r="AI102" s="382"/>
    </row>
    <row r="103" spans="1:42">
      <c r="A103" s="27"/>
      <c r="B103" s="28"/>
      <c r="C103" s="28"/>
      <c r="D103" s="28"/>
      <c r="E103" s="21"/>
      <c r="F103" s="21"/>
      <c r="G103" s="21"/>
      <c r="H103" s="88"/>
      <c r="Z103" s="55" t="s">
        <v>140</v>
      </c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Z104" s="55" t="s">
        <v>270</v>
      </c>
    </row>
    <row r="105" spans="1:42">
      <c r="A105" s="32" t="s">
        <v>139</v>
      </c>
      <c r="B105" s="345" t="s">
        <v>140</v>
      </c>
      <c r="C105" s="345"/>
      <c r="D105" s="345"/>
      <c r="E105" s="346" t="s">
        <v>385</v>
      </c>
      <c r="F105" s="346"/>
      <c r="G105" s="346"/>
      <c r="H105" s="88"/>
      <c r="K105" s="382"/>
      <c r="L105" s="382"/>
      <c r="M105" s="382"/>
      <c r="N105" s="382"/>
      <c r="O105" s="382"/>
      <c r="P105" s="382"/>
      <c r="T105" s="382"/>
      <c r="U105" s="382"/>
      <c r="V105" s="382"/>
      <c r="W105" s="382"/>
      <c r="X105" s="382"/>
      <c r="Y105" s="382"/>
      <c r="Z105" s="55" t="s">
        <v>271</v>
      </c>
      <c r="AC105" s="382"/>
      <c r="AD105" s="382"/>
      <c r="AE105" s="382"/>
      <c r="AF105" s="382"/>
      <c r="AG105" s="382"/>
      <c r="AH105" s="382"/>
    </row>
    <row r="106" spans="1:42">
      <c r="A106" s="27"/>
      <c r="B106" s="28"/>
      <c r="C106" s="28"/>
      <c r="D106" s="21"/>
      <c r="E106" s="28"/>
      <c r="F106" s="28"/>
      <c r="G106" s="21"/>
      <c r="H106" s="29"/>
      <c r="Z106" s="55" t="s">
        <v>272</v>
      </c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Z107" s="55" t="s">
        <v>273</v>
      </c>
    </row>
    <row r="108" spans="1:42">
      <c r="A108" s="188">
        <v>0.2</v>
      </c>
      <c r="B108" s="348" t="s">
        <v>400</v>
      </c>
      <c r="C108" s="348"/>
      <c r="D108" s="348"/>
      <c r="E108" s="349">
        <f>B83</f>
        <v>0.13700000000000001</v>
      </c>
      <c r="F108" s="349"/>
      <c r="G108" s="349"/>
      <c r="H108" s="42"/>
      <c r="J108" s="10"/>
      <c r="K108" s="382"/>
      <c r="L108" s="382"/>
      <c r="M108" s="382"/>
      <c r="N108" s="390"/>
      <c r="O108" s="390"/>
      <c r="P108" s="390"/>
      <c r="S108" s="10"/>
      <c r="T108" s="382"/>
      <c r="U108" s="382"/>
      <c r="V108" s="382"/>
      <c r="W108" s="390"/>
      <c r="X108" s="390"/>
      <c r="Y108" s="390"/>
      <c r="Z108" s="55" t="s">
        <v>274</v>
      </c>
      <c r="AB108" s="10"/>
      <c r="AC108" s="382"/>
      <c r="AD108" s="382"/>
      <c r="AE108" s="382"/>
      <c r="AF108" s="390"/>
      <c r="AG108" s="390"/>
      <c r="AH108" s="390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Z109" s="55" t="s">
        <v>275</v>
      </c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Z110" s="55" t="s">
        <v>276</v>
      </c>
    </row>
    <row r="111" spans="1:42">
      <c r="A111" s="36" t="s">
        <v>385</v>
      </c>
      <c r="B111" s="348">
        <v>0</v>
      </c>
      <c r="C111" s="348"/>
      <c r="D111" s="348"/>
      <c r="E111" s="348">
        <v>0</v>
      </c>
      <c r="F111" s="348"/>
      <c r="G111" s="348"/>
      <c r="H111" s="88"/>
      <c r="K111" s="382"/>
      <c r="L111" s="382"/>
      <c r="M111" s="382"/>
      <c r="N111" s="382"/>
      <c r="O111" s="382"/>
      <c r="P111" s="382"/>
      <c r="T111" s="382"/>
      <c r="U111" s="382"/>
      <c r="V111" s="382"/>
      <c r="W111" s="382"/>
      <c r="X111" s="382"/>
      <c r="Y111" s="382"/>
      <c r="Z111" s="55" t="s">
        <v>277</v>
      </c>
      <c r="AC111" s="382"/>
      <c r="AD111" s="382"/>
      <c r="AE111" s="382"/>
      <c r="AF111" s="382"/>
      <c r="AG111" s="382"/>
      <c r="AH111" s="382"/>
    </row>
    <row r="112" spans="1:42">
      <c r="A112" s="27"/>
      <c r="B112" s="28"/>
      <c r="C112" s="28"/>
      <c r="D112" s="28"/>
      <c r="E112" s="28"/>
      <c r="F112" s="28"/>
      <c r="G112" s="21"/>
      <c r="H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</row>
    <row r="114" spans="1:35">
      <c r="A114" s="94">
        <f>B111+E111</f>
        <v>0</v>
      </c>
      <c r="B114" s="348">
        <v>1000</v>
      </c>
      <c r="C114" s="348"/>
      <c r="D114" s="348"/>
      <c r="E114" s="348">
        <v>0</v>
      </c>
      <c r="F114" s="348"/>
      <c r="G114" s="348"/>
      <c r="H114" s="88"/>
      <c r="K114" s="382"/>
      <c r="L114" s="382"/>
      <c r="M114" s="382"/>
      <c r="N114" s="382"/>
      <c r="O114" s="382"/>
      <c r="P114" s="382"/>
      <c r="T114" s="382"/>
      <c r="U114" s="382"/>
      <c r="V114" s="382"/>
      <c r="W114" s="382"/>
      <c r="X114" s="382"/>
      <c r="Y114" s="382"/>
      <c r="AC114" s="382"/>
      <c r="AD114" s="382"/>
      <c r="AE114" s="382"/>
      <c r="AF114" s="382"/>
      <c r="AG114" s="382"/>
      <c r="AH114" s="382"/>
    </row>
    <row r="115" spans="1:35">
      <c r="A115" s="95"/>
      <c r="B115" s="21"/>
      <c r="C115" s="21"/>
      <c r="D115" s="21"/>
      <c r="E115" s="21"/>
      <c r="F115" s="21"/>
      <c r="G115" s="21"/>
      <c r="H115" s="88"/>
    </row>
    <row r="116" spans="1:35">
      <c r="A116" s="95"/>
      <c r="B116" s="21"/>
      <c r="C116" s="21"/>
      <c r="D116" s="21"/>
      <c r="E116" s="21"/>
      <c r="F116" s="21"/>
      <c r="G116" s="21"/>
      <c r="H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82"/>
      <c r="K117" s="382"/>
      <c r="L117" s="382"/>
      <c r="M117" s="382"/>
      <c r="N117" s="382"/>
      <c r="O117" s="382"/>
      <c r="P117" s="382"/>
      <c r="Q117" s="382"/>
      <c r="S117" s="382"/>
      <c r="T117" s="382"/>
      <c r="U117" s="382"/>
      <c r="V117" s="382"/>
      <c r="W117" s="382"/>
      <c r="X117" s="382"/>
      <c r="Y117" s="382"/>
      <c r="Z117" s="382"/>
      <c r="AB117" s="382"/>
      <c r="AC117" s="382"/>
      <c r="AD117" s="382"/>
      <c r="AE117" s="382"/>
      <c r="AF117" s="382"/>
      <c r="AG117" s="382"/>
      <c r="AH117" s="382"/>
      <c r="AI117" s="382"/>
    </row>
    <row r="118" spans="1:35">
      <c r="A118" s="95"/>
      <c r="B118" s="21"/>
      <c r="C118" s="21"/>
      <c r="D118" s="21"/>
      <c r="E118" s="21"/>
      <c r="F118" s="21"/>
      <c r="G118" s="21"/>
      <c r="H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K119" s="382"/>
      <c r="L119" s="382"/>
      <c r="M119" s="382"/>
      <c r="N119" s="382"/>
      <c r="O119" s="382"/>
      <c r="P119" s="382"/>
      <c r="T119" s="382"/>
      <c r="U119" s="382"/>
      <c r="V119" s="382"/>
      <c r="W119" s="382"/>
      <c r="X119" s="382"/>
      <c r="Y119" s="382"/>
      <c r="AC119" s="382"/>
      <c r="AD119" s="382"/>
      <c r="AE119" s="382"/>
      <c r="AF119" s="382"/>
      <c r="AG119" s="382"/>
      <c r="AH119" s="382"/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</row>
    <row r="121" spans="1:35">
      <c r="A121" s="22" t="s">
        <v>160</v>
      </c>
      <c r="B121" s="22">
        <f>B3</f>
        <v>20255</v>
      </c>
      <c r="C121" s="36">
        <f>B121</f>
        <v>20255</v>
      </c>
      <c r="D121" s="22">
        <f>D3</f>
        <v>0</v>
      </c>
      <c r="E121" s="36">
        <f>D121</f>
        <v>0</v>
      </c>
      <c r="F121" s="22">
        <f>F3</f>
        <v>0</v>
      </c>
      <c r="G121" s="36">
        <f>F121</f>
        <v>0</v>
      </c>
      <c r="H121" s="101">
        <f>H3</f>
        <v>0</v>
      </c>
    </row>
    <row r="122" spans="1:35">
      <c r="A122" s="27" t="s">
        <v>161</v>
      </c>
      <c r="B122" s="102">
        <f>B4</f>
        <v>0</v>
      </c>
      <c r="C122" s="103">
        <f>B122</f>
        <v>0</v>
      </c>
      <c r="D122" s="102">
        <f>D4</f>
        <v>0</v>
      </c>
      <c r="E122" s="103">
        <f>D122</f>
        <v>0</v>
      </c>
      <c r="F122" s="102">
        <f>F4</f>
        <v>0</v>
      </c>
      <c r="G122" s="104">
        <f>F122</f>
        <v>0</v>
      </c>
      <c r="H122" s="105"/>
      <c r="K122" s="10"/>
      <c r="L122" s="10"/>
      <c r="M122" s="10"/>
      <c r="N122" s="10"/>
      <c r="O122" s="10"/>
      <c r="P122" s="10"/>
      <c r="Q122" s="10"/>
      <c r="T122" s="10"/>
      <c r="U122" s="10"/>
      <c r="V122" s="10"/>
      <c r="W122" s="10"/>
      <c r="X122" s="10"/>
      <c r="Y122" s="10"/>
      <c r="Z122" s="10"/>
      <c r="AC122" s="10"/>
      <c r="AD122" s="10"/>
      <c r="AE122" s="10"/>
      <c r="AF122" s="10"/>
      <c r="AG122" s="10"/>
      <c r="AH122" s="10"/>
      <c r="AI122" s="10"/>
    </row>
    <row r="123" spans="1:35">
      <c r="A123" s="27" t="s">
        <v>162</v>
      </c>
      <c r="B123" s="27">
        <f>B5</f>
        <v>0</v>
      </c>
      <c r="C123" s="36">
        <f>B123</f>
        <v>0</v>
      </c>
      <c r="D123" s="27">
        <f>D5</f>
        <v>0</v>
      </c>
      <c r="E123" s="36">
        <f>D123</f>
        <v>0</v>
      </c>
      <c r="F123" s="27">
        <f>F5</f>
        <v>0</v>
      </c>
      <c r="G123" s="36">
        <f>F123</f>
        <v>0</v>
      </c>
      <c r="H123" s="29"/>
    </row>
    <row r="124" spans="1:35">
      <c r="A124" s="27" t="s">
        <v>163</v>
      </c>
      <c r="B124" s="27">
        <f>(B121*B122)+B123</f>
        <v>0</v>
      </c>
      <c r="C124" s="24">
        <f>(C121*C122/100)+C123</f>
        <v>0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</row>
    <row r="125" spans="1:35">
      <c r="A125" s="49" t="s">
        <v>164</v>
      </c>
      <c r="B125" s="49">
        <f t="shared" ref="B125:G125" si="0">B121-B124</f>
        <v>20255</v>
      </c>
      <c r="C125" s="57">
        <f t="shared" si="0"/>
        <v>20255</v>
      </c>
      <c r="D125" s="49">
        <f t="shared" si="0"/>
        <v>0</v>
      </c>
      <c r="E125" s="57">
        <f t="shared" si="0"/>
        <v>0</v>
      </c>
      <c r="F125" s="49">
        <f t="shared" si="0"/>
        <v>0</v>
      </c>
      <c r="G125" s="57">
        <f t="shared" si="0"/>
        <v>0</v>
      </c>
      <c r="H125" s="57"/>
    </row>
    <row r="126" spans="1:35">
      <c r="A126" s="27"/>
      <c r="B126" s="28"/>
      <c r="C126" s="28"/>
      <c r="D126" s="28"/>
      <c r="E126" s="28"/>
      <c r="F126" s="28"/>
      <c r="G126" s="28"/>
      <c r="H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</row>
    <row r="129" spans="1:34">
      <c r="A129" s="27"/>
      <c r="B129" s="28"/>
      <c r="C129" s="28"/>
      <c r="D129" s="28"/>
      <c r="E129" s="28"/>
      <c r="F129" s="28"/>
      <c r="G129" s="115"/>
      <c r="H129" s="116"/>
    </row>
    <row r="130" spans="1:34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K130" s="382"/>
      <c r="L130" s="382"/>
      <c r="M130" s="382"/>
      <c r="N130" s="382"/>
      <c r="O130" s="382"/>
      <c r="P130" s="382"/>
      <c r="T130" s="382"/>
      <c r="U130" s="382"/>
      <c r="V130" s="382"/>
      <c r="W130" s="382"/>
      <c r="X130" s="382"/>
      <c r="Y130" s="382"/>
      <c r="AC130" s="382"/>
      <c r="AD130" s="382"/>
      <c r="AE130" s="382"/>
      <c r="AF130" s="382"/>
      <c r="AG130" s="382"/>
      <c r="AH130" s="382"/>
    </row>
    <row r="131" spans="1:34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K131" s="382"/>
      <c r="L131" s="382"/>
      <c r="M131" s="390"/>
      <c r="N131" s="390"/>
      <c r="O131" s="382"/>
      <c r="P131" s="382"/>
      <c r="T131" s="382"/>
      <c r="U131" s="382"/>
      <c r="V131" s="390"/>
      <c r="W131" s="390"/>
      <c r="X131" s="382"/>
      <c r="Y131" s="382"/>
      <c r="AC131" s="382"/>
      <c r="AD131" s="382"/>
      <c r="AE131" s="390"/>
      <c r="AF131" s="390"/>
      <c r="AG131" s="382"/>
      <c r="AH131" s="382"/>
    </row>
    <row r="132" spans="1:34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K132" s="382"/>
      <c r="L132" s="382"/>
      <c r="M132" s="390"/>
      <c r="N132" s="390"/>
      <c r="O132" s="382"/>
      <c r="P132" s="382"/>
      <c r="T132" s="382"/>
      <c r="U132" s="382"/>
      <c r="V132" s="390"/>
      <c r="W132" s="390"/>
      <c r="X132" s="382"/>
      <c r="Y132" s="382"/>
      <c r="AC132" s="382"/>
      <c r="AD132" s="382"/>
      <c r="AE132" s="390"/>
      <c r="AF132" s="390"/>
      <c r="AG132" s="382"/>
      <c r="AH132" s="382"/>
    </row>
    <row r="133" spans="1:34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K133" s="382"/>
      <c r="L133" s="382"/>
      <c r="M133" s="390"/>
      <c r="N133" s="390"/>
      <c r="O133" s="382"/>
      <c r="P133" s="382"/>
      <c r="T133" s="382"/>
      <c r="U133" s="382"/>
      <c r="V133" s="390"/>
      <c r="W133" s="390"/>
      <c r="X133" s="382"/>
      <c r="Y133" s="382"/>
      <c r="AC133" s="382"/>
      <c r="AD133" s="382"/>
      <c r="AE133" s="390"/>
      <c r="AF133" s="390"/>
      <c r="AG133" s="382"/>
      <c r="AH133" s="382"/>
    </row>
    <row r="134" spans="1:34">
      <c r="A134" s="27"/>
      <c r="B134" s="28"/>
      <c r="C134" s="28"/>
      <c r="D134" s="28"/>
      <c r="E134" s="28"/>
      <c r="F134" s="28"/>
      <c r="G134" s="115"/>
      <c r="H134" s="116"/>
    </row>
    <row r="135" spans="1:34" ht="21">
      <c r="A135" s="356" t="s">
        <v>172</v>
      </c>
      <c r="B135" s="356"/>
      <c r="C135" s="356"/>
      <c r="D135" s="356"/>
      <c r="E135" s="356"/>
      <c r="F135" s="356"/>
      <c r="G135" s="109">
        <f t="shared" ref="G135:G142" si="1">H9</f>
        <v>20255</v>
      </c>
      <c r="H135" s="120">
        <f>C125+E125+G125+H128</f>
        <v>20255</v>
      </c>
      <c r="J135" s="382"/>
      <c r="K135" s="382"/>
      <c r="L135" s="382"/>
      <c r="M135" s="382"/>
      <c r="N135" s="382"/>
      <c r="O135" s="382"/>
      <c r="S135" s="382"/>
      <c r="T135" s="382"/>
      <c r="U135" s="382"/>
      <c r="V135" s="382"/>
      <c r="W135" s="382"/>
      <c r="X135" s="382"/>
      <c r="AB135" s="382"/>
      <c r="AC135" s="382"/>
      <c r="AD135" s="382"/>
      <c r="AE135" s="382"/>
      <c r="AF135" s="382"/>
      <c r="AG135" s="382"/>
    </row>
    <row r="136" spans="1:34">
      <c r="A136" s="357" t="s">
        <v>173</v>
      </c>
      <c r="B136" s="357"/>
      <c r="C136" s="357"/>
      <c r="D136" s="357"/>
      <c r="E136" s="357"/>
      <c r="F136" s="357"/>
      <c r="G136" s="121">
        <f t="shared" si="1"/>
        <v>695</v>
      </c>
      <c r="H136" s="29">
        <f>G136</f>
        <v>695</v>
      </c>
      <c r="J136" s="382"/>
      <c r="K136" s="382"/>
      <c r="L136" s="382"/>
      <c r="M136" s="382"/>
      <c r="N136" s="382"/>
      <c r="O136" s="382"/>
      <c r="S136" s="382"/>
      <c r="T136" s="382"/>
      <c r="U136" s="382"/>
      <c r="V136" s="382"/>
      <c r="W136" s="382"/>
      <c r="X136" s="382"/>
      <c r="AB136" s="382"/>
      <c r="AC136" s="382"/>
      <c r="AD136" s="382"/>
      <c r="AE136" s="382"/>
      <c r="AF136" s="382"/>
      <c r="AG136" s="382"/>
    </row>
    <row r="137" spans="1:34">
      <c r="A137" s="357" t="s">
        <v>174</v>
      </c>
      <c r="B137" s="357"/>
      <c r="C137" s="357"/>
      <c r="D137" s="357"/>
      <c r="E137" s="357"/>
      <c r="F137" s="357"/>
      <c r="G137" s="121">
        <f t="shared" si="1"/>
        <v>4190</v>
      </c>
      <c r="H137" s="29">
        <f>(H135+H136)*20%</f>
        <v>4190</v>
      </c>
      <c r="J137" s="382"/>
      <c r="K137" s="382"/>
      <c r="L137" s="382"/>
      <c r="M137" s="382"/>
      <c r="N137" s="382"/>
      <c r="O137" s="382"/>
      <c r="S137" s="382"/>
      <c r="T137" s="382"/>
      <c r="U137" s="382"/>
      <c r="V137" s="382"/>
      <c r="W137" s="382"/>
      <c r="X137" s="382"/>
      <c r="AB137" s="382"/>
      <c r="AC137" s="382"/>
      <c r="AD137" s="382"/>
      <c r="AE137" s="382"/>
      <c r="AF137" s="382"/>
      <c r="AG137" s="382"/>
    </row>
    <row r="138" spans="1:34">
      <c r="A138" s="357" t="s">
        <v>175</v>
      </c>
      <c r="B138" s="357"/>
      <c r="C138" s="357"/>
      <c r="D138" s="357"/>
      <c r="E138" s="357"/>
      <c r="F138" s="357"/>
      <c r="G138" s="121">
        <f t="shared" si="1"/>
        <v>0</v>
      </c>
      <c r="H138" s="29">
        <v>0</v>
      </c>
      <c r="J138" s="382"/>
      <c r="K138" s="382"/>
      <c r="L138" s="382"/>
      <c r="M138" s="382"/>
      <c r="N138" s="382"/>
      <c r="O138" s="382"/>
      <c r="S138" s="382"/>
      <c r="T138" s="382"/>
      <c r="U138" s="382"/>
      <c r="V138" s="382"/>
      <c r="W138" s="382"/>
      <c r="X138" s="382"/>
      <c r="AB138" s="382"/>
      <c r="AC138" s="382"/>
      <c r="AD138" s="382"/>
      <c r="AE138" s="382"/>
      <c r="AF138" s="382"/>
      <c r="AG138" s="382"/>
    </row>
    <row r="139" spans="1:34">
      <c r="A139" s="357" t="s">
        <v>176</v>
      </c>
      <c r="B139" s="357"/>
      <c r="C139" s="357"/>
      <c r="D139" s="357"/>
      <c r="E139" s="357"/>
      <c r="F139" s="357"/>
      <c r="G139" s="121">
        <f t="shared" si="1"/>
        <v>275</v>
      </c>
      <c r="H139" s="29">
        <f>G139</f>
        <v>275</v>
      </c>
      <c r="J139" s="382"/>
      <c r="K139" s="382"/>
      <c r="L139" s="382"/>
      <c r="M139" s="382"/>
      <c r="N139" s="382"/>
      <c r="O139" s="382"/>
      <c r="S139" s="382"/>
      <c r="T139" s="382"/>
      <c r="U139" s="382"/>
      <c r="V139" s="382"/>
      <c r="W139" s="382"/>
      <c r="X139" s="382"/>
      <c r="AB139" s="382"/>
      <c r="AC139" s="382"/>
      <c r="AD139" s="382"/>
      <c r="AE139" s="382"/>
      <c r="AF139" s="382"/>
      <c r="AG139" s="382"/>
    </row>
    <row r="140" spans="1:34">
      <c r="A140" s="357" t="s">
        <v>177</v>
      </c>
      <c r="B140" s="357"/>
      <c r="C140" s="357"/>
      <c r="D140" s="357"/>
      <c r="E140" s="357"/>
      <c r="F140" s="357"/>
      <c r="G140" s="121">
        <f t="shared" si="1"/>
        <v>65</v>
      </c>
      <c r="H140" s="29">
        <f>G140</f>
        <v>65</v>
      </c>
      <c r="J140" s="382"/>
      <c r="K140" s="382"/>
      <c r="L140" s="382"/>
      <c r="M140" s="382"/>
      <c r="N140" s="382"/>
      <c r="O140" s="382"/>
      <c r="S140" s="382"/>
      <c r="T140" s="382"/>
      <c r="U140" s="382"/>
      <c r="V140" s="382"/>
      <c r="W140" s="382"/>
      <c r="X140" s="382"/>
      <c r="AB140" s="382"/>
      <c r="AC140" s="382"/>
      <c r="AD140" s="382"/>
      <c r="AE140" s="382"/>
      <c r="AF140" s="382"/>
      <c r="AG140" s="382"/>
    </row>
    <row r="141" spans="1:34" ht="21">
      <c r="A141" s="357" t="s">
        <v>178</v>
      </c>
      <c r="B141" s="357"/>
      <c r="C141" s="357"/>
      <c r="D141" s="357"/>
      <c r="E141" s="357"/>
      <c r="F141" s="357"/>
      <c r="G141" s="123">
        <f t="shared" si="1"/>
        <v>25480</v>
      </c>
      <c r="H141" s="122">
        <f>(H135+H136+H139+H140+H137)-H138</f>
        <v>25480</v>
      </c>
      <c r="J141" s="382"/>
      <c r="K141" s="382"/>
      <c r="L141" s="382"/>
      <c r="M141" s="382"/>
      <c r="N141" s="382"/>
      <c r="O141" s="382"/>
      <c r="S141" s="382"/>
      <c r="T141" s="382"/>
      <c r="U141" s="382"/>
      <c r="V141" s="382"/>
      <c r="W141" s="382"/>
      <c r="X141" s="382"/>
      <c r="AB141" s="382"/>
      <c r="AC141" s="382"/>
      <c r="AD141" s="382"/>
      <c r="AE141" s="382"/>
      <c r="AF141" s="382"/>
      <c r="AG141" s="382"/>
    </row>
    <row r="142" spans="1:34">
      <c r="A142" s="357" t="s">
        <v>179</v>
      </c>
      <c r="B142" s="357"/>
      <c r="C142" s="357"/>
      <c r="D142" s="357"/>
      <c r="E142" s="357"/>
      <c r="F142" s="357"/>
      <c r="G142" s="121">
        <f t="shared" si="1"/>
        <v>0</v>
      </c>
      <c r="H142" s="36">
        <f>G142</f>
        <v>0</v>
      </c>
      <c r="J142" s="382"/>
      <c r="K142" s="382"/>
      <c r="L142" s="382"/>
      <c r="M142" s="382"/>
      <c r="N142" s="382"/>
      <c r="O142" s="382"/>
      <c r="S142" s="382"/>
      <c r="T142" s="382"/>
      <c r="U142" s="382"/>
      <c r="V142" s="382"/>
      <c r="W142" s="382"/>
      <c r="X142" s="382"/>
      <c r="AB142" s="382"/>
      <c r="AC142" s="382"/>
      <c r="AD142" s="382"/>
      <c r="AE142" s="382"/>
      <c r="AF142" s="382"/>
      <c r="AG142" s="382"/>
    </row>
    <row r="143" spans="1:34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82"/>
      <c r="K143" s="382"/>
      <c r="L143" s="382"/>
      <c r="M143" s="382"/>
      <c r="N143" s="382"/>
      <c r="O143" s="382"/>
      <c r="S143" s="382"/>
      <c r="T143" s="382"/>
      <c r="U143" s="382"/>
      <c r="V143" s="382"/>
      <c r="W143" s="382"/>
      <c r="X143" s="382"/>
      <c r="AB143" s="382"/>
      <c r="AC143" s="382"/>
      <c r="AD143" s="382"/>
      <c r="AE143" s="382"/>
      <c r="AF143" s="382"/>
      <c r="AG143" s="382"/>
    </row>
    <row r="144" spans="1:34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K144" s="382"/>
      <c r="L144" s="382"/>
      <c r="M144" s="382"/>
      <c r="N144" s="382"/>
      <c r="O144" s="382"/>
      <c r="T144" s="382"/>
      <c r="U144" s="382"/>
      <c r="V144" s="382"/>
      <c r="W144" s="382"/>
      <c r="X144" s="382"/>
      <c r="AC144" s="382"/>
      <c r="AD144" s="382"/>
      <c r="AE144" s="382"/>
      <c r="AF144" s="382"/>
      <c r="AG144" s="382"/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K145" s="382"/>
      <c r="L145" s="382"/>
      <c r="M145" s="382"/>
      <c r="N145" s="382"/>
      <c r="O145" s="382"/>
      <c r="T145" s="382"/>
      <c r="U145" s="382"/>
      <c r="V145" s="382"/>
      <c r="W145" s="382"/>
      <c r="X145" s="382"/>
      <c r="AC145" s="382"/>
      <c r="AD145" s="382"/>
      <c r="AE145" s="382"/>
      <c r="AF145" s="382"/>
      <c r="AG145" s="382"/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K146" s="382"/>
      <c r="L146" s="382"/>
      <c r="M146" s="382"/>
      <c r="N146" s="382"/>
      <c r="O146" s="382"/>
      <c r="T146" s="382"/>
      <c r="U146" s="382"/>
      <c r="V146" s="382"/>
      <c r="W146" s="382"/>
      <c r="X146" s="382"/>
      <c r="AC146" s="382"/>
      <c r="AD146" s="382"/>
      <c r="AE146" s="382"/>
      <c r="AF146" s="382"/>
      <c r="AG146" s="382"/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25480</v>
      </c>
      <c r="H147" s="126">
        <f>H141-((H144*1.2)+(H145*1.2)+(H146*1.2)+(H142*1.2))</f>
        <v>25480</v>
      </c>
      <c r="J147" s="382"/>
      <c r="K147" s="382"/>
      <c r="L147" s="382"/>
      <c r="M147" s="382"/>
      <c r="N147" s="382"/>
      <c r="O147" s="382"/>
      <c r="S147" s="382"/>
      <c r="T147" s="382"/>
      <c r="U147" s="382"/>
      <c r="V147" s="382"/>
      <c r="W147" s="382"/>
      <c r="X147" s="382"/>
      <c r="AB147" s="382"/>
      <c r="AC147" s="382"/>
      <c r="AD147" s="382"/>
      <c r="AE147" s="382"/>
      <c r="AF147" s="382"/>
      <c r="AG147" s="382"/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0</v>
      </c>
      <c r="I148" s="4">
        <f>(H148-G81)/1.2</f>
        <v>-20400</v>
      </c>
      <c r="J148" s="382"/>
      <c r="K148" s="382"/>
      <c r="L148" s="382"/>
      <c r="M148" s="382"/>
      <c r="N148" s="382"/>
      <c r="O148" s="382"/>
      <c r="S148" s="382"/>
      <c r="T148" s="382"/>
      <c r="U148" s="382"/>
      <c r="V148" s="382"/>
      <c r="W148" s="382"/>
      <c r="X148" s="382"/>
      <c r="AB148" s="382"/>
      <c r="AC148" s="382"/>
      <c r="AD148" s="382"/>
      <c r="AE148" s="382"/>
      <c r="AF148" s="382"/>
      <c r="AG148" s="382"/>
    </row>
    <row r="149" spans="1:35">
      <c r="A149" s="27"/>
      <c r="B149" s="28"/>
      <c r="C149" s="28"/>
      <c r="D149" s="28"/>
      <c r="E149" s="21"/>
      <c r="F149" s="21"/>
      <c r="G149" s="21"/>
      <c r="H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82"/>
      <c r="K150" s="382"/>
      <c r="L150" s="382"/>
      <c r="M150" s="382"/>
      <c r="N150" s="382"/>
      <c r="O150" s="382"/>
      <c r="P150" s="382"/>
      <c r="Q150" s="382"/>
      <c r="S150" s="382"/>
      <c r="T150" s="382"/>
      <c r="U150" s="382"/>
      <c r="V150" s="382"/>
      <c r="W150" s="382"/>
      <c r="X150" s="382"/>
      <c r="Y150" s="382"/>
      <c r="Z150" s="382"/>
      <c r="AB150" s="382"/>
      <c r="AC150" s="382"/>
      <c r="AD150" s="382"/>
      <c r="AE150" s="382"/>
      <c r="AF150" s="382"/>
      <c r="AG150" s="382"/>
      <c r="AH150" s="382"/>
      <c r="AI150" s="382"/>
    </row>
    <row r="151" spans="1:35">
      <c r="A151" s="27"/>
      <c r="B151" s="28"/>
      <c r="C151" s="28"/>
      <c r="D151" s="28"/>
      <c r="E151" s="21"/>
      <c r="F151" s="21"/>
      <c r="G151" s="21"/>
      <c r="H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N152" s="382"/>
      <c r="O152" s="382"/>
      <c r="P152" s="382"/>
      <c r="Q152" s="382"/>
      <c r="W152" s="382"/>
      <c r="X152" s="382"/>
      <c r="Y152" s="382"/>
      <c r="Z152" s="382"/>
      <c r="AF152" s="382"/>
      <c r="AG152" s="382"/>
      <c r="AH152" s="382"/>
      <c r="AI152" s="382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N153" s="382"/>
      <c r="O153" s="382"/>
      <c r="P153" s="382"/>
      <c r="Q153" s="382"/>
      <c r="W153" s="382"/>
      <c r="X153" s="382"/>
      <c r="Y153" s="382"/>
      <c r="Z153" s="382"/>
      <c r="AF153" s="382"/>
      <c r="AG153" s="382"/>
      <c r="AH153" s="382"/>
      <c r="AI153" s="382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N154" s="382"/>
      <c r="O154" s="382"/>
      <c r="P154" s="382"/>
      <c r="Q154" s="382"/>
      <c r="W154" s="382"/>
      <c r="X154" s="382"/>
      <c r="Y154" s="382"/>
      <c r="Z154" s="382"/>
      <c r="AF154" s="382"/>
      <c r="AG154" s="382"/>
      <c r="AH154" s="382"/>
      <c r="AI154" s="382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N155" s="382"/>
      <c r="O155" s="382"/>
      <c r="W155" s="382"/>
      <c r="X155" s="382"/>
      <c r="AF155" s="382"/>
      <c r="AG155" s="382"/>
    </row>
    <row r="156" spans="1:35">
      <c r="A156" s="22" t="s">
        <v>189</v>
      </c>
      <c r="B156" s="23"/>
      <c r="C156" s="23"/>
      <c r="D156" s="63"/>
      <c r="E156" s="23"/>
      <c r="F156" s="63"/>
      <c r="G156" s="128" t="s">
        <v>10</v>
      </c>
      <c r="H156" s="36">
        <v>0</v>
      </c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0</v>
      </c>
      <c r="H157" s="365"/>
      <c r="P157" s="382"/>
      <c r="Q157" s="382"/>
      <c r="Y157" s="382"/>
      <c r="Z157" s="382"/>
      <c r="AH157" s="382"/>
      <c r="AI157" s="382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25480</v>
      </c>
      <c r="H158" s="366"/>
      <c r="P158" s="382"/>
      <c r="Q158" s="382"/>
      <c r="Y158" s="382"/>
      <c r="Z158" s="382"/>
      <c r="AH158" s="382"/>
      <c r="AI158" s="382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1000</v>
      </c>
      <c r="H159" s="367"/>
      <c r="P159" s="382"/>
      <c r="Q159" s="382"/>
      <c r="Y159" s="382"/>
      <c r="Z159" s="382"/>
      <c r="AH159" s="382"/>
      <c r="AI159" s="382"/>
    </row>
    <row r="160" spans="1:35">
      <c r="A160" s="27"/>
      <c r="B160" s="28"/>
      <c r="C160" s="28"/>
      <c r="D160" s="28"/>
      <c r="E160" s="21"/>
      <c r="F160" s="21"/>
      <c r="G160" s="21"/>
      <c r="H160" s="29"/>
    </row>
    <row r="161" spans="1:35">
      <c r="A161" s="27"/>
      <c r="B161" s="28"/>
      <c r="C161" s="28"/>
      <c r="D161" s="28"/>
      <c r="E161" s="21"/>
      <c r="F161" s="21"/>
      <c r="G161" s="21"/>
      <c r="H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82"/>
      <c r="K162" s="382"/>
      <c r="L162" s="382"/>
      <c r="M162" s="382"/>
      <c r="N162" s="382"/>
      <c r="O162" s="382"/>
      <c r="P162" s="382"/>
      <c r="Q162" s="382"/>
      <c r="S162" s="382"/>
      <c r="T162" s="382"/>
      <c r="U162" s="382"/>
      <c r="V162" s="382"/>
      <c r="W162" s="382"/>
      <c r="X162" s="382"/>
      <c r="Y162" s="382"/>
      <c r="Z162" s="382"/>
      <c r="AB162" s="382"/>
      <c r="AC162" s="382"/>
      <c r="AD162" s="382"/>
      <c r="AE162" s="382"/>
      <c r="AF162" s="382"/>
      <c r="AG162" s="382"/>
      <c r="AH162" s="382"/>
      <c r="AI162" s="382"/>
    </row>
    <row r="163" spans="1:35">
      <c r="A163" s="27"/>
      <c r="B163" s="28"/>
      <c r="C163" s="28"/>
      <c r="D163" s="28"/>
      <c r="E163" s="21"/>
      <c r="F163" s="21"/>
      <c r="G163" s="21"/>
      <c r="H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K164" s="382"/>
      <c r="L164" s="382"/>
      <c r="T164" s="382"/>
      <c r="U164" s="382"/>
      <c r="AC164" s="382"/>
      <c r="AD164" s="382"/>
    </row>
    <row r="165" spans="1:35">
      <c r="A165" s="27"/>
      <c r="B165" s="28"/>
      <c r="C165" s="28"/>
      <c r="D165" s="28"/>
      <c r="E165" s="21"/>
      <c r="F165" s="21"/>
      <c r="G165" s="21"/>
      <c r="H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</row>
    <row r="167" spans="1:35">
      <c r="A167" s="189">
        <f>B95</f>
        <v>731.99395129851496</v>
      </c>
      <c r="B167" s="133">
        <f>B94</f>
        <v>16.829999999999998</v>
      </c>
      <c r="C167" s="131"/>
      <c r="D167" s="131"/>
      <c r="E167" s="133">
        <f>B96</f>
        <v>748.823951298515</v>
      </c>
      <c r="F167" s="21"/>
      <c r="G167" s="21">
        <f>ROUND(G95,2)</f>
        <v>629.72</v>
      </c>
      <c r="H167" s="29"/>
    </row>
    <row r="168" spans="1:35">
      <c r="A168" s="27"/>
      <c r="B168" s="28"/>
      <c r="C168" s="28"/>
      <c r="D168" s="28"/>
      <c r="E168" s="21"/>
      <c r="F168" s="21"/>
      <c r="G168" s="21"/>
      <c r="H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</row>
    <row r="170" spans="1:35">
      <c r="A170" s="134" t="str">
        <f>H29</f>
        <v>33</v>
      </c>
      <c r="B170" s="170" t="str">
        <f>H30</f>
        <v>5000</v>
      </c>
      <c r="C170" s="136"/>
      <c r="D170" s="21"/>
      <c r="E170" s="137">
        <v>7200</v>
      </c>
      <c r="F170" s="21"/>
      <c r="G170" s="21"/>
      <c r="H170" s="29"/>
    </row>
    <row r="171" spans="1:35">
      <c r="A171" s="27"/>
      <c r="B171" s="28"/>
      <c r="C171" s="28"/>
      <c r="D171" s="21"/>
      <c r="E171" s="28"/>
      <c r="F171" s="21"/>
      <c r="G171" s="21"/>
      <c r="H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</row>
    <row r="173" spans="1:35">
      <c r="A173" s="138">
        <f>H141-H137-H139-H140</f>
        <v>20950</v>
      </c>
      <c r="B173" s="34">
        <f>H137</f>
        <v>4190</v>
      </c>
      <c r="C173" s="38"/>
      <c r="D173" s="21"/>
      <c r="E173" s="137">
        <f>H139+H140</f>
        <v>340</v>
      </c>
      <c r="F173" s="21"/>
      <c r="G173" s="21"/>
      <c r="H173" s="29"/>
    </row>
    <row r="174" spans="1:35">
      <c r="A174" s="27"/>
      <c r="B174" s="28"/>
      <c r="C174" s="28"/>
      <c r="D174" s="21"/>
      <c r="E174" s="28"/>
      <c r="F174" s="21"/>
      <c r="G174" s="21"/>
      <c r="H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</row>
    <row r="176" spans="1:35">
      <c r="A176" s="138">
        <f>H147</f>
        <v>25480</v>
      </c>
      <c r="B176" s="34">
        <f>B111</f>
        <v>0</v>
      </c>
      <c r="C176" s="34"/>
      <c r="D176" s="21"/>
      <c r="E176" s="34">
        <f>E111</f>
        <v>0</v>
      </c>
      <c r="F176" s="21"/>
      <c r="G176" s="21"/>
      <c r="H176" s="90"/>
    </row>
    <row r="177" spans="1:8">
      <c r="A177" s="27"/>
      <c r="B177" s="28"/>
      <c r="C177" s="28"/>
      <c r="D177" s="21"/>
      <c r="E177" s="28"/>
      <c r="F177" s="21"/>
      <c r="G177" s="21"/>
      <c r="H177" s="29"/>
    </row>
    <row r="178" spans="1:8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</row>
    <row r="179" spans="1:8">
      <c r="A179" s="94">
        <f>B176+E176</f>
        <v>0</v>
      </c>
      <c r="B179" s="34">
        <f>G154</f>
        <v>0</v>
      </c>
      <c r="C179" s="34"/>
      <c r="D179" s="21"/>
      <c r="E179" s="34">
        <f>G158</f>
        <v>25480</v>
      </c>
      <c r="F179" s="21"/>
      <c r="G179" s="21"/>
      <c r="H179" s="90"/>
    </row>
    <row r="180" spans="1:8">
      <c r="A180" s="27"/>
      <c r="B180" s="28"/>
      <c r="C180" s="28"/>
      <c r="D180" s="21"/>
      <c r="E180" s="28"/>
      <c r="F180" s="21"/>
      <c r="G180" s="21"/>
      <c r="H180" s="29"/>
    </row>
    <row r="181" spans="1:8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</row>
    <row r="182" spans="1:8">
      <c r="A182" s="94">
        <f>(A167*B59)+E185-E179-A185</f>
        <v>5143.8064415524786</v>
      </c>
      <c r="B182" s="34">
        <f>B114</f>
        <v>1000</v>
      </c>
      <c r="C182" s="34"/>
      <c r="D182" s="21"/>
      <c r="E182" s="34">
        <f>E179+A182+B182+A185</f>
        <v>31633.806441552479</v>
      </c>
      <c r="F182" s="21"/>
      <c r="G182" s="21"/>
      <c r="H182" s="90"/>
    </row>
    <row r="183" spans="1:8">
      <c r="A183" s="27"/>
      <c r="B183" s="28"/>
      <c r="C183" s="28"/>
      <c r="D183" s="21"/>
      <c r="E183" s="28"/>
      <c r="F183" s="21"/>
      <c r="G183" s="21"/>
      <c r="H183" s="29"/>
    </row>
    <row r="184" spans="1:8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</row>
    <row r="185" spans="1:8">
      <c r="A185" s="94">
        <f>B60</f>
        <v>10</v>
      </c>
      <c r="B185" s="34">
        <f>A179+B182</f>
        <v>1000</v>
      </c>
      <c r="C185" s="34"/>
      <c r="D185" s="21"/>
      <c r="E185" s="34">
        <f>IF( E170=0, A185+E167, E170+A185)</f>
        <v>7210</v>
      </c>
      <c r="F185" s="21"/>
      <c r="G185" s="21"/>
      <c r="H185" s="90"/>
    </row>
    <row r="186" spans="1:8">
      <c r="A186" s="27"/>
      <c r="B186" s="28"/>
      <c r="C186" s="28"/>
      <c r="D186" s="28"/>
      <c r="E186" s="21"/>
      <c r="F186" s="21"/>
      <c r="G186" s="21"/>
      <c r="H186" s="29"/>
    </row>
    <row r="187" spans="1:8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</row>
    <row r="188" spans="1:8">
      <c r="A188" s="94">
        <f>J18*0.000002*100*1.2</f>
        <v>6.033599999999999</v>
      </c>
      <c r="B188" s="34">
        <f>(G158*B67)</f>
        <v>764.4</v>
      </c>
      <c r="C188" s="28"/>
      <c r="D188" s="28"/>
      <c r="E188" s="34">
        <f>IF(E105="YES",(H36*A108)*0.1,0)</f>
        <v>7.48</v>
      </c>
      <c r="F188" s="21"/>
      <c r="G188" s="21"/>
      <c r="H188" s="29"/>
    </row>
    <row r="189" spans="1:8">
      <c r="A189" s="94"/>
      <c r="B189" s="34"/>
      <c r="C189" s="28"/>
      <c r="D189" s="28"/>
      <c r="E189" s="21"/>
      <c r="F189" s="21"/>
      <c r="G189" s="21"/>
      <c r="H189" s="29"/>
    </row>
    <row r="190" spans="1:8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</row>
    <row r="191" spans="1:8">
      <c r="A191" s="94">
        <v>10</v>
      </c>
      <c r="B191" s="34">
        <f>B188+E188+A191-H156</f>
        <v>781.88</v>
      </c>
      <c r="C191" s="28"/>
      <c r="D191" s="28"/>
      <c r="E191" s="34">
        <f>H148</f>
        <v>0</v>
      </c>
      <c r="F191" s="21"/>
      <c r="G191" s="21"/>
      <c r="H191" s="29"/>
    </row>
    <row r="192" spans="1:8">
      <c r="A192" s="27"/>
      <c r="B192" s="28"/>
      <c r="C192" s="28"/>
      <c r="D192" s="28"/>
      <c r="E192" s="21"/>
      <c r="F192" s="21"/>
      <c r="G192" s="21"/>
      <c r="H192" s="29"/>
    </row>
    <row r="193" spans="1:31">
      <c r="A193" s="58" t="s">
        <v>214</v>
      </c>
      <c r="B193" s="28"/>
      <c r="C193" s="28"/>
      <c r="D193" s="59"/>
      <c r="E193" s="59"/>
      <c r="F193" s="59"/>
      <c r="G193" s="59"/>
      <c r="H193" s="60"/>
    </row>
    <row r="194" spans="1:31">
      <c r="A194" s="27"/>
      <c r="B194" s="61"/>
      <c r="C194" s="61"/>
      <c r="D194" s="28"/>
      <c r="E194" s="21"/>
      <c r="F194" s="21"/>
      <c r="G194" s="21"/>
      <c r="H194" s="29"/>
    </row>
    <row r="195" spans="1:31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82"/>
      <c r="K195" s="382"/>
      <c r="L195" s="382"/>
      <c r="M195" s="382"/>
      <c r="S195" s="382"/>
      <c r="T195" s="382"/>
      <c r="U195" s="382"/>
      <c r="V195" s="382"/>
      <c r="AB195" s="382"/>
      <c r="AC195" s="382"/>
      <c r="AD195" s="382"/>
      <c r="AE195" s="382"/>
    </row>
    <row r="196" spans="1:31" ht="19.5" customHeight="1">
      <c r="A196" s="369"/>
      <c r="B196" s="342" t="str">
        <f>H30</f>
        <v>5000</v>
      </c>
      <c r="C196" s="342"/>
      <c r="D196" s="342"/>
      <c r="E196" s="21"/>
      <c r="F196" s="21"/>
      <c r="G196" s="21"/>
      <c r="H196" s="29"/>
      <c r="J196" s="382"/>
      <c r="K196" s="382"/>
      <c r="L196" s="382"/>
      <c r="M196" s="382"/>
      <c r="S196" s="382"/>
      <c r="T196" s="382"/>
      <c r="U196" s="382"/>
      <c r="V196" s="382"/>
      <c r="AB196" s="382"/>
      <c r="AC196" s="382"/>
      <c r="AD196" s="382"/>
      <c r="AE196" s="382"/>
    </row>
    <row r="197" spans="1:31">
      <c r="A197" s="62" t="str">
        <f>H29</f>
        <v>33</v>
      </c>
      <c r="B197" s="343">
        <f>B96</f>
        <v>748.823951298515</v>
      </c>
      <c r="C197" s="343"/>
      <c r="D197" s="343"/>
      <c r="E197" s="21"/>
      <c r="F197" s="21"/>
      <c r="G197" s="21"/>
      <c r="H197" s="29"/>
      <c r="K197" s="382"/>
      <c r="L197" s="382"/>
      <c r="M197" s="382"/>
      <c r="T197" s="382"/>
      <c r="U197" s="382"/>
      <c r="V197" s="382"/>
      <c r="AC197" s="382"/>
      <c r="AD197" s="382"/>
      <c r="AE197" s="382"/>
    </row>
    <row r="198" spans="1:31">
      <c r="A198" s="27"/>
      <c r="B198" s="28"/>
      <c r="C198" s="28"/>
      <c r="D198" s="28"/>
      <c r="E198" s="21"/>
      <c r="F198" s="21"/>
      <c r="G198" s="21"/>
      <c r="H198" s="29"/>
    </row>
    <row r="199" spans="1:31">
      <c r="A199" s="27"/>
      <c r="B199" s="28"/>
      <c r="C199" s="28"/>
      <c r="D199" s="28"/>
      <c r="E199" s="21"/>
      <c r="F199" s="21"/>
      <c r="G199" s="21"/>
      <c r="H199" s="29"/>
    </row>
    <row r="200" spans="1:31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</row>
    <row r="201" spans="1:31">
      <c r="A201" s="32">
        <f>IF(A40=0,((G167*(B59+1))-E179),((G167*B59)+E185-E179-A185))</f>
        <v>1871.0400000000009</v>
      </c>
      <c r="B201" s="38">
        <f>E179+A201+B182+A185</f>
        <v>28361.040000000001</v>
      </c>
      <c r="C201" s="28"/>
      <c r="D201" s="28"/>
      <c r="E201" s="21"/>
      <c r="F201" s="21"/>
      <c r="G201" s="21"/>
      <c r="H201" s="29"/>
    </row>
    <row r="202" spans="1:31">
      <c r="A202" s="49"/>
      <c r="B202" s="50"/>
      <c r="C202" s="50"/>
      <c r="D202" s="50"/>
      <c r="E202" s="50"/>
      <c r="F202" s="50"/>
      <c r="G202" s="50"/>
      <c r="H202" s="57"/>
    </row>
    <row r="206" spans="1:31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1">
      <c r="A207" s="27"/>
      <c r="B207" s="28"/>
      <c r="C207" s="28"/>
      <c r="D207" s="28"/>
      <c r="E207" s="21"/>
      <c r="F207" s="21"/>
      <c r="G207" s="21"/>
      <c r="H207" s="29"/>
    </row>
    <row r="208" spans="1:31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30" t="s">
        <v>279</v>
      </c>
      <c r="B209" s="131" t="str">
        <f>A197</f>
        <v>33</v>
      </c>
      <c r="C209" s="131"/>
      <c r="D209" s="131"/>
      <c r="E209" s="131" t="str">
        <f>B196</f>
        <v>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731.99395129851496</v>
      </c>
      <c r="B212" s="133">
        <f>B167</f>
        <v>16.829999999999998</v>
      </c>
      <c r="C212" s="131"/>
      <c r="D212" s="131"/>
      <c r="E212" s="133">
        <f>E167</f>
        <v>748.823951298515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20950</v>
      </c>
      <c r="B215" s="34">
        <f>B173</f>
        <v>4190</v>
      </c>
      <c r="C215" s="38"/>
      <c r="D215" s="21"/>
      <c r="E215" s="137">
        <f>E173</f>
        <v>340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25480</v>
      </c>
      <c r="B218" s="34">
        <f>B176</f>
        <v>0</v>
      </c>
      <c r="C218" s="34"/>
      <c r="D218" s="21"/>
      <c r="E218" s="34">
        <f>E176</f>
        <v>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0</v>
      </c>
      <c r="B221" s="34">
        <f>B179</f>
        <v>0</v>
      </c>
      <c r="C221" s="34"/>
      <c r="D221" s="21"/>
      <c r="E221" s="34">
        <f>E179</f>
        <v>25480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5143.8064415524786</v>
      </c>
      <c r="B224" s="34">
        <f>B182</f>
        <v>1000</v>
      </c>
      <c r="C224" s="34"/>
      <c r="D224" s="21"/>
      <c r="E224" s="34">
        <f>E182</f>
        <v>31633.806441552479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1000</v>
      </c>
      <c r="C227" s="34"/>
      <c r="D227" s="21"/>
      <c r="E227" s="34">
        <f>B59</f>
        <v>32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731.99395129851496</v>
      </c>
      <c r="B230" s="34">
        <f>B167</f>
        <v>16.829999999999998</v>
      </c>
      <c r="C230" s="38"/>
      <c r="D230" s="38"/>
      <c r="E230" s="34">
        <f>E167</f>
        <v>748.823951298515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198</v>
      </c>
      <c r="B232" s="28" t="s">
        <v>220</v>
      </c>
      <c r="C232" s="28"/>
      <c r="D232" s="28"/>
      <c r="E232" s="28" t="s">
        <v>221</v>
      </c>
      <c r="F232" s="21"/>
      <c r="G232" s="21"/>
      <c r="H232" s="29"/>
    </row>
    <row r="233" spans="1:8">
      <c r="A233" s="94">
        <f>E170</f>
        <v>7200</v>
      </c>
      <c r="B233" s="34">
        <f>E185</f>
        <v>7210</v>
      </c>
      <c r="C233" s="28"/>
      <c r="D233" s="28"/>
      <c r="E233" s="34">
        <f>A188</f>
        <v>6.033599999999999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142</v>
      </c>
      <c r="B235" s="34"/>
      <c r="C235" s="28"/>
      <c r="D235" s="28"/>
      <c r="E235" s="34"/>
      <c r="F235" s="21"/>
      <c r="G235" s="21"/>
      <c r="H235" s="29"/>
    </row>
    <row r="236" spans="1:8">
      <c r="A236" s="94"/>
      <c r="B236" s="34"/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0</v>
      </c>
      <c r="B240" s="34">
        <f>B188</f>
        <v>764.4</v>
      </c>
      <c r="C240" s="28"/>
      <c r="D240" s="28"/>
      <c r="E240" s="34">
        <f>E188</f>
        <v>7.48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B191</f>
        <v>781.88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B63</f>
        <v>6.5000000000000002E-2</v>
      </c>
      <c r="C253" s="144"/>
      <c r="D253" s="374" t="s">
        <v>226</v>
      </c>
      <c r="E253" s="374"/>
      <c r="F253" s="143">
        <f>B83</f>
        <v>0.13700000000000001</v>
      </c>
      <c r="G253" s="21"/>
      <c r="H253" s="29"/>
    </row>
    <row r="254" spans="1:8">
      <c r="A254" s="139" t="s">
        <v>227</v>
      </c>
      <c r="B254" s="145">
        <f>(E182-B182)-(B201-B182-A185)</f>
        <v>3282.7664415524778</v>
      </c>
      <c r="C254" s="144"/>
      <c r="D254" s="374" t="s">
        <v>228</v>
      </c>
      <c r="E254" s="374"/>
      <c r="F254" s="146">
        <f>F261+F267+F269+B270+B271</f>
        <v>764.4</v>
      </c>
      <c r="G254" s="21"/>
      <c r="H254" s="29"/>
    </row>
    <row r="255" spans="1:8">
      <c r="A255" s="139" t="s">
        <v>229</v>
      </c>
      <c r="B255" s="146">
        <f>F262+B263</f>
        <v>84.800000000000011</v>
      </c>
      <c r="C255" s="144"/>
      <c r="D255" s="374" t="s">
        <v>230</v>
      </c>
      <c r="E255" s="374"/>
      <c r="F255" s="146">
        <f>(B254-F254)+B255</f>
        <v>2603.1664415524779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6.5000000000000002E-2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7.1999999999999995E-2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0.13700000000000001</v>
      </c>
      <c r="C260" s="38"/>
      <c r="D260" s="363" t="s">
        <v>227</v>
      </c>
      <c r="E260" s="363"/>
      <c r="F260" s="115">
        <f>B254</f>
        <v>3282.7664415524778</v>
      </c>
      <c r="G260" s="21"/>
      <c r="H260" s="29"/>
    </row>
    <row r="261" spans="1:8">
      <c r="A261" s="27" t="s">
        <v>233</v>
      </c>
      <c r="B261" s="155">
        <f>B67</f>
        <v>0.03</v>
      </c>
      <c r="C261" s="28"/>
      <c r="D261" s="363" t="s">
        <v>233</v>
      </c>
      <c r="E261" s="363"/>
      <c r="F261" s="119">
        <f>B68</f>
        <v>764.4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74.800000000000011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2603.1664415524779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98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A100:H100"/>
    <mergeCell ref="J100:Q100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G42:H42"/>
    <mergeCell ref="B44:C44"/>
    <mergeCell ref="D44:E44"/>
    <mergeCell ref="B47:C47"/>
    <mergeCell ref="D47:E47"/>
    <mergeCell ref="A51:A52"/>
    <mergeCell ref="B51:C51"/>
    <mergeCell ref="B52:C52"/>
    <mergeCell ref="B53:C53"/>
    <mergeCell ref="B32:C32"/>
    <mergeCell ref="D32:E32"/>
    <mergeCell ref="B35:C35"/>
    <mergeCell ref="D35:E35"/>
    <mergeCell ref="B38:C38"/>
    <mergeCell ref="D38:E38"/>
    <mergeCell ref="J38:K38"/>
    <mergeCell ref="B41:C41"/>
    <mergeCell ref="D41:E41"/>
    <mergeCell ref="B18:F18"/>
    <mergeCell ref="B19:F19"/>
    <mergeCell ref="B20:F20"/>
    <mergeCell ref="A21:F21"/>
    <mergeCell ref="A24:E24"/>
    <mergeCell ref="A26:E26"/>
    <mergeCell ref="B29:C29"/>
    <mergeCell ref="D29:E29"/>
    <mergeCell ref="B30:C30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A1:H1"/>
    <mergeCell ref="B2:C2"/>
    <mergeCell ref="D2:E2"/>
    <mergeCell ref="F2:G2"/>
    <mergeCell ref="B3:C3"/>
    <mergeCell ref="D3:E3"/>
    <mergeCell ref="F3:G3"/>
    <mergeCell ref="B4:C4"/>
    <mergeCell ref="D4:E4"/>
    <mergeCell ref="F4:G4"/>
  </mergeCells>
  <dataValidations count="4">
    <dataValidation type="list" allowBlank="1" showErrorMessage="1" sqref="B38" xr:uid="{00000000-0002-0000-3600-000001000000}">
      <formula1>$Z$19:$Z$20</formula1>
      <formula2>0</formula2>
    </dataValidation>
    <dataValidation type="list" allowBlank="1" showInputMessage="1" showErrorMessage="1" sqref="A18:A20 B105 C108:D108 A144:A146" xr:uid="{00000000-0002-0000-3600-000002000000}">
      <formula1>#REF!</formula1>
      <formula2>0</formula2>
    </dataValidation>
    <dataValidation type="list" allowBlank="1" showInputMessage="1" showErrorMessage="1" sqref="E105 A111" xr:uid="{00000000-0002-0000-3600-000003000000}">
      <formula1>"YES,NO"</formula1>
      <formula2>0</formula2>
    </dataValidation>
    <dataValidation type="list" allowBlank="1" showInputMessage="1" showErrorMessage="1" sqref="B108" xr:uid="{00000000-0002-0000-3600-000004000000}">
      <formula1>"A1 Credit,Limited Credit"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36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Z1000"/>
  <sheetViews>
    <sheetView topLeftCell="A67" zoomScale="110" zoomScaleNormal="110" workbookViewId="0">
      <selection activeCell="D157" sqref="D157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87">
        <v>20255</v>
      </c>
      <c r="C3" s="187">
        <v>0</v>
      </c>
      <c r="D3" s="187">
        <v>0</v>
      </c>
      <c r="E3" s="289">
        <v>0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56">
        <v>0</v>
      </c>
      <c r="C4" s="56">
        <v>0</v>
      </c>
      <c r="D4" s="56">
        <v>0</v>
      </c>
      <c r="E4" s="214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>
        <v>0</v>
      </c>
      <c r="C5" s="187">
        <v>0</v>
      </c>
      <c r="D5" s="187">
        <v>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0</v>
      </c>
      <c r="C6" s="28">
        <f>(C3*C4/100)+C5</f>
        <v>0</v>
      </c>
      <c r="D6" s="28">
        <f>(D3*D4/100)+D5</f>
        <v>0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20255</v>
      </c>
      <c r="C7" s="28">
        <f>C3-C6</f>
        <v>0</v>
      </c>
      <c r="D7" s="28">
        <f>D3-D6</f>
        <v>0</v>
      </c>
      <c r="E7" s="29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55"/>
      <c r="H8" s="55"/>
      <c r="I8" s="14" t="s">
        <v>17</v>
      </c>
      <c r="J8" s="11">
        <f>E13+E14</f>
        <v>340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/>
      <c r="C9" s="408"/>
      <c r="D9" s="408"/>
      <c r="E9" s="320">
        <f>B7+C7+D7+E3</f>
        <v>20255</v>
      </c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>
        <v>695</v>
      </c>
      <c r="F10" s="55"/>
      <c r="G10" s="55"/>
      <c r="H10" s="55"/>
      <c r="I10" s="16" t="s">
        <v>15</v>
      </c>
      <c r="J10" s="11">
        <f>E15-E11-J8</f>
        <v>20950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/>
      <c r="C11" s="409"/>
      <c r="D11" s="409"/>
      <c r="E11" s="29">
        <f>(E9+E10)*20%</f>
        <v>4190</v>
      </c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/>
      <c r="C13" s="409"/>
      <c r="D13" s="409"/>
      <c r="E13" s="289">
        <v>275</v>
      </c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>
        <v>65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291">
        <f>(E9+E10+E13+E14+E11)-E12</f>
        <v>25480</v>
      </c>
      <c r="F15" s="55"/>
      <c r="G15" s="17">
        <f>E15</f>
        <v>25480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>
        <v>0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(B3+C3+D3+E3+E10)*1.2</f>
        <v>25140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>
        <v>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25480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0.00</v>
      </c>
      <c r="E32" s="381"/>
      <c r="F32" s="55"/>
      <c r="G32" s="168" t="s">
        <v>253</v>
      </c>
      <c r="H32" s="166" t="str">
        <f>A41</f>
        <v>0.00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399</v>
      </c>
      <c r="B41" s="383">
        <f>IF(B38="YES",D38+A41,D38)</f>
        <v>500</v>
      </c>
      <c r="C41" s="383"/>
      <c r="D41" s="385">
        <v>6000</v>
      </c>
      <c r="E41" s="385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 t="str">
        <f>H32</f>
        <v>0.00</v>
      </c>
      <c r="I44" s="276">
        <f>((A41*(B35-1))+D32)/B35</f>
        <v>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501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B65" s="158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/>
      <c r="B66" s="158"/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25140</v>
      </c>
      <c r="C67" s="158"/>
      <c r="D67" s="158"/>
      <c r="E67" s="159"/>
      <c r="F67" s="55"/>
      <c r="G67" s="157" t="s">
        <v>27</v>
      </c>
      <c r="H67" s="28">
        <f>G18</f>
        <v>25140</v>
      </c>
      <c r="I67" s="158"/>
      <c r="J67" s="158"/>
      <c r="K67" s="159"/>
      <c r="L67" s="55"/>
      <c r="M67" s="157" t="s">
        <v>27</v>
      </c>
      <c r="N67" s="28">
        <f>G18</f>
        <v>25140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B67*B69</f>
        <v>1759.8000000000002</v>
      </c>
      <c r="C70" s="158">
        <v>10000</v>
      </c>
      <c r="D70" s="28">
        <f>B70-A149</f>
        <v>1759.8000000000002</v>
      </c>
      <c r="E70" s="159">
        <f>D70/12</f>
        <v>146.65</v>
      </c>
      <c r="F70" s="55"/>
      <c r="G70" s="206" t="s">
        <v>102</v>
      </c>
      <c r="H70" s="57">
        <f>H67*H69</f>
        <v>1759.8000000000002</v>
      </c>
      <c r="I70" s="158"/>
      <c r="J70" s="28">
        <f>H70-G151</f>
        <v>1759.8000000000002</v>
      </c>
      <c r="K70" s="159"/>
      <c r="L70" s="55"/>
      <c r="M70" s="206" t="s">
        <v>102</v>
      </c>
      <c r="N70" s="57">
        <f>N67*N69</f>
        <v>1759.8000000000002</v>
      </c>
      <c r="O70" s="158"/>
      <c r="P70" s="28">
        <f>N70-M151</f>
        <v>1759.8000000000002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125.7</v>
      </c>
      <c r="I73" s="158"/>
      <c r="J73" s="28"/>
      <c r="K73" s="159"/>
      <c r="L73" s="55"/>
      <c r="M73" s="206" t="s">
        <v>105</v>
      </c>
      <c r="N73" s="57">
        <f>N67*N72</f>
        <v>125.7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77" t="s">
        <v>285</v>
      </c>
      <c r="B80" s="278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79" t="s">
        <v>286</v>
      </c>
      <c r="B81" s="280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((B80+B81)/12)*(H29-11)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222.22222222222223</v>
      </c>
      <c r="C83" s="158"/>
      <c r="D83" s="28">
        <f>B83</f>
        <v>222.22222222222223</v>
      </c>
      <c r="E83" s="159">
        <f>D83/12</f>
        <v>18.518518518518519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2864.2444444444445</v>
      </c>
      <c r="C87" s="158"/>
      <c r="D87" s="158"/>
      <c r="E87" s="159"/>
      <c r="F87" s="55"/>
      <c r="G87" s="220" t="s">
        <v>114</v>
      </c>
      <c r="H87" s="221">
        <f>SUM(J70:J86)</f>
        <v>4886.3</v>
      </c>
      <c r="I87" s="158"/>
      <c r="J87" s="158"/>
      <c r="K87" s="159"/>
      <c r="L87" s="55"/>
      <c r="M87" s="220" t="s">
        <v>114</v>
      </c>
      <c r="N87" s="221">
        <f>SUM(P70:P86)</f>
        <v>4873.8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238.68703703703704</v>
      </c>
      <c r="C88" s="158"/>
      <c r="D88" s="158"/>
      <c r="E88" s="159"/>
      <c r="F88" s="55"/>
      <c r="G88" s="157" t="s">
        <v>115</v>
      </c>
      <c r="H88" s="29">
        <f>H87/H29</f>
        <v>407.19166666666666</v>
      </c>
      <c r="I88" s="158"/>
      <c r="J88" s="158"/>
      <c r="K88" s="159"/>
      <c r="L88" s="55"/>
      <c r="M88" s="157" t="s">
        <v>115</v>
      </c>
      <c r="N88" s="29">
        <f>N87/H29</f>
        <v>406.15000000000003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8876.2444444444445</v>
      </c>
      <c r="C91" s="158"/>
      <c r="D91" s="158"/>
      <c r="E91" s="159"/>
      <c r="F91" s="55"/>
      <c r="G91" s="209" t="s">
        <v>126</v>
      </c>
      <c r="H91" s="24">
        <f>((H89*H29)+H87)*1.2</f>
        <v>13077.96</v>
      </c>
      <c r="I91" s="158"/>
      <c r="J91" s="158"/>
      <c r="K91" s="159"/>
      <c r="L91" s="55"/>
      <c r="M91" s="209" t="s">
        <v>126</v>
      </c>
      <c r="N91" s="24">
        <f>((N89*H29)+N87)</f>
        <v>10885.8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75.192066693559241</v>
      </c>
      <c r="C92" s="158"/>
      <c r="D92" s="158"/>
      <c r="E92" s="283"/>
      <c r="F92" s="55"/>
      <c r="G92" s="157" t="s">
        <v>127</v>
      </c>
      <c r="H92" s="29">
        <f>(((H89*H29)+H87)/(1-H76))*H76</f>
        <v>92.321218233158547</v>
      </c>
      <c r="I92" s="158"/>
      <c r="J92" s="158"/>
      <c r="K92" s="159"/>
      <c r="L92" s="55"/>
      <c r="M92" s="157" t="s">
        <v>127</v>
      </c>
      <c r="N92" s="29">
        <f>(N91/(1-N76))*N76</f>
        <v>92.215328761597419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8951.436511138003</v>
      </c>
      <c r="C93" s="158"/>
      <c r="D93" s="158"/>
      <c r="E93" s="159"/>
      <c r="F93" s="55"/>
      <c r="G93" s="206" t="s">
        <v>128</v>
      </c>
      <c r="H93" s="57">
        <f>IF(H116="YES",((H91+H92)-K120),(H91+H92))</f>
        <v>15170.281218233158</v>
      </c>
      <c r="I93" s="158"/>
      <c r="J93" s="158"/>
      <c r="K93" s="159"/>
      <c r="L93" s="55"/>
      <c r="M93" s="206" t="s">
        <v>128</v>
      </c>
      <c r="N93" s="57">
        <f>IF(N116="YES",((N91+N92)-K120),(N91+N92))</f>
        <v>12978.015328761596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</f>
        <v>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745.95304259483362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745.95304259483362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 t="s">
        <v>140</v>
      </c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345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>
        <v>199.99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 t="s">
        <v>31</v>
      </c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900</v>
      </c>
      <c r="B108" s="348">
        <v>200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32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5">
        <v>20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>
        <v>0</v>
      </c>
      <c r="C124" s="158"/>
      <c r="D124" s="158"/>
      <c r="E124" s="29">
        <f>A108</f>
        <v>900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2080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745.95304259483362</v>
      </c>
      <c r="B134" s="232">
        <f>IF(A111="YES",B95,0)</f>
        <v>0</v>
      </c>
      <c r="C134" s="237"/>
      <c r="D134" s="232">
        <f>B97</f>
        <v>745.95304259483362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745.95304259483362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745.95304259483362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0.15288000000000002</v>
      </c>
      <c r="H142" s="34">
        <f>IF(G111="YES",E15*0.000002,0)</f>
        <v>5.0959999999999998E-2</v>
      </c>
      <c r="I142" s="34"/>
      <c r="J142" s="34">
        <f>G142+H142</f>
        <v>0.20384000000000002</v>
      </c>
      <c r="K142" s="90"/>
      <c r="L142" s="55"/>
      <c r="M142" s="94">
        <f>E15*0.000006</f>
        <v>0.15288000000000002</v>
      </c>
      <c r="N142" s="34">
        <f>IF(M111="YES",E15*0.000002,0)</f>
        <v>5.0959999999999998E-2</v>
      </c>
      <c r="O142" s="34"/>
      <c r="P142" s="34">
        <f>M142+N142</f>
        <v>0.20384000000000002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745.95304259483362</v>
      </c>
      <c r="B143" s="34">
        <f>IF(A111="YES",B95,0)</f>
        <v>0</v>
      </c>
      <c r="C143" s="158"/>
      <c r="D143" s="34">
        <f>B97</f>
        <v>745.95304259483362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104.75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104.75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15.084</v>
      </c>
      <c r="B146" s="251">
        <f>G18*0.000002*100</f>
        <v>5.0279999999999996</v>
      </c>
      <c r="C146" s="252"/>
      <c r="D146" s="251">
        <f>A146+B146</f>
        <v>20.111999999999998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0</v>
      </c>
      <c r="H148" s="34">
        <f>G108-100</f>
        <v>139.988</v>
      </c>
      <c r="I148" s="34"/>
      <c r="J148" s="34">
        <f>(H145+J145+G148+H148)-H151</f>
        <v>1324.7380000000001</v>
      </c>
      <c r="K148" s="90"/>
      <c r="L148" s="55"/>
      <c r="M148" s="94">
        <f>IF(M111="YES",((A41*N111)*0.1)*(M133),0)</f>
        <v>0</v>
      </c>
      <c r="N148" s="34">
        <f>M108-100</f>
        <v>99.990000000000009</v>
      </c>
      <c r="O148" s="34"/>
      <c r="P148" s="34">
        <f>(N145+P145+M148+N148)-N151</f>
        <v>1284.74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900</v>
      </c>
      <c r="C149" s="158"/>
      <c r="D149" s="119">
        <f>B108</f>
        <v>200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200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325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745.95304259483362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745.95304259483362</v>
      </c>
      <c r="B177" s="232">
        <f>IF(A111="YES",B95,0)</f>
        <v>0</v>
      </c>
      <c r="C177" s="237"/>
      <c r="D177" s="232">
        <f>B91</f>
        <v>8876.2444444444445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745.95304259483362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745.95304259483362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745.95304259483362</v>
      </c>
      <c r="B186" s="34">
        <f>IF(A111="YES",B95,0)</f>
        <v>0</v>
      </c>
      <c r="C186" s="158"/>
      <c r="D186" s="34">
        <f>B97</f>
        <v>745.95304259483362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15.084</v>
      </c>
      <c r="B189" s="251">
        <f>G18*0.000002*100</f>
        <v>5.0279999999999996</v>
      </c>
      <c r="C189" s="252"/>
      <c r="D189" s="251">
        <f>A189+B189</f>
        <v>20.111999999999998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900</v>
      </c>
      <c r="C192" s="158"/>
      <c r="D192" s="119">
        <f>B108</f>
        <v>200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200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325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1759.8000000000002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445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2104.8000000000002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1759.8000000000002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20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2104.8000000000002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75.192066693559241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3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G100:K100"/>
    <mergeCell ref="M100:Q100"/>
    <mergeCell ref="A102:E102"/>
    <mergeCell ref="G102:K102"/>
    <mergeCell ref="M102:Q102"/>
    <mergeCell ref="A56:A57"/>
    <mergeCell ref="B56:C56"/>
    <mergeCell ref="B57:C57"/>
    <mergeCell ref="B58:C58"/>
    <mergeCell ref="A100:E100"/>
    <mergeCell ref="G42:H42"/>
    <mergeCell ref="B44:C44"/>
    <mergeCell ref="D44:E44"/>
    <mergeCell ref="B47:C47"/>
    <mergeCell ref="D47:E47"/>
    <mergeCell ref="B35:C35"/>
    <mergeCell ref="D35:E35"/>
    <mergeCell ref="B38:C38"/>
    <mergeCell ref="D38:E38"/>
    <mergeCell ref="B41:C41"/>
    <mergeCell ref="D41:E41"/>
    <mergeCell ref="A26:E26"/>
    <mergeCell ref="B29:C29"/>
    <mergeCell ref="D29:E29"/>
    <mergeCell ref="B30:C30"/>
    <mergeCell ref="B32:C32"/>
    <mergeCell ref="D32:E32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3">
    <dataValidation type="list" allowBlank="1" showErrorMessage="1" sqref="B38 A111 G111 M111 O113 B116 H116 N116" xr:uid="{00000000-0002-0000-3700-000001000000}">
      <formula1>$Z$19:$Z$20</formula1>
      <formula2>0</formula2>
    </dataValidation>
    <dataValidation type="list" allowBlank="1" showErrorMessage="1" sqref="A18:A20" xr:uid="{00000000-0002-0000-3700-000002000000}">
      <formula1>$Y$16:$Y$18</formula1>
      <formula2>0</formula2>
    </dataValidation>
    <dataValidation type="list" allowBlank="1" showErrorMessage="1" sqref="H105 N105" xr:uid="{00000000-0002-0000-3700-000003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37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3700-000004000000}">
          <x14:formula1>
            <xm:f>'FL (Formula 3) - BCH, PCH, FL'!$Z$103:$Z$111</xm:f>
          </x14:formula1>
          <x14:formula2>
            <xm:f>0</xm:f>
          </x14:formula2>
          <xm:sqref>B65 B105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Z1000"/>
  <sheetViews>
    <sheetView tabSelected="1" topLeftCell="A211" zoomScale="110" zoomScaleNormal="110" workbookViewId="0">
      <selection activeCell="B219" sqref="B219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87">
        <v>20255</v>
      </c>
      <c r="C3" s="187">
        <v>0</v>
      </c>
      <c r="D3" s="187">
        <v>0</v>
      </c>
      <c r="E3" s="289">
        <v>0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56">
        <v>0</v>
      </c>
      <c r="C4" s="56">
        <v>0</v>
      </c>
      <c r="D4" s="56">
        <v>0</v>
      </c>
      <c r="E4" s="214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>
        <v>0</v>
      </c>
      <c r="C5" s="187">
        <v>0</v>
      </c>
      <c r="D5" s="187">
        <v>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0</v>
      </c>
      <c r="C6" s="28">
        <f>(C3*C4/100)+C5</f>
        <v>0</v>
      </c>
      <c r="D6" s="28">
        <f>(D3*D4/100)+D5</f>
        <v>0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20255</v>
      </c>
      <c r="C7" s="28">
        <f>C3-C6</f>
        <v>0</v>
      </c>
      <c r="D7" s="28">
        <f>D3-D6</f>
        <v>0</v>
      </c>
      <c r="E7" s="29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55"/>
      <c r="H8" s="55"/>
      <c r="I8" s="14" t="s">
        <v>17</v>
      </c>
      <c r="J8" s="11">
        <f>E13+E14</f>
        <v>340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/>
      <c r="C9" s="408"/>
      <c r="D9" s="408"/>
      <c r="E9" s="320">
        <f>B7+C7+D7+E3</f>
        <v>20255</v>
      </c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>
        <v>695</v>
      </c>
      <c r="F10" s="55"/>
      <c r="G10" s="55"/>
      <c r="H10" s="55"/>
      <c r="I10" s="16" t="s">
        <v>15</v>
      </c>
      <c r="J10" s="11">
        <f>E15-E11-J8</f>
        <v>20950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/>
      <c r="C11" s="409"/>
      <c r="D11" s="409"/>
      <c r="E11" s="29">
        <f>(E9+E10)*20%</f>
        <v>4190</v>
      </c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/>
      <c r="C13" s="409"/>
      <c r="D13" s="409"/>
      <c r="E13" s="289">
        <v>275</v>
      </c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>
        <v>65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291">
        <f>(E9+E10+E13+E14+E11)-E12</f>
        <v>25480</v>
      </c>
      <c r="F15" s="55"/>
      <c r="G15" s="17">
        <f>E15</f>
        <v>25480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>
        <v>0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(B3+C3+D3+E3+E10)*1.2</f>
        <v>25140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>
        <v>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25480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0</v>
      </c>
      <c r="E32" s="381"/>
      <c r="F32" s="55"/>
      <c r="G32" s="168" t="s">
        <v>253</v>
      </c>
      <c r="H32" s="166">
        <f>A41</f>
        <v>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386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>
        <v>0</v>
      </c>
      <c r="B41" s="383" t="str">
        <f>IF(B38="YES",D38+A41,D38)</f>
        <v>500</v>
      </c>
      <c r="C41" s="383"/>
      <c r="D41" s="385">
        <v>6000</v>
      </c>
      <c r="E41" s="385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0</v>
      </c>
      <c r="I44" s="276">
        <f>((A41*(B35-1))+D32)/B35</f>
        <v>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501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/>
      <c r="B66" s="158"/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25140</v>
      </c>
      <c r="C67" s="158"/>
      <c r="D67" s="158"/>
      <c r="E67" s="159"/>
      <c r="F67" s="55"/>
      <c r="G67" s="157" t="s">
        <v>27</v>
      </c>
      <c r="H67" s="28">
        <f>G18</f>
        <v>25140</v>
      </c>
      <c r="I67" s="158"/>
      <c r="J67" s="158"/>
      <c r="K67" s="159"/>
      <c r="L67" s="55"/>
      <c r="M67" s="157" t="s">
        <v>27</v>
      </c>
      <c r="N67" s="28">
        <f>G18</f>
        <v>25140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B67*B69</f>
        <v>1759.8000000000002</v>
      </c>
      <c r="C70" s="158">
        <v>10000</v>
      </c>
      <c r="D70" s="28">
        <f>B70-A149</f>
        <v>1759.8000000000002</v>
      </c>
      <c r="E70" s="159">
        <f>D70/12</f>
        <v>146.65</v>
      </c>
      <c r="F70" s="55"/>
      <c r="G70" s="206" t="s">
        <v>102</v>
      </c>
      <c r="H70" s="57">
        <f>H67*H69</f>
        <v>1759.8000000000002</v>
      </c>
      <c r="I70" s="158"/>
      <c r="J70" s="28">
        <f>H70-G151</f>
        <v>1759.8000000000002</v>
      </c>
      <c r="K70" s="159"/>
      <c r="L70" s="55"/>
      <c r="M70" s="206" t="s">
        <v>102</v>
      </c>
      <c r="N70" s="57">
        <f>N67*N69</f>
        <v>1759.8000000000002</v>
      </c>
      <c r="O70" s="158"/>
      <c r="P70" s="28">
        <f>N70-M151</f>
        <v>1759.8000000000002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125.7</v>
      </c>
      <c r="I73" s="158"/>
      <c r="J73" s="28"/>
      <c r="K73" s="159"/>
      <c r="L73" s="55"/>
      <c r="M73" s="206" t="s">
        <v>105</v>
      </c>
      <c r="N73" s="57">
        <f>N67*N72</f>
        <v>125.7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((B80+B81)/12)*(H29-11)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3086.4666666666667</v>
      </c>
      <c r="C87" s="158"/>
      <c r="D87" s="158"/>
      <c r="E87" s="159"/>
      <c r="F87" s="55"/>
      <c r="G87" s="220" t="s">
        <v>114</v>
      </c>
      <c r="H87" s="221">
        <f>SUM(J70:J86)</f>
        <v>4886.3</v>
      </c>
      <c r="I87" s="158"/>
      <c r="J87" s="158"/>
      <c r="K87" s="159"/>
      <c r="L87" s="55"/>
      <c r="M87" s="220" t="s">
        <v>114</v>
      </c>
      <c r="N87" s="221">
        <f>SUM(P70:P86)</f>
        <v>4873.8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257.20555555555558</v>
      </c>
      <c r="C88" s="158"/>
      <c r="D88" s="158"/>
      <c r="E88" s="159"/>
      <c r="F88" s="55"/>
      <c r="G88" s="157" t="s">
        <v>115</v>
      </c>
      <c r="H88" s="29">
        <f>H87/H29</f>
        <v>407.19166666666666</v>
      </c>
      <c r="I88" s="158"/>
      <c r="J88" s="158"/>
      <c r="K88" s="159"/>
      <c r="L88" s="55"/>
      <c r="M88" s="157" t="s">
        <v>115</v>
      </c>
      <c r="N88" s="29">
        <f>N87/H29</f>
        <v>406.15000000000003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((B89*H29)+B87)*1.2</f>
        <v>10918.16</v>
      </c>
      <c r="C91" s="158"/>
      <c r="D91" s="158"/>
      <c r="E91" s="159"/>
      <c r="F91" s="55"/>
      <c r="G91" s="209" t="s">
        <v>126</v>
      </c>
      <c r="H91" s="24">
        <f>((H89*H29)+H87)*1.2</f>
        <v>13077.96</v>
      </c>
      <c r="I91" s="158"/>
      <c r="J91" s="158"/>
      <c r="K91" s="159"/>
      <c r="L91" s="55"/>
      <c r="M91" s="209" t="s">
        <v>126</v>
      </c>
      <c r="N91" s="24">
        <f>((N89*H29)+N87)</f>
        <v>10885.8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77.074546187979024</v>
      </c>
      <c r="C92" s="158"/>
      <c r="D92" s="158"/>
      <c r="E92" s="283"/>
      <c r="F92" s="55"/>
      <c r="G92" s="157" t="s">
        <v>127</v>
      </c>
      <c r="H92" s="29">
        <f>(((H89*H29)+H87)/(1-H76))*H76</f>
        <v>92.321218233158547</v>
      </c>
      <c r="I92" s="158"/>
      <c r="J92" s="158"/>
      <c r="K92" s="159"/>
      <c r="L92" s="55"/>
      <c r="M92" s="157" t="s">
        <v>127</v>
      </c>
      <c r="N92" s="29">
        <f>(N91/(1-N76))*N76</f>
        <v>92.215328761597419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10995.23454618798</v>
      </c>
      <c r="C93" s="158"/>
      <c r="D93" s="158"/>
      <c r="E93" s="159"/>
      <c r="F93" s="55"/>
      <c r="G93" s="206" t="s">
        <v>128</v>
      </c>
      <c r="H93" s="57">
        <f>IF(H116="YES",((H91+H92)-K120),(H91+H92))</f>
        <v>15170.281218233158</v>
      </c>
      <c r="I93" s="158"/>
      <c r="J93" s="158"/>
      <c r="K93" s="159"/>
      <c r="L93" s="55"/>
      <c r="M93" s="206" t="s">
        <v>128</v>
      </c>
      <c r="N93" s="57">
        <f>IF(N116="YES",((N91+N92)-K120),(N91+N92))</f>
        <v>12978.015328761596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IF(B105=Z104,(((H44*B35)+(H44*B35)*(B111/100))/(B64)),(((H44*B35)+(H44*B35)*(B111/100))/(B63+B64)))*1.2</f>
        <v>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916.26954551566496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916.26954551566496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 t="s">
        <v>140</v>
      </c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290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>
        <v>239.99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 t="s">
        <v>31</v>
      </c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900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32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5">
        <v>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>
        <v>0</v>
      </c>
      <c r="C124" s="158"/>
      <c r="D124" s="158"/>
      <c r="E124" s="29">
        <f>A108</f>
        <v>900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(E124+E123)-E120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916.26954551566496</v>
      </c>
      <c r="B134" s="232">
        <f>IF(A111="YES",B95,0)</f>
        <v>0</v>
      </c>
      <c r="C134" s="237"/>
      <c r="D134" s="232">
        <f>B97</f>
        <v>916.26954551566496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916.26954551566496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916.26954551566496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0.15288000000000002</v>
      </c>
      <c r="H142" s="34">
        <f>IF(G111="YES",E15*0.000002,0)</f>
        <v>5.0959999999999998E-2</v>
      </c>
      <c r="I142" s="34"/>
      <c r="J142" s="34">
        <f>G142+H142</f>
        <v>0.20384000000000002</v>
      </c>
      <c r="K142" s="90"/>
      <c r="L142" s="55"/>
      <c r="M142" s="94">
        <f>E15*0.000006</f>
        <v>0.15288000000000002</v>
      </c>
      <c r="N142" s="34">
        <f>IF(M111="YES",E15*0.000002,0)</f>
        <v>5.0959999999999998E-2</v>
      </c>
      <c r="O142" s="34"/>
      <c r="P142" s="34">
        <f>M142+N142</f>
        <v>0.20384000000000002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916.26954551566496</v>
      </c>
      <c r="B143" s="34">
        <f>IF(A111="YES",B95,0)</f>
        <v>0</v>
      </c>
      <c r="C143" s="158"/>
      <c r="D143" s="34">
        <f>B97</f>
        <v>916.26954551566496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104.75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104.75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(G18*0.000006)*1.2*100</f>
        <v>18.1008</v>
      </c>
      <c r="B146" s="251">
        <f>G18*0.000002*1.2*100</f>
        <v>6.033599999999999</v>
      </c>
      <c r="C146" s="252"/>
      <c r="D146" s="251">
        <f>A146+B146</f>
        <v>24.134399999999999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0</v>
      </c>
      <c r="H148" s="34">
        <f>G108-100</f>
        <v>139.988</v>
      </c>
      <c r="I148" s="34"/>
      <c r="J148" s="34">
        <f>(H145+J145+G148+H148)-H151</f>
        <v>1324.7380000000001</v>
      </c>
      <c r="K148" s="90"/>
      <c r="L148" s="55"/>
      <c r="M148" s="94">
        <f>IF(M111="YES",((A41*N111)*0.1)*(M133),0)</f>
        <v>0</v>
      </c>
      <c r="N148" s="34">
        <f>M108-100</f>
        <v>99.990000000000009</v>
      </c>
      <c r="O148" s="34"/>
      <c r="P148" s="34">
        <f>(N145+P145+M148+N148)-N151</f>
        <v>1284.74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900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916.26954551566496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916.26954551566496</v>
      </c>
      <c r="B177" s="232">
        <f>IF(A111="YES",B95,0)</f>
        <v>0</v>
      </c>
      <c r="C177" s="237"/>
      <c r="D177" s="232">
        <f>B91</f>
        <v>10918.16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916.26954551566496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916.26954551566496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916.26954551566496</v>
      </c>
      <c r="B186" s="34">
        <f>IF(A111="YES",B95,0)</f>
        <v>0</v>
      </c>
      <c r="C186" s="158"/>
      <c r="D186" s="34">
        <f>B97</f>
        <v>916.26954551566496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(G18*0.000006)*1.2*100</f>
        <v>18.1008</v>
      </c>
      <c r="B189" s="251">
        <f>G18*0.000002*1.2*100</f>
        <v>6.033599999999999</v>
      </c>
      <c r="C189" s="252"/>
      <c r="D189" s="251">
        <f>A189+B189</f>
        <v>24.134399999999999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900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1759.8000000000002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465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2124.8000000000002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1759.8000000000002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2124.8000000000002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77.074546187979024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3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G100:K100"/>
    <mergeCell ref="M100:Q100"/>
    <mergeCell ref="A102:E102"/>
    <mergeCell ref="G102:K102"/>
    <mergeCell ref="M102:Q102"/>
    <mergeCell ref="A56:A57"/>
    <mergeCell ref="B56:C56"/>
    <mergeCell ref="B57:C57"/>
    <mergeCell ref="B58:C58"/>
    <mergeCell ref="A100:E100"/>
    <mergeCell ref="G42:H42"/>
    <mergeCell ref="B44:C44"/>
    <mergeCell ref="D44:E44"/>
    <mergeCell ref="B47:C47"/>
    <mergeCell ref="D47:E47"/>
    <mergeCell ref="B35:C35"/>
    <mergeCell ref="D35:E35"/>
    <mergeCell ref="B38:C38"/>
    <mergeCell ref="D38:E38"/>
    <mergeCell ref="B41:C41"/>
    <mergeCell ref="D41:E41"/>
    <mergeCell ref="A26:E26"/>
    <mergeCell ref="B29:C29"/>
    <mergeCell ref="D29:E29"/>
    <mergeCell ref="B30:C30"/>
    <mergeCell ref="B32:C32"/>
    <mergeCell ref="D32:E32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3">
    <dataValidation type="list" allowBlank="1" showErrorMessage="1" sqref="B38 A111 G111 M111 O113 B116 H116 N116" xr:uid="{00000000-0002-0000-3800-000001000000}">
      <formula1>$Z$19:$Z$20</formula1>
      <formula2>0</formula2>
    </dataValidation>
    <dataValidation type="list" allowBlank="1" showErrorMessage="1" sqref="A18:A20" xr:uid="{00000000-0002-0000-3800-000002000000}">
      <formula1>$Y$16:$Y$18</formula1>
      <formula2>0</formula2>
    </dataValidation>
    <dataValidation type="list" allowBlank="1" showErrorMessage="1" sqref="H105 N105" xr:uid="{00000000-0002-0000-3800-000003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38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3800-000004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Z1000"/>
  <sheetViews>
    <sheetView topLeftCell="A187" zoomScale="110" zoomScaleNormal="110" workbookViewId="0">
      <selection activeCell="D157" sqref="D157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87">
        <v>20255</v>
      </c>
      <c r="C3" s="187">
        <v>0</v>
      </c>
      <c r="D3" s="187">
        <v>0</v>
      </c>
      <c r="E3" s="289">
        <v>0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56">
        <v>0</v>
      </c>
      <c r="C4" s="56">
        <v>0</v>
      </c>
      <c r="D4" s="56">
        <v>0</v>
      </c>
      <c r="E4" s="214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>
        <v>0</v>
      </c>
      <c r="C5" s="187">
        <v>0</v>
      </c>
      <c r="D5" s="187">
        <v>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0</v>
      </c>
      <c r="C6" s="28">
        <f>(C3*C4/100)+C5</f>
        <v>0</v>
      </c>
      <c r="D6" s="28">
        <f>(D3*D4/100)+D5</f>
        <v>0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20255</v>
      </c>
      <c r="C7" s="28">
        <f>C3-C6</f>
        <v>0</v>
      </c>
      <c r="D7" s="28">
        <f>D3-D6</f>
        <v>0</v>
      </c>
      <c r="E7" s="29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55"/>
      <c r="H8" s="55"/>
      <c r="I8" s="14" t="s">
        <v>17</v>
      </c>
      <c r="J8" s="11">
        <f>E13+E14</f>
        <v>340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>
        <v>23125</v>
      </c>
      <c r="C9" s="408"/>
      <c r="D9" s="408"/>
      <c r="E9" s="320">
        <f>B7+C7+D7+E3</f>
        <v>20255</v>
      </c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>
        <v>695</v>
      </c>
      <c r="F10" s="55"/>
      <c r="G10" s="55"/>
      <c r="H10" s="55"/>
      <c r="I10" s="16" t="s">
        <v>15</v>
      </c>
      <c r="J10" s="11">
        <f>E15-E11-J8</f>
        <v>20950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>
        <v>0</v>
      </c>
      <c r="C11" s="409"/>
      <c r="D11" s="409"/>
      <c r="E11" s="29">
        <f>(E9+E10)*20%</f>
        <v>4190</v>
      </c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>
        <v>0</v>
      </c>
      <c r="C13" s="409"/>
      <c r="D13" s="409"/>
      <c r="E13" s="289">
        <v>275</v>
      </c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>
        <v>65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291">
        <f>(E9+E10+E13+E14+E11)-E12</f>
        <v>25480</v>
      </c>
      <c r="F15" s="55"/>
      <c r="G15" s="17">
        <f>E15</f>
        <v>25480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>
        <v>0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(B3+C3+D3+E3+E10)*1.2</f>
        <v>25140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>
        <v>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25480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0.00</v>
      </c>
      <c r="E32" s="381"/>
      <c r="F32" s="55"/>
      <c r="G32" s="168" t="s">
        <v>253</v>
      </c>
      <c r="H32" s="166" t="str">
        <f>A41</f>
        <v>0.00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399</v>
      </c>
      <c r="B41" s="383">
        <f>IF(B38="YES",D38+A41,D38)</f>
        <v>500</v>
      </c>
      <c r="C41" s="383"/>
      <c r="D41" s="385">
        <v>6000</v>
      </c>
      <c r="E41" s="385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 t="str">
        <f>H32</f>
        <v>0.00</v>
      </c>
      <c r="I44" s="276">
        <f>((A41*(B35-1))+D32)/B35</f>
        <v>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501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/>
      <c r="B66" s="158"/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25140</v>
      </c>
      <c r="C67" s="158"/>
      <c r="D67" s="158"/>
      <c r="E67" s="159"/>
      <c r="F67" s="55"/>
      <c r="G67" s="157" t="s">
        <v>27</v>
      </c>
      <c r="H67" s="28">
        <f>G18</f>
        <v>25140</v>
      </c>
      <c r="I67" s="158"/>
      <c r="J67" s="158"/>
      <c r="K67" s="159"/>
      <c r="L67" s="55"/>
      <c r="M67" s="157" t="s">
        <v>27</v>
      </c>
      <c r="N67" s="28">
        <f>G18</f>
        <v>25140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B67*B69</f>
        <v>1759.8000000000002</v>
      </c>
      <c r="C70" s="158">
        <v>10000</v>
      </c>
      <c r="D70" s="28">
        <f>B70-A149</f>
        <v>1759.8000000000002</v>
      </c>
      <c r="E70" s="159">
        <f>D70/12</f>
        <v>146.65</v>
      </c>
      <c r="F70" s="55"/>
      <c r="G70" s="206" t="s">
        <v>102</v>
      </c>
      <c r="H70" s="57">
        <f>H67*H69</f>
        <v>1759.8000000000002</v>
      </c>
      <c r="I70" s="158"/>
      <c r="J70" s="28">
        <f>H70-G151</f>
        <v>1759.8000000000002</v>
      </c>
      <c r="K70" s="159"/>
      <c r="L70" s="55"/>
      <c r="M70" s="206" t="s">
        <v>102</v>
      </c>
      <c r="N70" s="57">
        <f>N67*N69</f>
        <v>1759.8000000000002</v>
      </c>
      <c r="O70" s="158"/>
      <c r="P70" s="28">
        <f>N70-M151</f>
        <v>1759.8000000000002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125.7</v>
      </c>
      <c r="I73" s="158"/>
      <c r="J73" s="28"/>
      <c r="K73" s="159"/>
      <c r="L73" s="55"/>
      <c r="M73" s="206" t="s">
        <v>105</v>
      </c>
      <c r="N73" s="57">
        <f>N67*N72</f>
        <v>125.7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((B80+B81)/12)*(H29-11)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3086.4666666666667</v>
      </c>
      <c r="C87" s="158"/>
      <c r="D87" s="158"/>
      <c r="E87" s="159"/>
      <c r="F87" s="55"/>
      <c r="G87" s="220" t="s">
        <v>114</v>
      </c>
      <c r="H87" s="221">
        <f>SUM(J70:J86)</f>
        <v>4886.3</v>
      </c>
      <c r="I87" s="158"/>
      <c r="J87" s="158"/>
      <c r="K87" s="159"/>
      <c r="L87" s="55"/>
      <c r="M87" s="220" t="s">
        <v>114</v>
      </c>
      <c r="N87" s="221">
        <f>SUM(P70:P86)</f>
        <v>4873.8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257.20555555555558</v>
      </c>
      <c r="C88" s="158"/>
      <c r="D88" s="158"/>
      <c r="E88" s="159"/>
      <c r="F88" s="55"/>
      <c r="G88" s="157" t="s">
        <v>115</v>
      </c>
      <c r="H88" s="29">
        <f>H87/H29</f>
        <v>407.19166666666666</v>
      </c>
      <c r="I88" s="158"/>
      <c r="J88" s="158"/>
      <c r="K88" s="159"/>
      <c r="L88" s="55"/>
      <c r="M88" s="157" t="s">
        <v>115</v>
      </c>
      <c r="N88" s="29">
        <f>N87/H29</f>
        <v>406.15000000000003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9098.4666666666672</v>
      </c>
      <c r="C91" s="158"/>
      <c r="D91" s="158"/>
      <c r="E91" s="159"/>
      <c r="F91" s="55"/>
      <c r="G91" s="209" t="s">
        <v>126</v>
      </c>
      <c r="H91" s="24">
        <f>((H89*H29)+H87)*1.2</f>
        <v>13077.96</v>
      </c>
      <c r="I91" s="158"/>
      <c r="J91" s="158"/>
      <c r="K91" s="159"/>
      <c r="L91" s="55"/>
      <c r="M91" s="209" t="s">
        <v>126</v>
      </c>
      <c r="N91" s="24">
        <f>((N89*H29)+N87)</f>
        <v>10885.8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77.074546187979024</v>
      </c>
      <c r="C92" s="158"/>
      <c r="D92" s="158"/>
      <c r="E92" s="283"/>
      <c r="F92" s="55"/>
      <c r="G92" s="157" t="s">
        <v>127</v>
      </c>
      <c r="H92" s="29">
        <f>(((H89*H29)+H87)/(1-H76))*H76</f>
        <v>92.321218233158547</v>
      </c>
      <c r="I92" s="158"/>
      <c r="J92" s="158"/>
      <c r="K92" s="159"/>
      <c r="L92" s="55"/>
      <c r="M92" s="157" t="s">
        <v>127</v>
      </c>
      <c r="N92" s="29">
        <f>(N91/(1-N76))*N76</f>
        <v>92.215328761597419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9175.5412128546468</v>
      </c>
      <c r="C93" s="158"/>
      <c r="D93" s="158"/>
      <c r="E93" s="159"/>
      <c r="F93" s="55"/>
      <c r="G93" s="206" t="s">
        <v>128</v>
      </c>
      <c r="H93" s="57">
        <f>IF(H116="YES",((H91+H92)-K120),(H91+H92))</f>
        <v>15170.281218233158</v>
      </c>
      <c r="I93" s="158"/>
      <c r="J93" s="158"/>
      <c r="K93" s="159"/>
      <c r="L93" s="55"/>
      <c r="M93" s="206" t="s">
        <v>128</v>
      </c>
      <c r="N93" s="57">
        <f>IF(N116="YES",((N91+N92)-K120),(N91+N92))</f>
        <v>12978.015328761596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</f>
        <v>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764.6284344045539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764.6284344045539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750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5">
        <v>20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750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764.6284344045539</v>
      </c>
      <c r="B134" s="232">
        <f>IF(A111="YES",B95,0)</f>
        <v>0</v>
      </c>
      <c r="C134" s="237"/>
      <c r="D134" s="232">
        <f>B97</f>
        <v>764.6284344045539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764.6284344045539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764.6284344045539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0.15288000000000002</v>
      </c>
      <c r="H142" s="34">
        <f>IF(G111="YES",E15*0.000002,0)</f>
        <v>5.0959999999999998E-2</v>
      </c>
      <c r="I142" s="34"/>
      <c r="J142" s="34">
        <f>G142+H142</f>
        <v>0.20384000000000002</v>
      </c>
      <c r="K142" s="90"/>
      <c r="L142" s="55"/>
      <c r="M142" s="94">
        <f>E15*0.000006</f>
        <v>0.15288000000000002</v>
      </c>
      <c r="N142" s="34">
        <f>IF(M111="YES",E15*0.000002,0)</f>
        <v>5.0959999999999998E-2</v>
      </c>
      <c r="O142" s="34"/>
      <c r="P142" s="34">
        <f>M142+N142</f>
        <v>0.20384000000000002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764.6284344045539</v>
      </c>
      <c r="B143" s="34">
        <f>IF(A111="YES",B95,0)</f>
        <v>0</v>
      </c>
      <c r="C143" s="158"/>
      <c r="D143" s="34">
        <f>B97</f>
        <v>764.6284344045539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104.75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104.75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15.084</v>
      </c>
      <c r="B146" s="251">
        <f>G18*0.000002*100</f>
        <v>5.0279999999999996</v>
      </c>
      <c r="C146" s="252"/>
      <c r="D146" s="251">
        <f>A146+B146</f>
        <v>20.111999999999998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0</v>
      </c>
      <c r="H148" s="34">
        <f>G108-100</f>
        <v>139.988</v>
      </c>
      <c r="I148" s="34"/>
      <c r="J148" s="34">
        <f>(H145+J145+G148+H148)-H151</f>
        <v>1324.7380000000001</v>
      </c>
      <c r="K148" s="90"/>
      <c r="L148" s="55"/>
      <c r="M148" s="94">
        <f>IF(M111="YES",((A41*N111)*0.1)*(M133),0)</f>
        <v>0</v>
      </c>
      <c r="N148" s="34">
        <f>M108-100</f>
        <v>99.990000000000009</v>
      </c>
      <c r="O148" s="34"/>
      <c r="P148" s="34">
        <f>(N145+P145+M148+N148)-N151</f>
        <v>1284.74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750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764.6284344045539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764.6284344045539</v>
      </c>
      <c r="B177" s="232">
        <f>IF(A111="YES",B95,0)</f>
        <v>0</v>
      </c>
      <c r="C177" s="237"/>
      <c r="D177" s="232">
        <f>B91</f>
        <v>9098.4666666666672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764.6284344045539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764.6284344045539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764.6284344045539</v>
      </c>
      <c r="B186" s="34">
        <f>IF(A111="YES",B95,0)</f>
        <v>0</v>
      </c>
      <c r="C186" s="158"/>
      <c r="D186" s="34">
        <f>B97</f>
        <v>764.6284344045539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15.084</v>
      </c>
      <c r="B189" s="251">
        <f>G18*0.000002*100</f>
        <v>5.0279999999999996</v>
      </c>
      <c r="C189" s="252"/>
      <c r="D189" s="251">
        <f>A189+B189</f>
        <v>20.111999999999998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750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1759.8000000000002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465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2124.8000000000002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1759.8000000000002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2124.8000000000002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77.074546187979024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3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G100:K100"/>
    <mergeCell ref="M100:Q100"/>
    <mergeCell ref="A102:E102"/>
    <mergeCell ref="G102:K102"/>
    <mergeCell ref="M102:Q102"/>
    <mergeCell ref="A56:A57"/>
    <mergeCell ref="B56:C56"/>
    <mergeCell ref="B57:C57"/>
    <mergeCell ref="B58:C58"/>
    <mergeCell ref="A100:E100"/>
    <mergeCell ref="G42:H42"/>
    <mergeCell ref="B44:C44"/>
    <mergeCell ref="D44:E44"/>
    <mergeCell ref="B47:C47"/>
    <mergeCell ref="D47:E47"/>
    <mergeCell ref="B35:C35"/>
    <mergeCell ref="D35:E35"/>
    <mergeCell ref="B38:C38"/>
    <mergeCell ref="D38:E38"/>
    <mergeCell ref="B41:C41"/>
    <mergeCell ref="D41:E41"/>
    <mergeCell ref="A26:E26"/>
    <mergeCell ref="B29:C29"/>
    <mergeCell ref="D29:E29"/>
    <mergeCell ref="B30:C30"/>
    <mergeCell ref="B32:C32"/>
    <mergeCell ref="D32:E32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3">
    <dataValidation type="list" allowBlank="1" showErrorMessage="1" sqref="B38 A111 G111 M111 O113 B116 H116 N116" xr:uid="{00000000-0002-0000-3900-000001000000}">
      <formula1>$Z$19:$Z$20</formula1>
      <formula2>0</formula2>
    </dataValidation>
    <dataValidation type="list" allowBlank="1" showErrorMessage="1" sqref="A18:A20" xr:uid="{00000000-0002-0000-3900-000002000000}">
      <formula1>$Y$16:$Y$18</formula1>
      <formula2>0</formula2>
    </dataValidation>
    <dataValidation type="list" allowBlank="1" showErrorMessage="1" sqref="H105 N105" xr:uid="{00000000-0002-0000-3900-000003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39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3900-000004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Z1000"/>
  <sheetViews>
    <sheetView topLeftCell="A179" zoomScale="110" zoomScaleNormal="110" workbookViewId="0">
      <selection activeCell="A157" sqref="A157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87">
        <v>20255</v>
      </c>
      <c r="C3" s="187">
        <v>0</v>
      </c>
      <c r="D3" s="187">
        <v>0</v>
      </c>
      <c r="E3" s="289">
        <v>0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56">
        <v>0</v>
      </c>
      <c r="C4" s="56">
        <v>0</v>
      </c>
      <c r="D4" s="56">
        <v>0</v>
      </c>
      <c r="E4" s="214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>
        <v>0</v>
      </c>
      <c r="C5" s="187">
        <v>0</v>
      </c>
      <c r="D5" s="187">
        <v>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0</v>
      </c>
      <c r="C6" s="28">
        <f>(C3*C4/100)+C5</f>
        <v>0</v>
      </c>
      <c r="D6" s="28">
        <f>(D3*D4/100)+D5</f>
        <v>0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20255</v>
      </c>
      <c r="C7" s="28">
        <f>C3-C6</f>
        <v>0</v>
      </c>
      <c r="D7" s="28">
        <f>D3-D6</f>
        <v>0</v>
      </c>
      <c r="E7" s="29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55"/>
      <c r="H8" s="55"/>
      <c r="I8" s="14" t="s">
        <v>17</v>
      </c>
      <c r="J8" s="11">
        <f>E13+E14</f>
        <v>340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/>
      <c r="C9" s="408"/>
      <c r="D9" s="408"/>
      <c r="E9" s="320">
        <f>B7+C7+D7+E3</f>
        <v>20255</v>
      </c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>
        <v>695</v>
      </c>
      <c r="F10" s="55"/>
      <c r="G10" s="55"/>
      <c r="H10" s="55"/>
      <c r="I10" s="16" t="s">
        <v>15</v>
      </c>
      <c r="J10" s="11">
        <f>E15-E11-J8</f>
        <v>20950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/>
      <c r="C11" s="409"/>
      <c r="D11" s="409"/>
      <c r="E11" s="29">
        <f>(E9+E10)*20%</f>
        <v>4190</v>
      </c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/>
      <c r="C13" s="409"/>
      <c r="D13" s="409"/>
      <c r="E13" s="289">
        <v>275</v>
      </c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>
        <v>65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291">
        <f>(E9+E10+E13+E14+E11)-E12</f>
        <v>25480</v>
      </c>
      <c r="F15" s="55"/>
      <c r="G15" s="17">
        <f>E15</f>
        <v>25480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>
        <v>0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(B3+C3+D3+E3+E10)*1.2</f>
        <v>25140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>
        <v>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25480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60</v>
      </c>
      <c r="E32" s="381"/>
      <c r="F32" s="55"/>
      <c r="G32" s="168" t="s">
        <v>253</v>
      </c>
      <c r="H32" s="166" t="str">
        <f>A41</f>
        <v>60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 t="str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560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391</v>
      </c>
      <c r="B41" s="383">
        <f>IF(B38="YES",D38+A41,D38)</f>
        <v>560</v>
      </c>
      <c r="C41" s="383"/>
      <c r="D41" s="346" t="s">
        <v>392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46" t="s">
        <v>394</v>
      </c>
      <c r="C44" s="346"/>
      <c r="D44" s="346" t="s">
        <v>395</v>
      </c>
      <c r="E44" s="346"/>
      <c r="F44" s="55"/>
      <c r="G44" s="55" t="s">
        <v>264</v>
      </c>
      <c r="H44" s="5" t="str">
        <f>H32</f>
        <v>60</v>
      </c>
      <c r="I44" s="276">
        <f>((A41*(B35-1))+D32)/B35</f>
        <v>60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561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401" t="s">
        <v>396</v>
      </c>
      <c r="C47" s="401"/>
      <c r="D47" s="346" t="s">
        <v>396</v>
      </c>
      <c r="E47" s="346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561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 t="s">
        <v>342</v>
      </c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B65" s="158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/>
      <c r="B66" s="158"/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25140</v>
      </c>
      <c r="C67" s="158"/>
      <c r="D67" s="158"/>
      <c r="E67" s="159"/>
      <c r="F67" s="55"/>
      <c r="G67" s="157" t="s">
        <v>27</v>
      </c>
      <c r="H67" s="28">
        <f>G18</f>
        <v>25140</v>
      </c>
      <c r="I67" s="158"/>
      <c r="J67" s="158"/>
      <c r="K67" s="159"/>
      <c r="L67" s="55"/>
      <c r="M67" s="157" t="s">
        <v>27</v>
      </c>
      <c r="N67" s="28">
        <f>G18</f>
        <v>25140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B67*B69</f>
        <v>1759.8000000000002</v>
      </c>
      <c r="C70" s="158">
        <v>10000</v>
      </c>
      <c r="D70" s="28">
        <f>B70-A149</f>
        <v>1759.8000000000002</v>
      </c>
      <c r="E70" s="159">
        <f>D70/12</f>
        <v>146.65</v>
      </c>
      <c r="F70" s="55"/>
      <c r="G70" s="206" t="s">
        <v>102</v>
      </c>
      <c r="H70" s="57">
        <f>H67*H69</f>
        <v>1759.8000000000002</v>
      </c>
      <c r="I70" s="158"/>
      <c r="J70" s="28">
        <f>H70-G151</f>
        <v>1759.8000000000002</v>
      </c>
      <c r="K70" s="159"/>
      <c r="L70" s="55"/>
      <c r="M70" s="206" t="s">
        <v>102</v>
      </c>
      <c r="N70" s="57">
        <f>N67*N69</f>
        <v>1759.8000000000002</v>
      </c>
      <c r="O70" s="158"/>
      <c r="P70" s="28">
        <f>N70-M151</f>
        <v>1759.8000000000002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125.7</v>
      </c>
      <c r="I73" s="158"/>
      <c r="J73" s="28"/>
      <c r="K73" s="159"/>
      <c r="L73" s="55"/>
      <c r="M73" s="206" t="s">
        <v>105</v>
      </c>
      <c r="N73" s="57">
        <f>N67*N72</f>
        <v>125.7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77" t="s">
        <v>285</v>
      </c>
      <c r="B80" s="278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79" t="s">
        <v>286</v>
      </c>
      <c r="B81" s="280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((B80+B81)/12)*(H29-11)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3086.4666666666667</v>
      </c>
      <c r="C87" s="158"/>
      <c r="D87" s="158"/>
      <c r="E87" s="159"/>
      <c r="F87" s="55"/>
      <c r="G87" s="220" t="s">
        <v>114</v>
      </c>
      <c r="H87" s="221">
        <f>SUM(J70:J86)</f>
        <v>4886.3</v>
      </c>
      <c r="I87" s="158"/>
      <c r="J87" s="158"/>
      <c r="K87" s="159"/>
      <c r="L87" s="55"/>
      <c r="M87" s="220" t="s">
        <v>114</v>
      </c>
      <c r="N87" s="221">
        <f>SUM(P70:P86)</f>
        <v>4873.8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257.20555555555558</v>
      </c>
      <c r="C88" s="158"/>
      <c r="D88" s="158"/>
      <c r="E88" s="159"/>
      <c r="F88" s="55"/>
      <c r="G88" s="157" t="s">
        <v>115</v>
      </c>
      <c r="H88" s="29">
        <f>H87/H29</f>
        <v>407.19166666666666</v>
      </c>
      <c r="I88" s="158"/>
      <c r="J88" s="158"/>
      <c r="K88" s="159"/>
      <c r="L88" s="55"/>
      <c r="M88" s="157" t="s">
        <v>115</v>
      </c>
      <c r="N88" s="29">
        <f>N87/H29</f>
        <v>406.15000000000003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9098.4666666666672</v>
      </c>
      <c r="C91" s="158"/>
      <c r="D91" s="158"/>
      <c r="E91" s="159"/>
      <c r="F91" s="55"/>
      <c r="G91" s="209" t="s">
        <v>126</v>
      </c>
      <c r="H91" s="24">
        <f>((H89*H29)+H87)*1.2</f>
        <v>13077.96</v>
      </c>
      <c r="I91" s="158"/>
      <c r="J91" s="158"/>
      <c r="K91" s="159"/>
      <c r="L91" s="55"/>
      <c r="M91" s="209" t="s">
        <v>126</v>
      </c>
      <c r="N91" s="24">
        <f>((N89*H29)+N87)</f>
        <v>10885.8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77.074546187979024</v>
      </c>
      <c r="C92" s="158"/>
      <c r="D92" s="158"/>
      <c r="E92" s="283"/>
      <c r="F92" s="55"/>
      <c r="G92" s="157" t="s">
        <v>127</v>
      </c>
      <c r="H92" s="29">
        <f>(((H89*H29)+H87)/(1-H76))*H76</f>
        <v>92.321218233158547</v>
      </c>
      <c r="I92" s="158"/>
      <c r="J92" s="158"/>
      <c r="K92" s="159"/>
      <c r="L92" s="55"/>
      <c r="M92" s="157" t="s">
        <v>127</v>
      </c>
      <c r="N92" s="29">
        <f>(N91/(1-N76))*N76</f>
        <v>92.215328761597419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9175.5412128546468</v>
      </c>
      <c r="C93" s="158"/>
      <c r="D93" s="158"/>
      <c r="E93" s="159"/>
      <c r="F93" s="55"/>
      <c r="G93" s="206" t="s">
        <v>128</v>
      </c>
      <c r="H93" s="57">
        <f>IF(H116="YES",((H91+H92)-K120),(H91+H92))</f>
        <v>15170.281218233158</v>
      </c>
      <c r="I93" s="158"/>
      <c r="J93" s="158"/>
      <c r="K93" s="159"/>
      <c r="L93" s="55"/>
      <c r="M93" s="206" t="s">
        <v>128</v>
      </c>
      <c r="N93" s="57">
        <f>IF(N116="YES",((N91+N92)-K120),(N91+N92))</f>
        <v>12978.015328761596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</f>
        <v>72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764.6284344045539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764.6284344045539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352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750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6">
        <v>20</v>
      </c>
      <c r="C111" s="396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750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764.6284344045539</v>
      </c>
      <c r="B134" s="232">
        <f>IF(A111="YES",B95,0)</f>
        <v>0</v>
      </c>
      <c r="C134" s="237"/>
      <c r="D134" s="232">
        <f>B97</f>
        <v>764.6284344045539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764.6284344045539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764.6284344045539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0.15288000000000002</v>
      </c>
      <c r="H142" s="34">
        <f>IF(G111="YES",E15*0.000002,0)</f>
        <v>5.0959999999999998E-2</v>
      </c>
      <c r="I142" s="34"/>
      <c r="J142" s="34">
        <f>G142+H142</f>
        <v>0.20384000000000002</v>
      </c>
      <c r="K142" s="90"/>
      <c r="L142" s="55"/>
      <c r="M142" s="94">
        <f>E15*0.000006</f>
        <v>0.15288000000000002</v>
      </c>
      <c r="N142" s="34">
        <f>IF(M111="YES",E15*0.000002,0)</f>
        <v>5.0959999999999998E-2</v>
      </c>
      <c r="O142" s="34"/>
      <c r="P142" s="34">
        <f>M142+N142</f>
        <v>0.20384000000000002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764.6284344045539</v>
      </c>
      <c r="B143" s="34">
        <f>IF(A111="YES",B95,0)</f>
        <v>0</v>
      </c>
      <c r="C143" s="158"/>
      <c r="D143" s="34">
        <f>B97</f>
        <v>764.6284344045539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104.75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104.75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15.084</v>
      </c>
      <c r="B146" s="251">
        <f>G18*0.000002*100</f>
        <v>5.0279999999999996</v>
      </c>
      <c r="C146" s="252"/>
      <c r="D146" s="251">
        <f>A146+B146</f>
        <v>20.111999999999998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14.400000000000002</v>
      </c>
      <c r="H148" s="34">
        <f>G108-100</f>
        <v>139.988</v>
      </c>
      <c r="I148" s="34"/>
      <c r="J148" s="34">
        <f>(H145+J145+G148+H148)-H151</f>
        <v>1339.1380000000001</v>
      </c>
      <c r="K148" s="90"/>
      <c r="L148" s="55"/>
      <c r="M148" s="94">
        <f>IF(M111="YES",((A41*N111)*0.1)*(M133),0)</f>
        <v>14.400000000000002</v>
      </c>
      <c r="N148" s="34">
        <f>M108-100</f>
        <v>99.990000000000009</v>
      </c>
      <c r="O148" s="34"/>
      <c r="P148" s="34">
        <f>(N145+P145+M148+N148)-N151</f>
        <v>1299.1400000000001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750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764.6284344045539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764.6284344045539</v>
      </c>
      <c r="B177" s="232">
        <f>IF(A111="YES",B95,0)</f>
        <v>0</v>
      </c>
      <c r="C177" s="237"/>
      <c r="D177" s="232">
        <f>B91</f>
        <v>9098.4666666666672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764.6284344045539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764.6284344045539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764.6284344045539</v>
      </c>
      <c r="B186" s="34">
        <f>IF(A111="YES",B95,0)</f>
        <v>0</v>
      </c>
      <c r="C186" s="158"/>
      <c r="D186" s="34">
        <f>B97</f>
        <v>764.6284344045539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15.084</v>
      </c>
      <c r="B189" s="251">
        <f>G18*0.000002*100</f>
        <v>5.0279999999999996</v>
      </c>
      <c r="C189" s="252"/>
      <c r="D189" s="251">
        <f>A189+B189</f>
        <v>20.111999999999998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750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1759.8000000000002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465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2124.8000000000002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1759.8000000000002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2124.8000000000002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77.074546187979024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3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G100:K100"/>
    <mergeCell ref="M100:Q100"/>
    <mergeCell ref="A102:E102"/>
    <mergeCell ref="G102:K102"/>
    <mergeCell ref="M102:Q102"/>
    <mergeCell ref="A56:A57"/>
    <mergeCell ref="B56:C56"/>
    <mergeCell ref="B57:C57"/>
    <mergeCell ref="B58:C58"/>
    <mergeCell ref="A100:E100"/>
    <mergeCell ref="G42:H42"/>
    <mergeCell ref="B44:C44"/>
    <mergeCell ref="D44:E44"/>
    <mergeCell ref="B47:C47"/>
    <mergeCell ref="D47:E47"/>
    <mergeCell ref="B35:C35"/>
    <mergeCell ref="D35:E35"/>
    <mergeCell ref="B38:C38"/>
    <mergeCell ref="D38:E38"/>
    <mergeCell ref="B41:C41"/>
    <mergeCell ref="D41:E41"/>
    <mergeCell ref="A26:E26"/>
    <mergeCell ref="B29:C29"/>
    <mergeCell ref="D29:E29"/>
    <mergeCell ref="B30:C30"/>
    <mergeCell ref="B32:C32"/>
    <mergeCell ref="D32:E32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3">
    <dataValidation type="list" allowBlank="1" showErrorMessage="1" sqref="B38 A111 G111 M111 O113 B116 H116 N116" xr:uid="{00000000-0002-0000-3A00-000001000000}">
      <formula1>$Z$19:$Z$20</formula1>
      <formula2>0</formula2>
    </dataValidation>
    <dataValidation type="list" allowBlank="1" showErrorMessage="1" sqref="A18:A20" xr:uid="{00000000-0002-0000-3A00-000002000000}">
      <formula1>$Y$16:$Y$18</formula1>
      <formula2>0</formula2>
    </dataValidation>
    <dataValidation type="list" allowBlank="1" showErrorMessage="1" sqref="H105 N105" xr:uid="{00000000-0002-0000-3A00-000003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3A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3A00-000004000000}">
          <x14:formula1>
            <xm:f>'FL (Formula 3) - BCH, PCH, FL'!$Z$103:$Z$111</xm:f>
          </x14:formula1>
          <x14:formula2>
            <xm:f>0</xm:f>
          </x14:formula2>
          <xm:sqref>B65 B105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1000"/>
  <sheetViews>
    <sheetView topLeftCell="A193" zoomScale="110" zoomScaleNormal="110" workbookViewId="0">
      <selection activeCell="A200" sqref="A200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87">
        <v>20255</v>
      </c>
      <c r="C3" s="187">
        <v>0</v>
      </c>
      <c r="D3" s="187">
        <v>0</v>
      </c>
      <c r="E3" s="289">
        <v>0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56">
        <v>0</v>
      </c>
      <c r="C4" s="56">
        <v>0</v>
      </c>
      <c r="D4" s="56">
        <v>0</v>
      </c>
      <c r="E4" s="214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>
        <v>0</v>
      </c>
      <c r="C5" s="187">
        <v>0</v>
      </c>
      <c r="D5" s="187">
        <v>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0</v>
      </c>
      <c r="C6" s="28">
        <f>(C3*C4/100)+C5</f>
        <v>0</v>
      </c>
      <c r="D6" s="28">
        <f>(D3*D4/100)+D5</f>
        <v>0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20255</v>
      </c>
      <c r="C7" s="28">
        <f>C3-C6</f>
        <v>0</v>
      </c>
      <c r="D7" s="28">
        <f>D3-D6</f>
        <v>0</v>
      </c>
      <c r="E7" s="29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55"/>
      <c r="H8" s="55"/>
      <c r="I8" s="14" t="s">
        <v>17</v>
      </c>
      <c r="J8" s="11">
        <f>E13+E14</f>
        <v>340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/>
      <c r="C9" s="408"/>
      <c r="D9" s="408"/>
      <c r="E9" s="320">
        <f>B7+C7+D7+E3</f>
        <v>20255</v>
      </c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>
        <v>695</v>
      </c>
      <c r="F10" s="55"/>
      <c r="G10" s="55"/>
      <c r="H10" s="55"/>
      <c r="I10" s="16" t="s">
        <v>15</v>
      </c>
      <c r="J10" s="11">
        <f>E15-E11-J8</f>
        <v>20950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/>
      <c r="C11" s="409"/>
      <c r="D11" s="409"/>
      <c r="E11" s="29">
        <f>(E9+E10)*20%</f>
        <v>4190</v>
      </c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/>
      <c r="C13" s="409"/>
      <c r="D13" s="409"/>
      <c r="E13" s="289">
        <v>275</v>
      </c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>
        <v>65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291">
        <f>(E9+E10+E13+E14+E11)-E12</f>
        <v>25480</v>
      </c>
      <c r="F15" s="55"/>
      <c r="G15" s="17">
        <f>E15</f>
        <v>25480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>
        <v>0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(B3+C3+D3+E3+E10)*1.2</f>
        <v>25140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>
        <v>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25480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50</v>
      </c>
      <c r="E32" s="381"/>
      <c r="F32" s="55"/>
      <c r="G32" s="168" t="s">
        <v>253</v>
      </c>
      <c r="H32" s="166" t="str">
        <f>A41</f>
        <v>50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 t="str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550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388</v>
      </c>
      <c r="B41" s="383">
        <f>IF(B38="YES",D38+A41,D38)</f>
        <v>550</v>
      </c>
      <c r="C41" s="383"/>
      <c r="D41" s="346" t="s">
        <v>392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46" t="s">
        <v>394</v>
      </c>
      <c r="C44" s="346"/>
      <c r="D44" s="346" t="s">
        <v>396</v>
      </c>
      <c r="E44" s="346"/>
      <c r="F44" s="55"/>
      <c r="G44" s="55" t="s">
        <v>264</v>
      </c>
      <c r="H44" s="5" t="str">
        <f>H32</f>
        <v>50</v>
      </c>
      <c r="I44" s="276">
        <f>((A41*(B35-1))+D32)/B35</f>
        <v>50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551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401" t="s">
        <v>396</v>
      </c>
      <c r="C47" s="401"/>
      <c r="D47" s="346" t="s">
        <v>396</v>
      </c>
      <c r="E47" s="346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551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 t="s">
        <v>10</v>
      </c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B65" s="158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/>
      <c r="B66" s="158"/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25140</v>
      </c>
      <c r="C67" s="158"/>
      <c r="D67" s="158"/>
      <c r="E67" s="159"/>
      <c r="F67" s="55"/>
      <c r="G67" s="157" t="s">
        <v>27</v>
      </c>
      <c r="H67" s="28">
        <f>G18</f>
        <v>25140</v>
      </c>
      <c r="I67" s="158"/>
      <c r="J67" s="158"/>
      <c r="K67" s="159"/>
      <c r="L67" s="55"/>
      <c r="M67" s="157" t="s">
        <v>27</v>
      </c>
      <c r="N67" s="28">
        <f>G18</f>
        <v>25140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B67*B69</f>
        <v>1759.8000000000002</v>
      </c>
      <c r="C70" s="158">
        <v>10000</v>
      </c>
      <c r="D70" s="28">
        <f>B70-A149</f>
        <v>1759.8000000000002</v>
      </c>
      <c r="E70" s="159">
        <f>D70/12</f>
        <v>146.65</v>
      </c>
      <c r="F70" s="55"/>
      <c r="G70" s="206" t="s">
        <v>102</v>
      </c>
      <c r="H70" s="57">
        <f>H67*H69</f>
        <v>1759.8000000000002</v>
      </c>
      <c r="I70" s="158"/>
      <c r="J70" s="28">
        <f>H70-G151</f>
        <v>1759.8000000000002</v>
      </c>
      <c r="K70" s="159"/>
      <c r="L70" s="55"/>
      <c r="M70" s="206" t="s">
        <v>102</v>
      </c>
      <c r="N70" s="57">
        <f>N67*N69</f>
        <v>1759.8000000000002</v>
      </c>
      <c r="O70" s="158"/>
      <c r="P70" s="28">
        <f>N70-M151</f>
        <v>1759.8000000000002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125.7</v>
      </c>
      <c r="I73" s="158"/>
      <c r="J73" s="28"/>
      <c r="K73" s="159"/>
      <c r="L73" s="55"/>
      <c r="M73" s="206" t="s">
        <v>105</v>
      </c>
      <c r="N73" s="57">
        <f>N67*N72</f>
        <v>125.7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((B80+B81)/12)*(H29-11)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3086.4666666666667</v>
      </c>
      <c r="C87" s="158"/>
      <c r="D87" s="158"/>
      <c r="E87" s="159"/>
      <c r="F87" s="55"/>
      <c r="G87" s="220" t="s">
        <v>114</v>
      </c>
      <c r="H87" s="221">
        <f>SUM(J70:J86)</f>
        <v>4886.3</v>
      </c>
      <c r="I87" s="158"/>
      <c r="J87" s="158"/>
      <c r="K87" s="159"/>
      <c r="L87" s="55"/>
      <c r="M87" s="220" t="s">
        <v>114</v>
      </c>
      <c r="N87" s="221">
        <f>SUM(P70:P86)</f>
        <v>4873.8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257.20555555555558</v>
      </c>
      <c r="C88" s="158"/>
      <c r="D88" s="158"/>
      <c r="E88" s="159"/>
      <c r="F88" s="55"/>
      <c r="G88" s="157" t="s">
        <v>115</v>
      </c>
      <c r="H88" s="29">
        <f>H87/H29</f>
        <v>407.19166666666666</v>
      </c>
      <c r="I88" s="158"/>
      <c r="J88" s="158"/>
      <c r="K88" s="159"/>
      <c r="L88" s="55"/>
      <c r="M88" s="157" t="s">
        <v>115</v>
      </c>
      <c r="N88" s="29">
        <f>N87/H29</f>
        <v>406.15000000000003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((B89*H29)+B87)*1.2</f>
        <v>10918.16</v>
      </c>
      <c r="C91" s="158"/>
      <c r="D91" s="158"/>
      <c r="E91" s="159"/>
      <c r="F91" s="55"/>
      <c r="G91" s="209" t="s">
        <v>126</v>
      </c>
      <c r="H91" s="24">
        <f>((H89*H29)+H87)*1.2</f>
        <v>13077.96</v>
      </c>
      <c r="I91" s="158"/>
      <c r="J91" s="158"/>
      <c r="K91" s="159"/>
      <c r="L91" s="55"/>
      <c r="M91" s="209" t="s">
        <v>126</v>
      </c>
      <c r="N91" s="24">
        <f>((N89*H29)+N87)</f>
        <v>10885.8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77.074546187979024</v>
      </c>
      <c r="C92" s="158"/>
      <c r="D92" s="158"/>
      <c r="E92" s="283"/>
      <c r="F92" s="55"/>
      <c r="G92" s="157" t="s">
        <v>127</v>
      </c>
      <c r="H92" s="29">
        <f>(((H89*H29)+H87)/(1-H76))*H76</f>
        <v>92.321218233158547</v>
      </c>
      <c r="I92" s="158"/>
      <c r="J92" s="158"/>
      <c r="K92" s="159"/>
      <c r="L92" s="55"/>
      <c r="M92" s="157" t="s">
        <v>127</v>
      </c>
      <c r="N92" s="29">
        <f>(N91/(1-N76))*N76</f>
        <v>92.215328761597419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10995.23454618798</v>
      </c>
      <c r="C93" s="158"/>
      <c r="D93" s="158"/>
      <c r="E93" s="159"/>
      <c r="F93" s="55"/>
      <c r="G93" s="206" t="s">
        <v>128</v>
      </c>
      <c r="H93" s="57">
        <f>IF(H116="YES",((H91+H92)-K120),(H91+H92))</f>
        <v>15170.281218233158</v>
      </c>
      <c r="I93" s="158"/>
      <c r="J93" s="158"/>
      <c r="K93" s="159"/>
      <c r="L93" s="55"/>
      <c r="M93" s="206" t="s">
        <v>128</v>
      </c>
      <c r="N93" s="57">
        <f>IF(N116="YES",((N91+N92)-K120),(N91+N92))</f>
        <v>12978.015328761596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IF(B105=Z104,(((H44*B35)+(H44*B35)*(B111/100))/(B64)),(((H44*B35)+(H44*B35)*(B111/100))/(B63+B64)))*1.2</f>
        <v>72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916.26954551566496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916.26954551566496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290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900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5">
        <v>20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900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(E124+E123)-E120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916.26954551566496</v>
      </c>
      <c r="B134" s="232">
        <f>IF(A111="YES",B95,0)</f>
        <v>0</v>
      </c>
      <c r="C134" s="237"/>
      <c r="D134" s="232">
        <f>B97</f>
        <v>916.26954551566496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916.26954551566496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916.26954551566496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0.15288000000000002</v>
      </c>
      <c r="H142" s="34">
        <f>IF(G111="YES",E15*0.000002,0)</f>
        <v>5.0959999999999998E-2</v>
      </c>
      <c r="I142" s="34"/>
      <c r="J142" s="34">
        <f>G142+H142</f>
        <v>0.20384000000000002</v>
      </c>
      <c r="K142" s="90"/>
      <c r="L142" s="55"/>
      <c r="M142" s="94">
        <f>E15*0.000006</f>
        <v>0.15288000000000002</v>
      </c>
      <c r="N142" s="34">
        <f>IF(M111="YES",E15*0.000002,0)</f>
        <v>5.0959999999999998E-2</v>
      </c>
      <c r="O142" s="34"/>
      <c r="P142" s="34">
        <f>M142+N142</f>
        <v>0.20384000000000002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916.26954551566496</v>
      </c>
      <c r="B143" s="34">
        <f>IF(A111="YES",B95,0)</f>
        <v>0</v>
      </c>
      <c r="C143" s="158"/>
      <c r="D143" s="34">
        <f>B97</f>
        <v>916.26954551566496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104.75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104.75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(G18*0.000006)*1.2*100</f>
        <v>18.1008</v>
      </c>
      <c r="B146" s="251">
        <f>G18*0.000002*1.2*100</f>
        <v>6.033599999999999</v>
      </c>
      <c r="C146" s="252"/>
      <c r="D146" s="251">
        <f>A146+B146</f>
        <v>24.134399999999999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12</v>
      </c>
      <c r="H148" s="34">
        <f>G108-100</f>
        <v>139.988</v>
      </c>
      <c r="I148" s="34"/>
      <c r="J148" s="34">
        <f>(H145+J145+G148+H148)-H151</f>
        <v>1336.7380000000001</v>
      </c>
      <c r="K148" s="90"/>
      <c r="L148" s="55"/>
      <c r="M148" s="94">
        <f>IF(M111="YES",((A41*N111)*0.1)*(M133),0)</f>
        <v>12</v>
      </c>
      <c r="N148" s="34">
        <f>M108-100</f>
        <v>99.990000000000009</v>
      </c>
      <c r="O148" s="34"/>
      <c r="P148" s="34">
        <f>(N145+P145+M148+N148)-N151</f>
        <v>1296.74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900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916.26954551566496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916.26954551566496</v>
      </c>
      <c r="B177" s="232">
        <f>IF(A111="YES",B95,0)</f>
        <v>0</v>
      </c>
      <c r="C177" s="237"/>
      <c r="D177" s="232">
        <f>B97</f>
        <v>916.26954551566496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916.26954551566496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916.26954551566496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916.26954551566496</v>
      </c>
      <c r="B186" s="34">
        <f>IF(A111="YES",B95,0)</f>
        <v>0</v>
      </c>
      <c r="C186" s="158"/>
      <c r="D186" s="34">
        <f>B97</f>
        <v>916.26954551566496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(G18*0.000006)*1.2*100</f>
        <v>18.1008</v>
      </c>
      <c r="B189" s="251">
        <f>G18*0.000002*1.2*100</f>
        <v>6.033599999999999</v>
      </c>
      <c r="C189" s="252"/>
      <c r="D189" s="251">
        <f>A189+B189</f>
        <v>24.134399999999999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900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B108</f>
        <v>400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1759.8000000000002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465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2124.8000000000002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1759.8000000000002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2124.8000000000002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77.074546187979024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3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G100:K100"/>
    <mergeCell ref="M100:Q100"/>
    <mergeCell ref="A102:E102"/>
    <mergeCell ref="G102:K102"/>
    <mergeCell ref="M102:Q102"/>
    <mergeCell ref="A56:A57"/>
    <mergeCell ref="B56:C56"/>
    <mergeCell ref="B57:C57"/>
    <mergeCell ref="B58:C58"/>
    <mergeCell ref="A100:E100"/>
    <mergeCell ref="G42:H42"/>
    <mergeCell ref="B44:C44"/>
    <mergeCell ref="D44:E44"/>
    <mergeCell ref="B47:C47"/>
    <mergeCell ref="D47:E47"/>
    <mergeCell ref="B35:C35"/>
    <mergeCell ref="D35:E35"/>
    <mergeCell ref="B38:C38"/>
    <mergeCell ref="D38:E38"/>
    <mergeCell ref="B41:C41"/>
    <mergeCell ref="D41:E41"/>
    <mergeCell ref="A26:E26"/>
    <mergeCell ref="B29:C29"/>
    <mergeCell ref="D29:E29"/>
    <mergeCell ref="B30:C30"/>
    <mergeCell ref="B32:C32"/>
    <mergeCell ref="D32:E32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3">
    <dataValidation type="list" allowBlank="1" showErrorMessage="1" sqref="B38 A111 G111 M111 O113 B116 H116 N116" xr:uid="{00000000-0002-0000-3B00-000001000000}">
      <formula1>$Z$19:$Z$20</formula1>
      <formula2>0</formula2>
    </dataValidation>
    <dataValidation type="list" allowBlank="1" showErrorMessage="1" sqref="A18:A20" xr:uid="{00000000-0002-0000-3B00-000002000000}">
      <formula1>$Y$16:$Y$18</formula1>
      <formula2>0</formula2>
    </dataValidation>
    <dataValidation type="list" allowBlank="1" showErrorMessage="1" sqref="H105 N105" xr:uid="{00000000-0002-0000-3B00-000003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3B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  <x14:dataValidation type="list" allowBlank="1" showErrorMessage="1" xr:uid="{00000000-0002-0000-3B00-000004000000}">
          <x14:formula1>
            <xm:f>'FL (Formula 3) - BCH, PCH, FL'!$Z$103:$Z$111</xm:f>
          </x14:formula1>
          <x14:formula2>
            <xm:f>0</xm:f>
          </x14:formula2>
          <xm:sqref>B65 B105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1000"/>
  <sheetViews>
    <sheetView topLeftCell="A202" zoomScale="110" zoomScaleNormal="110" workbookViewId="0">
      <selection activeCell="A200" sqref="A200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87">
        <v>20255</v>
      </c>
      <c r="C3" s="187">
        <v>0</v>
      </c>
      <c r="D3" s="187">
        <v>0</v>
      </c>
      <c r="E3" s="289">
        <v>0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56">
        <v>0</v>
      </c>
      <c r="C4" s="56">
        <v>0</v>
      </c>
      <c r="D4" s="56">
        <v>0</v>
      </c>
      <c r="E4" s="214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>
        <v>0</v>
      </c>
      <c r="C5" s="187">
        <v>0</v>
      </c>
      <c r="D5" s="187">
        <v>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0</v>
      </c>
      <c r="C6" s="28">
        <f>(C3*C4/100)+C5</f>
        <v>0</v>
      </c>
      <c r="D6" s="28">
        <f>(D3*D4/100)+D5</f>
        <v>0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20255</v>
      </c>
      <c r="C7" s="28">
        <f>C3-C6</f>
        <v>0</v>
      </c>
      <c r="D7" s="28">
        <f>D3-D6</f>
        <v>0</v>
      </c>
      <c r="E7" s="29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55"/>
      <c r="H8" s="55"/>
      <c r="I8" s="14" t="s">
        <v>17</v>
      </c>
      <c r="J8" s="11">
        <f>E13+E14</f>
        <v>340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/>
      <c r="C9" s="408"/>
      <c r="D9" s="408"/>
      <c r="E9" s="320">
        <f>B7+C7+D7+E3</f>
        <v>20255</v>
      </c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>
        <v>695</v>
      </c>
      <c r="F10" s="55"/>
      <c r="G10" s="55"/>
      <c r="H10" s="55"/>
      <c r="I10" s="16" t="s">
        <v>15</v>
      </c>
      <c r="J10" s="11">
        <f>E15-E11-J8</f>
        <v>20950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/>
      <c r="C11" s="409"/>
      <c r="D11" s="409"/>
      <c r="E11" s="29">
        <f>(E9+E10)*20%</f>
        <v>4190</v>
      </c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/>
      <c r="C13" s="409"/>
      <c r="D13" s="409"/>
      <c r="E13" s="289">
        <v>275</v>
      </c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>
        <v>65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291">
        <f>(E9+E10+E13+E14+E11)-E12</f>
        <v>25480</v>
      </c>
      <c r="F15" s="55"/>
      <c r="G15" s="17">
        <f>E15</f>
        <v>25480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>
        <v>0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(B3+C3+D3+E3+E10)*1.2</f>
        <v>25140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>
        <v>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25480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56.6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 t="str">
        <f>IF(A32=Z103,A41,IF(A32=Z104,A41,IF(A32=Z105,(A41*3),IF(A32=Z106,(A41*6),IF(A32=Z107,(A41*9),IF(A32=Z108,(A41*12),IF(A32=Z109,A41,IF(A32=Z110,A41,IF(A32=Z111,A41,0)))))))))</f>
        <v>50</v>
      </c>
      <c r="E32" s="381"/>
      <c r="F32" s="55"/>
      <c r="G32" s="168" t="s">
        <v>253</v>
      </c>
      <c r="H32" s="166" t="str">
        <f>A41</f>
        <v>50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 t="str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550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385</v>
      </c>
      <c r="C38" s="378"/>
      <c r="D38" s="346" t="s">
        <v>390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s">
        <v>388</v>
      </c>
      <c r="B41" s="383">
        <f>IF(B38="YES",D38+A41,D38)</f>
        <v>550</v>
      </c>
      <c r="C41" s="383"/>
      <c r="D41" s="346" t="s">
        <v>392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s">
        <v>393</v>
      </c>
      <c r="B44" s="346" t="s">
        <v>394</v>
      </c>
      <c r="C44" s="346"/>
      <c r="D44" s="346" t="s">
        <v>396</v>
      </c>
      <c r="E44" s="346"/>
      <c r="F44" s="55"/>
      <c r="G44" s="55" t="s">
        <v>264</v>
      </c>
      <c r="H44" s="5" t="str">
        <f>H32</f>
        <v>50</v>
      </c>
      <c r="I44" s="276">
        <f>((A41*(B35-1))+D32)/B35</f>
        <v>50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551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401" t="s">
        <v>396</v>
      </c>
      <c r="C47" s="401"/>
      <c r="D47" s="346" t="s">
        <v>396</v>
      </c>
      <c r="E47" s="346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/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341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341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551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/>
      <c r="B66" s="158"/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25140</v>
      </c>
      <c r="C67" s="158"/>
      <c r="D67" s="158"/>
      <c r="E67" s="159"/>
      <c r="F67" s="55"/>
      <c r="G67" s="157" t="s">
        <v>27</v>
      </c>
      <c r="H67" s="28">
        <f>G18</f>
        <v>25140</v>
      </c>
      <c r="I67" s="158"/>
      <c r="J67" s="158"/>
      <c r="K67" s="159"/>
      <c r="L67" s="55"/>
      <c r="M67" s="157" t="s">
        <v>27</v>
      </c>
      <c r="N67" s="28">
        <f>G18</f>
        <v>25140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ROUND((B68+(B68*0.25*((H29/12)-1))),4)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B67*B69</f>
        <v>1759.8000000000002</v>
      </c>
      <c r="C70" s="158">
        <v>10000</v>
      </c>
      <c r="D70" s="28">
        <f>B70-A149</f>
        <v>1759.8000000000002</v>
      </c>
      <c r="E70" s="159">
        <f>D70/12</f>
        <v>146.65</v>
      </c>
      <c r="F70" s="55"/>
      <c r="G70" s="206" t="s">
        <v>102</v>
      </c>
      <c r="H70" s="57">
        <f>H67*H69</f>
        <v>1759.8000000000002</v>
      </c>
      <c r="I70" s="158"/>
      <c r="J70" s="28">
        <f>H70-G151</f>
        <v>1759.8000000000002</v>
      </c>
      <c r="K70" s="159"/>
      <c r="L70" s="55"/>
      <c r="M70" s="206" t="s">
        <v>102</v>
      </c>
      <c r="N70" s="57">
        <f>N67*N69</f>
        <v>1759.8000000000002</v>
      </c>
      <c r="O70" s="158"/>
      <c r="P70" s="28">
        <f>N70-M151</f>
        <v>1759.8000000000002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5">
        <v>100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/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B71</f>
        <v>100</v>
      </c>
      <c r="C73" s="158"/>
      <c r="D73" s="28"/>
      <c r="E73" s="159"/>
      <c r="F73" s="55"/>
      <c r="G73" s="206" t="s">
        <v>105</v>
      </c>
      <c r="H73" s="57">
        <f>H67*H72</f>
        <v>125.7</v>
      </c>
      <c r="I73" s="158"/>
      <c r="J73" s="28"/>
      <c r="K73" s="159"/>
      <c r="L73" s="55"/>
      <c r="M73" s="206" t="s">
        <v>105</v>
      </c>
      <c r="N73" s="57">
        <f>N67*N72</f>
        <v>125.7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0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((B80+B81)/12)*(H29-11)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12.5</v>
      </c>
      <c r="I82" s="158"/>
      <c r="J82" s="28">
        <f>IF(A50="YES",0,H82)</f>
        <v>12.5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f>B108/(1-0.1)</f>
        <v>444.44444444444446</v>
      </c>
      <c r="C83" s="158"/>
      <c r="D83" s="28">
        <f>B83</f>
        <v>444.44444444444446</v>
      </c>
      <c r="E83" s="159">
        <f>D83/12</f>
        <v>37.037037037037038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f>D108/(1-0.1)</f>
        <v>222.22222222222223</v>
      </c>
      <c r="C84" s="158"/>
      <c r="D84" s="28">
        <f>B84</f>
        <v>222.22222222222223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3086.4666666666667</v>
      </c>
      <c r="C87" s="158"/>
      <c r="D87" s="158"/>
      <c r="E87" s="159"/>
      <c r="F87" s="55"/>
      <c r="G87" s="220" t="s">
        <v>114</v>
      </c>
      <c r="H87" s="221">
        <f>SUM(J70:J86)</f>
        <v>4886.3</v>
      </c>
      <c r="I87" s="158"/>
      <c r="J87" s="158"/>
      <c r="K87" s="159"/>
      <c r="L87" s="55"/>
      <c r="M87" s="220" t="s">
        <v>114</v>
      </c>
      <c r="N87" s="221">
        <f>SUM(P70:P86)</f>
        <v>4873.8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257.20555555555558</v>
      </c>
      <c r="C88" s="158"/>
      <c r="D88" s="158"/>
      <c r="E88" s="159"/>
      <c r="F88" s="55"/>
      <c r="G88" s="157" t="s">
        <v>115</v>
      </c>
      <c r="H88" s="29">
        <f>H87/H29</f>
        <v>407.19166666666666</v>
      </c>
      <c r="I88" s="158"/>
      <c r="J88" s="158"/>
      <c r="K88" s="159"/>
      <c r="L88" s="55"/>
      <c r="M88" s="157" t="s">
        <v>115</v>
      </c>
      <c r="N88" s="29">
        <f>N87/H29</f>
        <v>406.15000000000003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9098.4666666666672</v>
      </c>
      <c r="C91" s="158"/>
      <c r="D91" s="158"/>
      <c r="E91" s="159"/>
      <c r="F91" s="55"/>
      <c r="G91" s="209" t="s">
        <v>126</v>
      </c>
      <c r="H91" s="24">
        <f>((H89*H29)+H87)*1.2</f>
        <v>13077.96</v>
      </c>
      <c r="I91" s="158"/>
      <c r="J91" s="158"/>
      <c r="K91" s="159"/>
      <c r="L91" s="55"/>
      <c r="M91" s="209" t="s">
        <v>126</v>
      </c>
      <c r="N91" s="24">
        <f>((N89*H29)+N87)</f>
        <v>10885.8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77.074546187979024</v>
      </c>
      <c r="C92" s="158"/>
      <c r="D92" s="158"/>
      <c r="E92" s="283"/>
      <c r="F92" s="55"/>
      <c r="G92" s="157" t="s">
        <v>127</v>
      </c>
      <c r="H92" s="29">
        <f>(((H89*H29)+H87)/(1-H76))*H76</f>
        <v>92.321218233158547</v>
      </c>
      <c r="I92" s="158"/>
      <c r="J92" s="158"/>
      <c r="K92" s="159"/>
      <c r="L92" s="55"/>
      <c r="M92" s="157" t="s">
        <v>127</v>
      </c>
      <c r="N92" s="29">
        <f>(N91/(1-N76))*N76</f>
        <v>92.215328761597419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9175.5412128546468</v>
      </c>
      <c r="C93" s="158"/>
      <c r="D93" s="158"/>
      <c r="E93" s="159"/>
      <c r="F93" s="55"/>
      <c r="G93" s="206" t="s">
        <v>128</v>
      </c>
      <c r="H93" s="57">
        <f>IF(H116="YES",((H91+H92)-K120),(H91+H92))</f>
        <v>15170.281218233158</v>
      </c>
      <c r="I93" s="158"/>
      <c r="J93" s="158"/>
      <c r="K93" s="159"/>
      <c r="L93" s="55"/>
      <c r="M93" s="206" t="s">
        <v>128</v>
      </c>
      <c r="N93" s="57">
        <f>IF(N116="YES",((N91+N92)-K120),(N91+N92))</f>
        <v>12978.015328761596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IF(B105=Z104,(((H44*B35)+(H44*B35)*(B111/100))/(B64)),(((H44*B35)+(H44*B35)*(B111/100))/(B63+B64)))</f>
        <v>60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IF(B105=Z104,(B93-D111)/(B64),B93/(B63+B64))</f>
        <v>764.6284344045539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764.6284344045539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/>
      <c r="B105" s="395" t="s">
        <v>140</v>
      </c>
      <c r="C105" s="395"/>
      <c r="D105" s="399">
        <v>1000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750</v>
      </c>
      <c r="B108" s="348">
        <v>400</v>
      </c>
      <c r="C108" s="348"/>
      <c r="D108" s="348">
        <v>200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386</v>
      </c>
      <c r="B111" s="395">
        <v>20</v>
      </c>
      <c r="C111" s="395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 t="s">
        <v>10</v>
      </c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386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1000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750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((E124*1.2)+E123)-E120</f>
        <v>1900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30" t="s">
        <v>137</v>
      </c>
      <c r="B130" s="231">
        <v>0</v>
      </c>
      <c r="C130" s="232"/>
      <c r="D130" s="231" t="s">
        <v>95</v>
      </c>
      <c r="E130" s="233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34" t="s">
        <v>292</v>
      </c>
      <c r="B131" s="235">
        <f>A167</f>
        <v>12</v>
      </c>
      <c r="C131" s="236"/>
      <c r="D131" s="235">
        <f>B166</f>
        <v>5000</v>
      </c>
      <c r="E131" s="233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230"/>
      <c r="B132" s="231"/>
      <c r="C132" s="231"/>
      <c r="D132" s="231"/>
      <c r="E132" s="233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230" t="s">
        <v>130</v>
      </c>
      <c r="B133" s="231" t="s">
        <v>300</v>
      </c>
      <c r="C133" s="232"/>
      <c r="D133" s="231" t="s">
        <v>301</v>
      </c>
      <c r="E133" s="233"/>
      <c r="F133" s="55"/>
      <c r="G133" s="169">
        <f>G158</f>
        <v>12</v>
      </c>
      <c r="H133" s="170">
        <f>B157</f>
        <v>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234">
        <f>B96</f>
        <v>764.6284344045539</v>
      </c>
      <c r="B134" s="232">
        <f>IF(A111="YES",B95,0)</f>
        <v>0</v>
      </c>
      <c r="C134" s="237"/>
      <c r="D134" s="232">
        <f>B97</f>
        <v>764.6284344045539</v>
      </c>
      <c r="E134" s="233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157"/>
      <c r="B135" s="158"/>
      <c r="C135" s="158"/>
      <c r="D135" s="158"/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0" t="s">
        <v>36</v>
      </c>
      <c r="B136" s="241" t="s">
        <v>305</v>
      </c>
      <c r="C136" s="171"/>
      <c r="D136" s="241" t="s">
        <v>306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244" t="str">
        <f>B105</f>
        <v xml:space="preserve"> Monthly in advance </v>
      </c>
      <c r="B137" s="34">
        <f>B96*B63</f>
        <v>764.6284344045539</v>
      </c>
      <c r="C137" s="158"/>
      <c r="D137" s="34">
        <f>IF(A111="YES",B95*B63,0)</f>
        <v>0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93" t="s">
        <v>310</v>
      </c>
      <c r="B139" s="35" t="s">
        <v>311</v>
      </c>
      <c r="C139" s="163"/>
      <c r="D139" s="179" t="s">
        <v>218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94">
        <f>B97*B63</f>
        <v>764.6284344045539</v>
      </c>
      <c r="B140" s="34">
        <f>E120</f>
        <v>0</v>
      </c>
      <c r="C140" s="158"/>
      <c r="D140" s="245">
        <f>B64</f>
        <v>11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94"/>
      <c r="B141" s="246"/>
      <c r="C141" s="158"/>
      <c r="D141" s="158"/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53" t="s">
        <v>130</v>
      </c>
      <c r="B142" s="247" t="s">
        <v>300</v>
      </c>
      <c r="C142" s="158"/>
      <c r="D142" s="158" t="s">
        <v>301</v>
      </c>
      <c r="E142" s="159"/>
      <c r="F142" s="55"/>
      <c r="G142" s="94">
        <f>E15*0.000006</f>
        <v>0.15288000000000002</v>
      </c>
      <c r="H142" s="34">
        <f>IF(G111="YES",E15*0.000002,0)</f>
        <v>5.0959999999999998E-2</v>
      </c>
      <c r="I142" s="34"/>
      <c r="J142" s="34">
        <f>G142+H142</f>
        <v>0.20384000000000002</v>
      </c>
      <c r="K142" s="90"/>
      <c r="L142" s="55"/>
      <c r="M142" s="94">
        <f>E15*0.000006</f>
        <v>0.15288000000000002</v>
      </c>
      <c r="N142" s="34">
        <f>IF(M111="YES",E15*0.000002,0)</f>
        <v>5.0959999999999998E-2</v>
      </c>
      <c r="O142" s="34"/>
      <c r="P142" s="34">
        <f>M142+N142</f>
        <v>0.20384000000000002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f>B96</f>
        <v>764.6284344045539</v>
      </c>
      <c r="B143" s="34">
        <f>IF(A111="YES",B95,0)</f>
        <v>0</v>
      </c>
      <c r="C143" s="158"/>
      <c r="D143" s="34">
        <f>B97</f>
        <v>764.6284344045539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/>
      <c r="B144" s="158"/>
      <c r="C144" s="158"/>
      <c r="D144" s="158"/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48" t="s">
        <v>80</v>
      </c>
      <c r="B145" s="249" t="s">
        <v>318</v>
      </c>
      <c r="C145" s="34"/>
      <c r="D145" s="249" t="s">
        <v>85</v>
      </c>
      <c r="E145" s="90"/>
      <c r="F145" s="55"/>
      <c r="G145" s="94">
        <f>G108</f>
        <v>239.988</v>
      </c>
      <c r="H145" s="34">
        <f>H73/1.2</f>
        <v>104.75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104.75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0">
        <f>(G18*0.000006)*100</f>
        <v>15.084</v>
      </c>
      <c r="B146" s="251">
        <f>G18*0.000002*100</f>
        <v>5.0279999999999996</v>
      </c>
      <c r="C146" s="252"/>
      <c r="D146" s="251">
        <f>A146+B146</f>
        <v>20.111999999999998</v>
      </c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253"/>
      <c r="B147" s="254"/>
      <c r="C147" s="158"/>
      <c r="D147" s="254"/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248" t="s">
        <v>322</v>
      </c>
      <c r="B148" s="249" t="s">
        <v>66</v>
      </c>
      <c r="C148" s="34"/>
      <c r="D148" s="249" t="s">
        <v>288</v>
      </c>
      <c r="E148" s="159"/>
      <c r="F148" s="55"/>
      <c r="G148" s="94">
        <f>IF(G111="YES",((A41*H111)*0.1)*(G133),0)</f>
        <v>12</v>
      </c>
      <c r="H148" s="34">
        <f>G108-100</f>
        <v>139.988</v>
      </c>
      <c r="I148" s="34"/>
      <c r="J148" s="34">
        <f>(H145+J145+G148+H148)-H151</f>
        <v>1336.7380000000001</v>
      </c>
      <c r="K148" s="90"/>
      <c r="L148" s="55"/>
      <c r="M148" s="94">
        <f>IF(M111="YES",((A41*N111)*0.1)*(M133),0)</f>
        <v>12</v>
      </c>
      <c r="N148" s="34">
        <f>M108-100</f>
        <v>99.990000000000009</v>
      </c>
      <c r="O148" s="34"/>
      <c r="P148" s="34">
        <f>(N145+P145+M148+N148)-N151</f>
        <v>1296.74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94">
        <v>0</v>
      </c>
      <c r="B149" s="34">
        <f>E124</f>
        <v>750</v>
      </c>
      <c r="C149" s="158"/>
      <c r="D149" s="119">
        <f>B108</f>
        <v>400</v>
      </c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94"/>
      <c r="B150" s="34"/>
      <c r="C150" s="158"/>
      <c r="D150" s="34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255" t="s">
        <v>325</v>
      </c>
      <c r="B151" s="256"/>
      <c r="C151" s="257"/>
      <c r="D151" s="256"/>
      <c r="E151" s="258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253"/>
      <c r="B152" s="254"/>
      <c r="C152" s="158"/>
      <c r="D152" s="254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326</v>
      </c>
      <c r="B153" s="158" t="s">
        <v>327</v>
      </c>
      <c r="C153" s="158"/>
      <c r="D153" s="158" t="s">
        <v>328</v>
      </c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B73</f>
        <v>100</v>
      </c>
      <c r="B154" s="34">
        <f>B108</f>
        <v>400</v>
      </c>
      <c r="C154" s="34"/>
      <c r="D154" s="34">
        <f>IF(A111="YES",(A41/100*B111)*B131,0)*0.1</f>
        <v>0</v>
      </c>
      <c r="E154" s="90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 t="s">
        <v>330</v>
      </c>
      <c r="B156" s="158" t="s">
        <v>324</v>
      </c>
      <c r="C156" s="158"/>
      <c r="D156" s="158" t="s">
        <v>321</v>
      </c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94">
        <v>225</v>
      </c>
      <c r="B157" s="34">
        <f>(A154+B154+D154+A157)*(A149/B70)</f>
        <v>0</v>
      </c>
      <c r="C157" s="34"/>
      <c r="D157" s="34">
        <f>(A154+B154+D154+A157)-B157-A160</f>
        <v>525</v>
      </c>
      <c r="E157" s="90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58"/>
      <c r="C158" s="158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 t="s">
        <v>331</v>
      </c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94">
        <f>D108</f>
        <v>200</v>
      </c>
      <c r="B160" s="34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2" t="s">
        <v>329</v>
      </c>
      <c r="B163" s="158"/>
      <c r="C163" s="158"/>
      <c r="D163" s="203"/>
      <c r="E163" s="204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83"/>
      <c r="C164" s="183"/>
      <c r="D164" s="158"/>
      <c r="E164" s="159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87" t="s">
        <v>94</v>
      </c>
      <c r="B165" s="388" t="s">
        <v>95</v>
      </c>
      <c r="C165" s="388"/>
      <c r="D165" s="158"/>
      <c r="E165" s="159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387"/>
      <c r="B166" s="389">
        <f>B57</f>
        <v>5000</v>
      </c>
      <c r="C166" s="389"/>
      <c r="D166" s="158"/>
      <c r="E166" s="159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185">
        <f>A58</f>
        <v>12</v>
      </c>
      <c r="B167" s="343">
        <f>B97</f>
        <v>764.6284344045539</v>
      </c>
      <c r="C167" s="343"/>
      <c r="D167" s="158"/>
      <c r="E167" s="159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157"/>
      <c r="B168" s="158"/>
      <c r="C168" s="158"/>
      <c r="D168" s="158"/>
      <c r="E168" s="159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157"/>
      <c r="B169" s="158"/>
      <c r="C169" s="158"/>
      <c r="D169" s="158"/>
      <c r="E169" s="159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157"/>
      <c r="B170" s="158"/>
      <c r="C170" s="158"/>
      <c r="D170" s="158"/>
      <c r="E170" s="159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59">
        <f>A167</f>
        <v>12</v>
      </c>
      <c r="C174" s="236"/>
      <c r="D174" s="232">
        <f>B166</f>
        <v>5000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B96</f>
        <v>764.6284344045539</v>
      </c>
      <c r="B177" s="232">
        <f>IF(A111="YES",B95,0)</f>
        <v>0</v>
      </c>
      <c r="C177" s="237"/>
      <c r="D177" s="232">
        <f>B91</f>
        <v>9098.4666666666672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B105</f>
        <v xml:space="preserve"> Monthly in advance </v>
      </c>
      <c r="B180" s="34">
        <f>B96*B63</f>
        <v>764.6284344045539</v>
      </c>
      <c r="C180" s="158"/>
      <c r="D180" s="34">
        <f>IF(A111="YES",B95*B63,0)</f>
        <v>0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B97*B63</f>
        <v>764.6284344045539</v>
      </c>
      <c r="B183" s="34">
        <f>E120</f>
        <v>0</v>
      </c>
      <c r="C183" s="158"/>
      <c r="D183" s="245">
        <f>B64</f>
        <v>11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B96</f>
        <v>764.6284344045539</v>
      </c>
      <c r="B186" s="34">
        <f>IF(A111="YES",B95,0)</f>
        <v>0</v>
      </c>
      <c r="C186" s="158"/>
      <c r="D186" s="34">
        <f>B97</f>
        <v>764.6284344045539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15.084</v>
      </c>
      <c r="B189" s="251">
        <f>G18*0.000002*100</f>
        <v>5.0279999999999996</v>
      </c>
      <c r="C189" s="252"/>
      <c r="D189" s="251">
        <f>A189+B189</f>
        <v>20.111999999999998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E124</f>
        <v>750</v>
      </c>
      <c r="C192" s="158"/>
      <c r="D192" s="119">
        <f>B108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B73</f>
        <v>100</v>
      </c>
      <c r="B197" s="34">
        <f>B154</f>
        <v>400</v>
      </c>
      <c r="C197" s="34"/>
      <c r="D197" s="34">
        <f>IF(A111="YES",(A41/100*B111)*B131,0)*0.1</f>
        <v>0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A157</f>
        <v>225</v>
      </c>
      <c r="B200" s="34">
        <f>(A154+B154+D154+A157)*(A149/B70)</f>
        <v>0</v>
      </c>
      <c r="C200" s="34"/>
      <c r="D200" s="34">
        <f>D157</f>
        <v>525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D108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0</v>
      </c>
      <c r="C209" s="232" t="s">
        <v>227</v>
      </c>
      <c r="D209" s="261">
        <f>D70</f>
        <v>1759.8000000000002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465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2124.8000000000002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D70</f>
        <v>1759.8000000000002</v>
      </c>
      <c r="C217" s="178" t="s">
        <v>233</v>
      </c>
      <c r="D217" s="158"/>
      <c r="E217" s="214">
        <f>B72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B73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B84-(B84*(E219*100))</f>
        <v>200</v>
      </c>
      <c r="C223" s="163" t="s">
        <v>230</v>
      </c>
      <c r="D223" s="158"/>
      <c r="E223" s="29">
        <f>(B217-B211+D211)</f>
        <v>2124.8000000000002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0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B77</f>
        <v>200</v>
      </c>
      <c r="C229" s="163" t="s">
        <v>238</v>
      </c>
      <c r="D229" s="254"/>
      <c r="E229" s="118">
        <f>B78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D79</f>
        <v>260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B74</f>
        <v>7.4999999999999997E-3</v>
      </c>
      <c r="C231" s="163" t="s">
        <v>241</v>
      </c>
      <c r="D231" s="254"/>
      <c r="E231" s="214">
        <f>B75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B92</f>
        <v>77.074546187979024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B85</f>
        <v>200</v>
      </c>
      <c r="C233" s="268" t="s">
        <v>336</v>
      </c>
      <c r="D233" s="269"/>
      <c r="E233" s="118">
        <f>B80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B86</f>
        <v>200</v>
      </c>
      <c r="C235" s="272" t="s">
        <v>337</v>
      </c>
      <c r="D235" s="272"/>
      <c r="E235" s="118">
        <f>B81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3">
    <mergeCell ref="A207:E207"/>
    <mergeCell ref="A165:A166"/>
    <mergeCell ref="B165:C165"/>
    <mergeCell ref="B166:C166"/>
    <mergeCell ref="B167:C167"/>
    <mergeCell ref="A171:E171"/>
    <mergeCell ref="H158:I158"/>
    <mergeCell ref="M159:M160"/>
    <mergeCell ref="N159:O159"/>
    <mergeCell ref="N160:O160"/>
    <mergeCell ref="N161:O161"/>
    <mergeCell ref="H130:I130"/>
    <mergeCell ref="N130:O130"/>
    <mergeCell ref="N154:O154"/>
    <mergeCell ref="G156:G157"/>
    <mergeCell ref="H156:I156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G100:K100"/>
    <mergeCell ref="M100:Q100"/>
    <mergeCell ref="A102:E102"/>
    <mergeCell ref="G102:K102"/>
    <mergeCell ref="M102:Q102"/>
    <mergeCell ref="A56:A57"/>
    <mergeCell ref="B56:C56"/>
    <mergeCell ref="B57:C57"/>
    <mergeCell ref="B58:C58"/>
    <mergeCell ref="A100:E100"/>
    <mergeCell ref="G42:H42"/>
    <mergeCell ref="B44:C44"/>
    <mergeCell ref="D44:E44"/>
    <mergeCell ref="B47:C47"/>
    <mergeCell ref="D47:E47"/>
    <mergeCell ref="B35:C35"/>
    <mergeCell ref="D35:E35"/>
    <mergeCell ref="B38:C38"/>
    <mergeCell ref="D38:E38"/>
    <mergeCell ref="B41:C41"/>
    <mergeCell ref="D41:E41"/>
    <mergeCell ref="A26:E26"/>
    <mergeCell ref="B29:C29"/>
    <mergeCell ref="D29:E29"/>
    <mergeCell ref="B30:C30"/>
    <mergeCell ref="B32:C32"/>
    <mergeCell ref="D32:E32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4">
    <dataValidation type="list" allowBlank="1" showErrorMessage="1" sqref="A32" xr:uid="{00000000-0002-0000-3C00-000000000000}">
      <formula1>$Z$103:$Z$111</formula1>
      <formula2>0</formula2>
    </dataValidation>
    <dataValidation type="list" allowBlank="1" showErrorMessage="1" sqref="B38 A111 G111 M111 O113 B116 H116 N116" xr:uid="{00000000-0002-0000-3C00-000001000000}">
      <formula1>$Z$19:$Z$20</formula1>
      <formula2>0</formula2>
    </dataValidation>
    <dataValidation type="list" allowBlank="1" showErrorMessage="1" sqref="A18:A20" xr:uid="{00000000-0002-0000-3C00-000002000000}">
      <formula1>$Y$16:$Y$18</formula1>
      <formula2>0</formula2>
    </dataValidation>
    <dataValidation type="list" allowBlank="1" showErrorMessage="1" sqref="H105 N105" xr:uid="{00000000-0002-0000-3C00-000003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3C00-000004000000}">
          <x14:formula1>
            <xm:f>'FL (Formula 3) - BCH, PCH, FL'!$Z$103:$Z$111</xm:f>
          </x14:formula1>
          <x14:formula2>
            <xm:f>0</xm:f>
          </x14:formula2>
          <xm:sqref>B105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AP272"/>
  <sheetViews>
    <sheetView topLeftCell="A251" zoomScale="110" zoomScaleNormal="110" workbookViewId="0">
      <selection activeCell="G158" sqref="G158:H158"/>
    </sheetView>
  </sheetViews>
  <sheetFormatPr defaultColWidth="8.375" defaultRowHeight="18.75"/>
  <cols>
    <col min="1" max="1" customWidth="true" style="4" width="41.625"/>
    <col min="2" max="6" customWidth="true" style="4" width="18.875"/>
    <col min="7" max="7" customWidth="true" style="4" width="23.125"/>
    <col min="8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44" t="s">
        <v>382</v>
      </c>
      <c r="B1" s="344"/>
      <c r="C1" s="344"/>
      <c r="D1" s="344"/>
      <c r="E1" s="344"/>
      <c r="F1" s="344"/>
      <c r="G1" s="344"/>
      <c r="H1" s="344"/>
      <c r="I1" s="5"/>
      <c r="J1" s="5"/>
    </row>
    <row r="2" spans="1:25" ht="21">
      <c r="A2" s="68"/>
      <c r="B2" s="413" t="s">
        <v>154</v>
      </c>
      <c r="C2" s="413"/>
      <c r="D2" s="413" t="s">
        <v>155</v>
      </c>
      <c r="E2" s="413"/>
      <c r="F2" s="413" t="s">
        <v>156</v>
      </c>
      <c r="G2" s="413"/>
      <c r="H2" s="287" t="s">
        <v>157</v>
      </c>
      <c r="I2" s="5"/>
      <c r="J2" s="5"/>
    </row>
    <row r="3" spans="1:25">
      <c r="A3" s="27" t="s">
        <v>160</v>
      </c>
      <c r="B3" s="414">
        <v>56579.17</v>
      </c>
      <c r="C3" s="414">
        <v>0</v>
      </c>
      <c r="D3" s="414">
        <v>0</v>
      </c>
      <c r="E3" s="414"/>
      <c r="F3" s="414">
        <v>833.33</v>
      </c>
      <c r="G3" s="414"/>
      <c r="H3" s="289">
        <v>0</v>
      </c>
      <c r="I3" s="5"/>
      <c r="J3" s="5"/>
    </row>
    <row r="4" spans="1:25">
      <c r="A4" s="27" t="s">
        <v>161</v>
      </c>
      <c r="B4" s="418">
        <v>2</v>
      </c>
      <c r="C4" s="418">
        <v>0</v>
      </c>
      <c r="D4" s="418">
        <v>0</v>
      </c>
      <c r="E4" s="418"/>
      <c r="F4" s="418">
        <v>2</v>
      </c>
      <c r="G4" s="418"/>
      <c r="H4" s="105"/>
      <c r="I4" s="5"/>
      <c r="J4" s="5"/>
    </row>
    <row r="5" spans="1:25">
      <c r="A5" s="27" t="s">
        <v>162</v>
      </c>
      <c r="B5" s="414">
        <v>0</v>
      </c>
      <c r="C5" s="414">
        <v>0</v>
      </c>
      <c r="D5" s="414">
        <v>0</v>
      </c>
      <c r="E5" s="414"/>
      <c r="F5" s="414">
        <v>0</v>
      </c>
      <c r="G5" s="414"/>
      <c r="H5" s="29"/>
      <c r="I5" s="5"/>
      <c r="J5" s="5"/>
    </row>
    <row r="6" spans="1:25">
      <c r="A6" s="27" t="s">
        <v>163</v>
      </c>
      <c r="B6" s="380">
        <f>(B3*B4/100)+B5</f>
        <v>1131.5834</v>
      </c>
      <c r="C6" s="380">
        <f>(C3*C4/100)+C5</f>
        <v>0</v>
      </c>
      <c r="D6" s="380">
        <f>(D3*D4/100)+D5</f>
        <v>0</v>
      </c>
      <c r="E6" s="380"/>
      <c r="F6" s="380">
        <f>(F3*F4/100)+F5</f>
        <v>16.666600000000003</v>
      </c>
      <c r="G6" s="380"/>
      <c r="H6" s="29"/>
      <c r="I6" s="5"/>
      <c r="J6" s="5"/>
    </row>
    <row r="7" spans="1:25">
      <c r="A7" s="27" t="s">
        <v>164</v>
      </c>
      <c r="B7" s="380">
        <f>B3-B6</f>
        <v>55447.586599999995</v>
      </c>
      <c r="C7" s="380">
        <f>C3-C6</f>
        <v>0</v>
      </c>
      <c r="D7" s="380">
        <f>D3-D6</f>
        <v>0</v>
      </c>
      <c r="E7" s="380"/>
      <c r="F7" s="380">
        <f>F3-F6</f>
        <v>816.66340000000002</v>
      </c>
      <c r="G7" s="380"/>
      <c r="H7" s="29"/>
      <c r="I7" s="5"/>
      <c r="J7" s="5"/>
    </row>
    <row r="8" spans="1:25">
      <c r="A8" s="27"/>
      <c r="B8" s="28"/>
      <c r="C8" s="28"/>
      <c r="D8" s="28"/>
      <c r="E8" s="28"/>
      <c r="F8" s="28"/>
      <c r="G8" s="28"/>
      <c r="H8" s="29"/>
      <c r="I8" s="5"/>
      <c r="J8" s="5"/>
      <c r="L8" s="14" t="s">
        <v>17</v>
      </c>
      <c r="M8" s="11">
        <f>H13+H14</f>
        <v>700</v>
      </c>
    </row>
    <row r="9" spans="1:25" ht="21">
      <c r="A9" s="356" t="s">
        <v>172</v>
      </c>
      <c r="B9" s="356"/>
      <c r="C9" s="356"/>
      <c r="D9" s="356"/>
      <c r="E9" s="356">
        <f>(B7+C7+D7+E3)</f>
        <v>55447.586599999995</v>
      </c>
      <c r="F9" s="356"/>
      <c r="G9" s="109"/>
      <c r="H9" s="290">
        <f>B7+D7+F7+H3</f>
        <v>56264.249999999993</v>
      </c>
      <c r="I9" s="5"/>
      <c r="J9" s="5"/>
      <c r="L9" s="11"/>
      <c r="M9" s="11"/>
    </row>
    <row r="10" spans="1:25">
      <c r="A10" s="357" t="s">
        <v>173</v>
      </c>
      <c r="B10" s="357"/>
      <c r="C10" s="357"/>
      <c r="D10" s="357"/>
      <c r="E10" s="357">
        <v>50</v>
      </c>
      <c r="F10" s="357"/>
      <c r="G10" s="121"/>
      <c r="H10" s="289">
        <v>150</v>
      </c>
      <c r="I10" s="5"/>
      <c r="J10" s="5"/>
      <c r="L10" s="16" t="s">
        <v>15</v>
      </c>
      <c r="M10" s="11">
        <f>H15-H11-M8</f>
        <v>56414.249999999993</v>
      </c>
    </row>
    <row r="11" spans="1:25">
      <c r="A11" s="357" t="s">
        <v>174</v>
      </c>
      <c r="B11" s="357"/>
      <c r="C11" s="357"/>
      <c r="D11" s="357"/>
      <c r="E11" s="357"/>
      <c r="F11" s="357"/>
      <c r="G11" s="121"/>
      <c r="H11" s="29">
        <f>(H9+H10)*20%</f>
        <v>11282.849999999999</v>
      </c>
      <c r="I11" s="5"/>
      <c r="J11" s="5"/>
      <c r="L11" s="11"/>
      <c r="M11" s="11"/>
    </row>
    <row r="12" spans="1:25">
      <c r="A12" s="357" t="s">
        <v>175</v>
      </c>
      <c r="B12" s="357"/>
      <c r="C12" s="357"/>
      <c r="D12" s="357"/>
      <c r="E12" s="357"/>
      <c r="F12" s="357"/>
      <c r="G12" s="121"/>
      <c r="H12" s="289">
        <v>0</v>
      </c>
      <c r="I12" s="5"/>
      <c r="J12" s="5"/>
    </row>
    <row r="13" spans="1:25">
      <c r="A13" s="357" t="s">
        <v>176</v>
      </c>
      <c r="B13" s="357"/>
      <c r="C13" s="357"/>
      <c r="D13" s="357"/>
      <c r="E13" s="357">
        <v>585</v>
      </c>
      <c r="F13" s="357"/>
      <c r="G13" s="121"/>
      <c r="H13" s="289">
        <v>645</v>
      </c>
      <c r="I13" s="5"/>
      <c r="J13" s="5"/>
    </row>
    <row r="14" spans="1:25">
      <c r="A14" s="357" t="s">
        <v>177</v>
      </c>
      <c r="B14" s="357"/>
      <c r="C14" s="357"/>
      <c r="D14" s="357"/>
      <c r="E14" s="357">
        <v>55</v>
      </c>
      <c r="F14" s="357"/>
      <c r="G14" s="121"/>
      <c r="H14" s="289">
        <v>55</v>
      </c>
      <c r="I14" s="5"/>
      <c r="J14" s="5" t="s">
        <v>24</v>
      </c>
    </row>
    <row r="15" spans="1:25">
      <c r="A15" s="357" t="s">
        <v>178</v>
      </c>
      <c r="B15" s="357"/>
      <c r="C15" s="357"/>
      <c r="D15" s="357"/>
      <c r="E15" s="357"/>
      <c r="F15" s="357"/>
      <c r="G15" s="121"/>
      <c r="H15" s="291">
        <f>(H9+H10+H13+H14+H11)-H12</f>
        <v>68397.099999999991</v>
      </c>
      <c r="I15" s="5"/>
      <c r="J15" s="17">
        <f>H15</f>
        <v>68397.099999999991</v>
      </c>
    </row>
    <row r="16" spans="1:25">
      <c r="A16" s="357" t="s">
        <v>179</v>
      </c>
      <c r="B16" s="357"/>
      <c r="C16" s="357"/>
      <c r="D16" s="357"/>
      <c r="E16" s="357">
        <v>120</v>
      </c>
      <c r="F16" s="357"/>
      <c r="G16" s="121"/>
      <c r="H16" s="289">
        <v>0</v>
      </c>
      <c r="I16" s="5"/>
      <c r="J16" s="5"/>
      <c r="Y16" s="18" t="s">
        <v>26</v>
      </c>
    </row>
    <row r="17" spans="1:26">
      <c r="A17" s="358" t="s">
        <v>180</v>
      </c>
      <c r="B17" s="358"/>
      <c r="C17" s="358"/>
      <c r="D17" s="358"/>
      <c r="E17" s="358"/>
      <c r="F17" s="358"/>
      <c r="G17" s="34"/>
      <c r="H17" s="29"/>
      <c r="I17" s="5"/>
      <c r="J17" s="5" t="s">
        <v>27</v>
      </c>
      <c r="Y17" s="18" t="s">
        <v>28</v>
      </c>
    </row>
    <row r="18" spans="1:26">
      <c r="A18" s="124" t="s">
        <v>26</v>
      </c>
      <c r="B18" s="360" t="s">
        <v>181</v>
      </c>
      <c r="C18" s="360"/>
      <c r="D18" s="360"/>
      <c r="E18" s="360"/>
      <c r="F18" s="360"/>
      <c r="G18" s="35"/>
      <c r="H18" s="292">
        <v>0</v>
      </c>
      <c r="I18" s="5"/>
      <c r="J18" s="17">
        <f>(B3+D3+F3+H3+H10)*1.2</f>
        <v>69075</v>
      </c>
      <c r="Y18" s="18" t="s">
        <v>29</v>
      </c>
    </row>
    <row r="19" spans="1:26">
      <c r="A19" s="124" t="s">
        <v>28</v>
      </c>
      <c r="B19" s="360" t="s">
        <v>181</v>
      </c>
      <c r="C19" s="360"/>
      <c r="D19" s="360"/>
      <c r="E19" s="360"/>
      <c r="F19" s="360"/>
      <c r="G19" s="35"/>
      <c r="H19" s="292">
        <v>0</v>
      </c>
      <c r="I19" s="5"/>
      <c r="J19" s="5"/>
      <c r="Z19" s="5" t="s">
        <v>31</v>
      </c>
    </row>
    <row r="20" spans="1:26">
      <c r="A20" s="124" t="s">
        <v>29</v>
      </c>
      <c r="B20" s="360" t="s">
        <v>181</v>
      </c>
      <c r="C20" s="360"/>
      <c r="D20" s="360"/>
      <c r="E20" s="360"/>
      <c r="F20" s="360"/>
      <c r="G20" s="35"/>
      <c r="H20" s="292">
        <v>0</v>
      </c>
      <c r="I20" s="5"/>
      <c r="J20" s="5"/>
      <c r="Z20" s="5" t="s">
        <v>32</v>
      </c>
    </row>
    <row r="21" spans="1:26" ht="21">
      <c r="A21" s="417" t="s">
        <v>182</v>
      </c>
      <c r="B21" s="417"/>
      <c r="C21" s="417"/>
      <c r="D21" s="417"/>
      <c r="E21" s="417"/>
      <c r="F21" s="417"/>
      <c r="G21" s="293"/>
      <c r="H21" s="294">
        <f>H15-((H18*1.2)+(H19*1.2)+(H20*1.2)+(H16*1.2))</f>
        <v>68397.099999999991</v>
      </c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76" t="s">
        <v>246</v>
      </c>
      <c r="B24" s="376"/>
      <c r="C24" s="376"/>
      <c r="D24" s="376"/>
      <c r="E24" s="376"/>
      <c r="F24" s="55"/>
      <c r="G24" s="55"/>
      <c r="H24" s="55"/>
    </row>
    <row r="25" spans="1:26">
      <c r="A25" s="157"/>
      <c r="B25" s="158"/>
      <c r="C25" s="158"/>
      <c r="D25" s="158"/>
      <c r="E25" s="159"/>
      <c r="F25" s="55"/>
      <c r="G25" s="55"/>
      <c r="H25" s="55"/>
    </row>
    <row r="26" spans="1:26" ht="23.25">
      <c r="A26" s="377" t="s">
        <v>247</v>
      </c>
      <c r="B26" s="377"/>
      <c r="C26" s="377"/>
      <c r="D26" s="377"/>
      <c r="E26" s="377"/>
      <c r="F26" s="55"/>
      <c r="G26" s="160"/>
      <c r="H26" s="160"/>
    </row>
    <row r="27" spans="1:26">
      <c r="A27" s="157"/>
      <c r="B27" s="158"/>
      <c r="C27" s="158"/>
      <c r="D27" s="158"/>
      <c r="E27" s="159"/>
      <c r="F27" s="55"/>
      <c r="G27" s="161" t="s">
        <v>96</v>
      </c>
      <c r="H27" s="161">
        <f>IF(A32=Y104,1,IF(A32=Y105,1,IF(A32=Y106,3,IF(A32=Y107,6,IF(A32=Y108,9,IF(A32=Y109,12,IF(A32=Y110,3,IF(A32=Y111,6,IF(A32=Y112,9,0)))))))))</f>
        <v>0</v>
      </c>
    </row>
    <row r="28" spans="1:26" ht="37.5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IF(A32=Y104,H29-H37,IF(A32=Y105,H29-H37,IF(A32=Y106,H29-1,IF(A32=Y107,H29-1,IF(A32=Y108,H29-1,IF(A32=Y109,H29-1,IF(A32=Y110,H29-H37,IF(A32=Y111,H29-H37,IF(A32=Y112,H29-H37,0)))))))))</f>
        <v>0</v>
      </c>
    </row>
    <row r="29" spans="1:26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 t="str">
        <f>B35</f>
        <v>33</v>
      </c>
    </row>
    <row r="30" spans="1:26">
      <c r="A30" s="157"/>
      <c r="B30" s="380"/>
      <c r="C30" s="380"/>
      <c r="D30" s="158"/>
      <c r="E30" s="159"/>
      <c r="F30" s="55"/>
      <c r="G30" s="160" t="s">
        <v>45</v>
      </c>
      <c r="H30" s="160" t="str">
        <f>D35</f>
        <v>5000</v>
      </c>
    </row>
    <row r="31" spans="1:26" ht="37.5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 t="str">
        <f>D38</f>
        <v>500</v>
      </c>
    </row>
    <row r="32" spans="1:26">
      <c r="A32" s="164" t="s">
        <v>140</v>
      </c>
      <c r="B32" s="381" t="str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20.2</v>
      </c>
      <c r="E32" s="381"/>
      <c r="F32" s="55"/>
      <c r="G32" s="168" t="s">
        <v>253</v>
      </c>
      <c r="H32" s="166">
        <f>A41</f>
        <v>20.2</v>
      </c>
      <c r="J32" s="39" t="s">
        <v>50</v>
      </c>
      <c r="K32" s="190" t="s">
        <v>411</v>
      </c>
    </row>
    <row r="33" spans="1:16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J33" s="39"/>
      <c r="K33" s="13"/>
    </row>
    <row r="34" spans="1:16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 t="str">
        <f>A44</f>
        <v>12</v>
      </c>
      <c r="J34" s="39" t="s">
        <v>57</v>
      </c>
      <c r="K34" s="44" t="s">
        <v>398</v>
      </c>
    </row>
    <row r="35" spans="1:16">
      <c r="A35" s="167">
        <f>B32+D32</f>
        <v>520.20000000000005</v>
      </c>
      <c r="B35" s="378" t="s">
        <v>403</v>
      </c>
      <c r="C35" s="378"/>
      <c r="D35" s="378" t="s">
        <v>397</v>
      </c>
      <c r="E35" s="378"/>
      <c r="F35" s="55"/>
      <c r="G35" s="46"/>
      <c r="H35" s="174"/>
      <c r="J35" s="39"/>
      <c r="K35" s="13">
        <v>7.0000000000000007E-2</v>
      </c>
    </row>
    <row r="36" spans="1:16">
      <c r="A36" s="157"/>
      <c r="B36" s="158"/>
      <c r="C36" s="158"/>
      <c r="D36" s="158"/>
      <c r="E36" s="159"/>
      <c r="F36" s="55"/>
      <c r="G36" s="55" t="s">
        <v>91</v>
      </c>
      <c r="H36" s="56">
        <v>666.6</v>
      </c>
      <c r="J36" s="39" t="s">
        <v>64</v>
      </c>
      <c r="K36" s="47">
        <f>K32-K34</f>
        <v>67397.100000000006</v>
      </c>
    </row>
    <row r="37" spans="1:16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</row>
    <row r="38" spans="1:16">
      <c r="A38" s="175">
        <f>(B35/12)*D35</f>
        <v>13750</v>
      </c>
      <c r="B38" s="378" t="s">
        <v>410</v>
      </c>
      <c r="C38" s="378"/>
      <c r="D38" s="346" t="s">
        <v>390</v>
      </c>
      <c r="E38" s="346"/>
      <c r="F38" s="55"/>
      <c r="G38" s="55"/>
      <c r="H38" s="55"/>
      <c r="J38" s="382"/>
      <c r="K38" s="382"/>
      <c r="L38" s="5"/>
      <c r="N38" s="4">
        <f>80.88*36</f>
        <v>2911.68</v>
      </c>
    </row>
    <row r="39" spans="1:16">
      <c r="A39" s="176"/>
      <c r="B39" s="171"/>
      <c r="C39" s="171"/>
      <c r="D39" s="158"/>
      <c r="E39" s="159"/>
      <c r="F39" s="55"/>
      <c r="G39" s="55"/>
      <c r="H39" s="5"/>
      <c r="L39" s="5"/>
      <c r="N39" s="4">
        <f>K39-L39</f>
        <v>0</v>
      </c>
    </row>
    <row r="40" spans="1:16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L40" s="5"/>
      <c r="N40" s="4">
        <f>N38-N39</f>
        <v>2911.68</v>
      </c>
    </row>
    <row r="41" spans="1:16">
      <c r="A41" s="89">
        <f>H36/B35</f>
        <v>20.2</v>
      </c>
      <c r="B41" s="383">
        <f>IF(B38="YES",D38+A41,D38)</f>
        <v>520.20000000000005</v>
      </c>
      <c r="C41" s="383"/>
      <c r="D41" s="346">
        <v>6000</v>
      </c>
      <c r="E41" s="346"/>
      <c r="F41" s="55"/>
      <c r="G41" s="55"/>
      <c r="H41" s="180"/>
      <c r="J41" s="5"/>
      <c r="K41" s="5"/>
      <c r="L41" s="5"/>
    </row>
    <row r="42" spans="1:16">
      <c r="A42" s="176"/>
      <c r="B42" s="171"/>
      <c r="C42" s="171"/>
      <c r="D42" s="171"/>
      <c r="E42" s="181"/>
      <c r="F42" s="55"/>
      <c r="G42" s="384" t="s">
        <v>65</v>
      </c>
      <c r="H42" s="384"/>
      <c r="J42" s="5"/>
      <c r="K42" s="5"/>
      <c r="L42" s="5"/>
    </row>
    <row r="43" spans="1:16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500.36363636363637</v>
      </c>
      <c r="J43" s="5"/>
      <c r="K43" s="5"/>
      <c r="L43" s="5"/>
    </row>
    <row r="44" spans="1:16">
      <c r="A44" s="89" t="s">
        <v>393</v>
      </c>
      <c r="B44" s="385">
        <v>0</v>
      </c>
      <c r="C44" s="385"/>
      <c r="D44" s="385">
        <v>0</v>
      </c>
      <c r="E44" s="385"/>
      <c r="F44" s="55"/>
      <c r="G44" s="55" t="s">
        <v>264</v>
      </c>
      <c r="H44" s="5">
        <f>H32</f>
        <v>20.2</v>
      </c>
      <c r="J44" s="5"/>
      <c r="K44" s="5"/>
      <c r="L44" s="5"/>
    </row>
    <row r="45" spans="1:16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520.56363636363642</v>
      </c>
      <c r="J45" s="5"/>
      <c r="K45" s="5"/>
      <c r="L45" s="5"/>
    </row>
    <row r="46" spans="1:16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500.36363636363637</v>
      </c>
      <c r="J46" s="5"/>
      <c r="K46" s="5"/>
      <c r="L46" s="5"/>
    </row>
    <row r="47" spans="1:16">
      <c r="A47" s="179">
        <v>0</v>
      </c>
      <c r="B47" s="386">
        <v>0</v>
      </c>
      <c r="C47" s="386"/>
      <c r="D47" s="385">
        <v>0</v>
      </c>
      <c r="E47" s="385"/>
      <c r="F47" s="55"/>
      <c r="G47" s="55"/>
      <c r="H47" s="5"/>
      <c r="J47" s="5"/>
      <c r="K47" s="5"/>
      <c r="L47" s="5"/>
    </row>
    <row r="48" spans="1:16">
      <c r="B48" s="171"/>
      <c r="C48" s="171"/>
      <c r="D48" s="171"/>
      <c r="E48" s="181"/>
      <c r="F48" s="55"/>
      <c r="G48" s="55"/>
      <c r="H48" s="5"/>
      <c r="J48" s="48"/>
      <c r="K48" s="5"/>
      <c r="L48" s="5"/>
    </row>
    <row r="49" spans="1:29">
      <c r="A49" s="176"/>
      <c r="B49" s="171"/>
      <c r="C49" s="171"/>
      <c r="D49" s="171"/>
      <c r="E49" s="181"/>
      <c r="F49" s="55"/>
      <c r="G49" s="55"/>
      <c r="H49" s="5"/>
      <c r="J49" s="5"/>
      <c r="K49" s="5"/>
      <c r="L49" s="5"/>
    </row>
    <row r="50" spans="1:29">
      <c r="A50" s="157"/>
      <c r="B50" s="183"/>
      <c r="C50" s="183"/>
      <c r="D50" s="158"/>
      <c r="E50" s="159"/>
      <c r="I50" s="5"/>
      <c r="J50" s="5"/>
      <c r="K50" s="5"/>
    </row>
    <row r="51" spans="1:29" ht="19.5" customHeight="1">
      <c r="A51" s="387" t="s">
        <v>94</v>
      </c>
      <c r="B51" s="388" t="s">
        <v>95</v>
      </c>
      <c r="C51" s="388"/>
      <c r="D51" s="158"/>
      <c r="E51" s="159"/>
      <c r="I51" s="5"/>
      <c r="J51" s="5"/>
      <c r="K51" s="5"/>
    </row>
    <row r="52" spans="1:29">
      <c r="A52" s="387"/>
      <c r="B52" s="389" t="str">
        <f>H30</f>
        <v>5000</v>
      </c>
      <c r="C52" s="389"/>
      <c r="D52" s="158"/>
      <c r="E52" s="159"/>
      <c r="I52" s="5"/>
      <c r="J52" s="5"/>
      <c r="K52" s="5"/>
    </row>
    <row r="53" spans="1:29">
      <c r="A53" s="185" t="str">
        <f>H29</f>
        <v>33</v>
      </c>
      <c r="B53" s="343">
        <f>H45</f>
        <v>520.56363636363642</v>
      </c>
      <c r="C53" s="343"/>
      <c r="D53" s="158"/>
      <c r="E53" s="159"/>
      <c r="I53" s="5"/>
      <c r="J53" s="5"/>
      <c r="K53" s="5"/>
    </row>
    <row r="54" spans="1:29">
      <c r="A54" s="3" t="s">
        <v>10</v>
      </c>
      <c r="I54" s="5"/>
      <c r="J54" s="5"/>
      <c r="K54" s="5"/>
    </row>
    <row r="55" spans="1:29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29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29">
      <c r="A57" s="22"/>
      <c r="B57" s="23"/>
      <c r="C57" s="23"/>
      <c r="D57" s="23"/>
      <c r="E57" s="63"/>
      <c r="F57" s="63"/>
      <c r="G57" s="63"/>
      <c r="H57" s="24"/>
    </row>
    <row r="58" spans="1:29">
      <c r="A58" s="27" t="s">
        <v>96</v>
      </c>
      <c r="B58" s="28">
        <v>1</v>
      </c>
      <c r="C58" s="186"/>
      <c r="D58" s="28"/>
      <c r="E58" s="21"/>
      <c r="F58" s="21"/>
      <c r="G58" s="21"/>
      <c r="H58" s="29"/>
    </row>
    <row r="59" spans="1:29">
      <c r="A59" s="27" t="s">
        <v>97</v>
      </c>
      <c r="B59" s="28">
        <f>B35-B58</f>
        <v>32</v>
      </c>
      <c r="C59" s="186"/>
      <c r="D59" s="28"/>
      <c r="E59" s="21"/>
      <c r="F59" s="21"/>
      <c r="G59" s="21"/>
      <c r="H59" s="29"/>
    </row>
    <row r="60" spans="1:29">
      <c r="A60" s="64" t="s">
        <v>98</v>
      </c>
      <c r="B60" s="65">
        <v>10</v>
      </c>
      <c r="C60" s="186"/>
      <c r="D60" s="28"/>
      <c r="E60" s="21"/>
      <c r="F60" s="21"/>
      <c r="G60" s="21"/>
      <c r="H60" s="29"/>
    </row>
    <row r="61" spans="1:29">
      <c r="A61" s="27" t="s">
        <v>27</v>
      </c>
      <c r="B61" s="28">
        <f>J18</f>
        <v>69075</v>
      </c>
      <c r="C61" s="186"/>
      <c r="D61" s="28"/>
      <c r="E61" s="21"/>
      <c r="F61" s="21"/>
      <c r="G61" s="21"/>
      <c r="H61" s="29"/>
    </row>
    <row r="62" spans="1:29">
      <c r="A62" s="66" t="s">
        <v>99</v>
      </c>
      <c r="B62" s="67">
        <v>0</v>
      </c>
      <c r="C62" s="186"/>
      <c r="D62" s="28"/>
      <c r="E62" s="21"/>
      <c r="F62" s="21"/>
      <c r="G62" s="21"/>
      <c r="H62" s="29"/>
      <c r="K62" s="10"/>
      <c r="T62" s="10"/>
      <c r="AC62" s="10"/>
    </row>
    <row r="63" spans="1:29">
      <c r="A63" s="68" t="s">
        <v>100</v>
      </c>
      <c r="B63" s="69">
        <v>7.0000000000000007E-2</v>
      </c>
      <c r="C63" s="186"/>
      <c r="D63" s="28"/>
      <c r="E63" s="21"/>
      <c r="F63" s="21"/>
      <c r="G63" s="21"/>
      <c r="H63" s="29"/>
      <c r="K63" s="10"/>
      <c r="T63" s="10"/>
      <c r="AC63" s="10"/>
    </row>
    <row r="64" spans="1:29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K64" s="10"/>
      <c r="T64" s="10"/>
      <c r="AC64" s="10"/>
    </row>
    <row r="65" spans="1:29">
      <c r="A65" s="49" t="s">
        <v>102</v>
      </c>
      <c r="B65" s="57">
        <f>(B89*B59)-B53</f>
        <v>73497.690716097481</v>
      </c>
      <c r="C65" s="28"/>
      <c r="D65" s="28"/>
      <c r="E65" s="21"/>
      <c r="F65" s="21"/>
      <c r="G65" s="21"/>
      <c r="H65" s="29"/>
    </row>
    <row r="66" spans="1:29">
      <c r="A66" s="66" t="s">
        <v>103</v>
      </c>
      <c r="B66" s="67">
        <v>7.4999999999999997E-3</v>
      </c>
      <c r="C66" s="28"/>
      <c r="D66" s="28"/>
      <c r="E66" s="21"/>
      <c r="F66" s="21"/>
      <c r="G66" s="21"/>
      <c r="H66" s="29"/>
      <c r="K66" s="10"/>
      <c r="T66" s="10"/>
      <c r="AC66" s="10"/>
    </row>
    <row r="67" spans="1:29">
      <c r="A67" s="27"/>
      <c r="B67" s="72">
        <f>B66</f>
        <v>7.4999999999999997E-3</v>
      </c>
      <c r="C67" s="28"/>
      <c r="D67" s="28"/>
      <c r="E67" s="21"/>
      <c r="F67" s="21"/>
      <c r="G67" s="21"/>
      <c r="H67" s="29"/>
      <c r="K67" s="10"/>
      <c r="T67" s="10"/>
      <c r="AC67" s="10"/>
    </row>
    <row r="68" spans="1:29">
      <c r="A68" s="49" t="s">
        <v>105</v>
      </c>
      <c r="B68" s="57">
        <f>(G158*B67)</f>
        <v>445.47824999999995</v>
      </c>
      <c r="C68" s="28"/>
      <c r="D68" s="28"/>
      <c r="E68" s="21"/>
      <c r="F68" s="21"/>
      <c r="G68" s="21"/>
      <c r="H68" s="29"/>
    </row>
    <row r="69" spans="1:29">
      <c r="A69" s="66" t="s">
        <v>106</v>
      </c>
      <c r="B69" s="67">
        <v>0</v>
      </c>
      <c r="C69" s="187"/>
      <c r="D69" s="28"/>
      <c r="E69" s="21"/>
      <c r="F69" s="21"/>
      <c r="G69" s="21"/>
      <c r="H69" s="29"/>
      <c r="K69" s="10"/>
      <c r="T69" s="10"/>
      <c r="AC69" s="10"/>
    </row>
    <row r="70" spans="1:29">
      <c r="A70" s="68" t="s">
        <v>107</v>
      </c>
      <c r="B70" s="69">
        <v>0</v>
      </c>
      <c r="C70" s="187"/>
      <c r="D70" s="28"/>
      <c r="E70" s="21"/>
      <c r="F70" s="21"/>
      <c r="G70" s="21"/>
      <c r="H70" s="29"/>
      <c r="K70" s="10"/>
      <c r="T70" s="10"/>
      <c r="AC70" s="10"/>
    </row>
    <row r="71" spans="1:29">
      <c r="A71" s="49" t="s">
        <v>108</v>
      </c>
      <c r="B71" s="73">
        <f>B69*(1+B70)</f>
        <v>0</v>
      </c>
      <c r="C71" s="187"/>
      <c r="D71" s="28"/>
      <c r="E71" s="21"/>
      <c r="F71" s="21"/>
      <c r="G71" s="21"/>
      <c r="H71" s="29"/>
      <c r="K71" s="10"/>
      <c r="T71" s="10"/>
      <c r="AC71" s="10"/>
    </row>
    <row r="72" spans="1:29">
      <c r="A72" s="66" t="s">
        <v>109</v>
      </c>
      <c r="B72" s="74">
        <v>0</v>
      </c>
      <c r="C72" s="187"/>
      <c r="D72" s="28"/>
      <c r="E72" s="21"/>
      <c r="F72" s="21"/>
      <c r="G72" s="21"/>
      <c r="H72" s="29"/>
    </row>
    <row r="73" spans="1:29">
      <c r="A73" s="68" t="s">
        <v>110</v>
      </c>
      <c r="B73" s="65">
        <v>0</v>
      </c>
      <c r="C73" s="187"/>
      <c r="D73" s="28"/>
      <c r="E73" s="21"/>
      <c r="F73" s="21"/>
      <c r="G73" s="21"/>
      <c r="H73" s="29"/>
    </row>
    <row r="74" spans="1:29">
      <c r="A74" s="49" t="s">
        <v>111</v>
      </c>
      <c r="B74" s="57">
        <f>B73*B35</f>
        <v>0</v>
      </c>
      <c r="C74" s="187"/>
      <c r="D74" s="28">
        <f>B74+B72</f>
        <v>0</v>
      </c>
      <c r="E74" s="21"/>
      <c r="F74" s="21"/>
      <c r="G74" s="21"/>
      <c r="H74" s="29"/>
    </row>
    <row r="75" spans="1:29">
      <c r="A75" s="68" t="s">
        <v>112</v>
      </c>
      <c r="B75" s="65">
        <v>0</v>
      </c>
      <c r="C75" s="187"/>
      <c r="D75" s="28">
        <f>B75</f>
        <v>0</v>
      </c>
      <c r="E75" s="21"/>
      <c r="F75" s="21"/>
      <c r="G75" s="21"/>
      <c r="H75" s="29"/>
    </row>
    <row r="76" spans="1:29">
      <c r="A76" s="70" t="s">
        <v>113</v>
      </c>
      <c r="B76" s="75">
        <v>0</v>
      </c>
      <c r="C76" s="187"/>
      <c r="D76" s="28">
        <f>B76</f>
        <v>0</v>
      </c>
      <c r="E76" s="21"/>
      <c r="F76" s="28"/>
      <c r="G76" s="21"/>
      <c r="H76" s="29"/>
    </row>
    <row r="77" spans="1:29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</row>
    <row r="78" spans="1:29">
      <c r="A78" s="27" t="s">
        <v>115</v>
      </c>
      <c r="B78" s="29">
        <f>B77/B35</f>
        <v>0</v>
      </c>
      <c r="C78" s="28"/>
      <c r="D78" s="28"/>
      <c r="E78" s="21"/>
      <c r="F78" s="21"/>
      <c r="G78" s="21"/>
      <c r="H78" s="29"/>
    </row>
    <row r="79" spans="1:29">
      <c r="A79" s="78" t="s">
        <v>116</v>
      </c>
      <c r="B79" s="52">
        <f>H46</f>
        <v>500.36363636363637</v>
      </c>
      <c r="C79" s="28"/>
      <c r="D79" s="28"/>
      <c r="E79" s="21"/>
      <c r="F79" s="21"/>
      <c r="G79" s="21"/>
      <c r="H79" s="29"/>
    </row>
    <row r="80" spans="1:29">
      <c r="A80" s="27"/>
      <c r="B80" s="28"/>
      <c r="C80" s="28"/>
      <c r="D80" s="28"/>
      <c r="E80" s="21"/>
      <c r="F80" s="21"/>
      <c r="G80" s="21"/>
      <c r="H80" s="29"/>
    </row>
    <row r="81" spans="1:29">
      <c r="A81" s="22" t="s">
        <v>117</v>
      </c>
      <c r="B81" s="24">
        <f>K36</f>
        <v>67397.100000000006</v>
      </c>
      <c r="C81" s="28"/>
      <c r="D81" s="28"/>
      <c r="E81" s="21"/>
      <c r="F81" s="22" t="s">
        <v>117</v>
      </c>
      <c r="G81" s="24">
        <f>B81</f>
        <v>67397.100000000006</v>
      </c>
      <c r="H81" s="29"/>
    </row>
    <row r="82" spans="1:29">
      <c r="A82" s="27" t="s">
        <v>118</v>
      </c>
      <c r="B82" s="29">
        <f>IF(A111="YES",D41,0)</f>
        <v>6000</v>
      </c>
      <c r="C82" s="28"/>
      <c r="D82" s="28"/>
      <c r="E82" s="21"/>
      <c r="F82" s="27" t="s">
        <v>118</v>
      </c>
      <c r="G82" s="29">
        <f>IF(A111="YES",D41,0)</f>
        <v>6000</v>
      </c>
      <c r="H82" s="29"/>
    </row>
    <row r="83" spans="1:29">
      <c r="A83" s="27" t="s">
        <v>119</v>
      </c>
      <c r="B83" s="79">
        <f>B62+B63+B64</f>
        <v>0.12000000000000001</v>
      </c>
      <c r="C83" s="28"/>
      <c r="D83" s="28"/>
      <c r="E83" s="21"/>
      <c r="F83" s="27" t="s">
        <v>119</v>
      </c>
      <c r="G83" s="79">
        <f>B63</f>
        <v>7.0000000000000007E-2</v>
      </c>
      <c r="H83" s="29"/>
      <c r="K83" s="10"/>
      <c r="T83" s="10"/>
      <c r="AC83" s="10"/>
    </row>
    <row r="84" spans="1:29">
      <c r="A84" s="27" t="s">
        <v>120</v>
      </c>
      <c r="B84" s="72">
        <f>B83/12</f>
        <v>0.01</v>
      </c>
      <c r="C84" s="28"/>
      <c r="D84" s="28"/>
      <c r="E84" s="21"/>
      <c r="F84" s="27" t="s">
        <v>120</v>
      </c>
      <c r="G84" s="72">
        <f>G83/12</f>
        <v>5.8333333333333336E-3</v>
      </c>
      <c r="H84" s="29"/>
      <c r="K84" s="10"/>
      <c r="T84" s="10"/>
      <c r="AC84" s="10"/>
    </row>
    <row r="85" spans="1:29">
      <c r="A85" s="27" t="s">
        <v>121</v>
      </c>
      <c r="B85" s="29">
        <f>IF(B82=0,(B59+B58),(B59))</f>
        <v>32</v>
      </c>
      <c r="C85" s="28"/>
      <c r="D85" s="28"/>
      <c r="E85" s="21"/>
      <c r="F85" s="27" t="s">
        <v>121</v>
      </c>
      <c r="G85" s="29">
        <f>IF(G82=0,(B59+B58),(B59))</f>
        <v>32</v>
      </c>
      <c r="H85" s="29"/>
    </row>
    <row r="86" spans="1:29">
      <c r="A86" s="27" t="s">
        <v>122</v>
      </c>
      <c r="B86" s="29">
        <f>(B82/((1+B84)^(B85+1)))</f>
        <v>4320.6184471554852</v>
      </c>
      <c r="C86" s="28">
        <f>(B82/((1+B84)^(B85+1)))</f>
        <v>4320.6184471554852</v>
      </c>
      <c r="D86" s="28"/>
      <c r="E86" s="21"/>
      <c r="F86" s="27" t="s">
        <v>122</v>
      </c>
      <c r="G86" s="29">
        <f>(G82/((1+G84)^(G85+1)))</f>
        <v>4952.1347865501084</v>
      </c>
      <c r="H86" s="29"/>
    </row>
    <row r="87" spans="1:29">
      <c r="A87" s="27" t="s">
        <v>123</v>
      </c>
      <c r="B87" s="29">
        <f>((1-(1/((1+B84)^B85)))/B84)</f>
        <v>27.269589472882661</v>
      </c>
      <c r="C87" s="28">
        <f>((1-(1/((1+B84)^B85)))/B84)</f>
        <v>27.269589472882661</v>
      </c>
      <c r="D87" s="28"/>
      <c r="E87" s="21"/>
      <c r="F87" s="27" t="s">
        <v>123</v>
      </c>
      <c r="G87" s="29">
        <f>((1-(1/((1+G84)^G85)))/G84)</f>
        <v>29.113650300809983</v>
      </c>
      <c r="H87" s="29"/>
    </row>
    <row r="88" spans="1:29">
      <c r="A88" s="27" t="s">
        <v>124</v>
      </c>
      <c r="B88" s="29">
        <f>B81-B86</f>
        <v>63076.481552844518</v>
      </c>
      <c r="C88" s="28">
        <f>B81-B86</f>
        <v>63076.481552844518</v>
      </c>
      <c r="D88" s="28"/>
      <c r="E88" s="21"/>
      <c r="F88" s="27" t="s">
        <v>124</v>
      </c>
      <c r="G88" s="29">
        <f>G81-G86</f>
        <v>62444.965213449897</v>
      </c>
      <c r="H88" s="29"/>
    </row>
    <row r="89" spans="1:29">
      <c r="A89" s="27" t="s">
        <v>125</v>
      </c>
      <c r="B89" s="29">
        <f>(B88/B87)</f>
        <v>2313.0704485144097</v>
      </c>
      <c r="C89" s="28">
        <f>(B88/B87)</f>
        <v>2313.0704485144097</v>
      </c>
      <c r="D89" s="28"/>
      <c r="E89" s="21"/>
      <c r="F89" s="27" t="s">
        <v>125</v>
      </c>
      <c r="G89" s="29">
        <f>(G88/G87)</f>
        <v>2144.8689727413739</v>
      </c>
      <c r="H89" s="29"/>
    </row>
    <row r="90" spans="1:29">
      <c r="A90" s="27" t="s">
        <v>126</v>
      </c>
      <c r="B90" s="29">
        <f>((B89*(B85))+B77)</f>
        <v>74018.25435246111</v>
      </c>
      <c r="C90" s="28"/>
      <c r="D90" s="28"/>
      <c r="E90" s="21"/>
      <c r="F90" s="27" t="s">
        <v>126</v>
      </c>
      <c r="G90" s="29">
        <f>((G89*(G85))+G77)</f>
        <v>68635.807127723965</v>
      </c>
      <c r="H90" s="29"/>
    </row>
    <row r="91" spans="1:29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</row>
    <row r="92" spans="1:29">
      <c r="A92" s="49" t="s">
        <v>128</v>
      </c>
      <c r="B92" s="57">
        <f>(B90+B91)</f>
        <v>74018.25435246111</v>
      </c>
      <c r="C92" s="28"/>
      <c r="D92" s="28"/>
      <c r="E92" s="21"/>
      <c r="F92" s="49" t="s">
        <v>128</v>
      </c>
      <c r="G92" s="57">
        <f>(G90+G91)</f>
        <v>68635.807127723965</v>
      </c>
      <c r="H92" s="29"/>
    </row>
    <row r="93" spans="1:29">
      <c r="A93" s="27"/>
      <c r="B93" s="28"/>
      <c r="C93" s="28"/>
      <c r="D93" s="28"/>
      <c r="E93" s="21"/>
      <c r="F93" s="27"/>
      <c r="G93" s="28"/>
      <c r="H93" s="29"/>
    </row>
    <row r="94" spans="1:29">
      <c r="A94" s="76" t="s">
        <v>129</v>
      </c>
      <c r="B94" s="80">
        <f>IF(B38="YES",((H36/B85)*(1+A108)),"0")</f>
        <v>24.997499999999999</v>
      </c>
      <c r="C94" s="28"/>
      <c r="D94" s="28"/>
      <c r="E94" s="21"/>
      <c r="F94" s="76" t="s">
        <v>129</v>
      </c>
      <c r="G94" s="80" t="str">
        <f>IF(B26="YES",((E40/B85)*(1+A108)*(C45/100)),"0")</f>
        <v>0</v>
      </c>
      <c r="H94" s="29"/>
    </row>
    <row r="95" spans="1:29">
      <c r="A95" s="81" t="s">
        <v>130</v>
      </c>
      <c r="B95" s="82">
        <f>B92/(B85)</f>
        <v>2313.0704485144097</v>
      </c>
      <c r="C95" s="28"/>
      <c r="D95" s="28"/>
      <c r="E95" s="21"/>
      <c r="F95" s="81" t="s">
        <v>130</v>
      </c>
      <c r="G95" s="82">
        <f>G92/(G85)</f>
        <v>2144.8689727413739</v>
      </c>
      <c r="H95" s="29"/>
    </row>
    <row r="96" spans="1:29">
      <c r="A96" s="83" t="s">
        <v>131</v>
      </c>
      <c r="B96" s="84">
        <f>B94+B95</f>
        <v>2338.0679485144096</v>
      </c>
      <c r="C96" s="28"/>
      <c r="D96" s="28"/>
      <c r="E96" s="21"/>
      <c r="F96" s="83" t="s">
        <v>131</v>
      </c>
      <c r="G96" s="84">
        <f>G94+G95</f>
        <v>2144.8689727413739</v>
      </c>
      <c r="H96" s="29"/>
    </row>
    <row r="97" spans="1:42">
      <c r="A97" s="49"/>
      <c r="B97" s="50"/>
      <c r="C97" s="50"/>
      <c r="D97" s="50"/>
      <c r="E97" s="85"/>
      <c r="F97" s="85"/>
      <c r="G97" s="85"/>
      <c r="H97" s="57"/>
    </row>
    <row r="98" spans="1:42">
      <c r="A98" s="21"/>
      <c r="B98" s="21"/>
      <c r="C98" s="21"/>
      <c r="D98" s="21"/>
      <c r="E98" s="21"/>
      <c r="F98" s="21"/>
      <c r="G98" s="21"/>
      <c r="H98" s="21"/>
    </row>
    <row r="99" spans="1:42">
      <c r="A99" s="21"/>
      <c r="B99" s="21"/>
      <c r="C99" s="21"/>
      <c r="D99" s="21"/>
      <c r="E99" s="21"/>
      <c r="F99" s="21"/>
      <c r="G99" s="21"/>
      <c r="H99" s="21"/>
    </row>
    <row r="100" spans="1:42" ht="47.25" customHeight="1">
      <c r="A100" s="344" t="s">
        <v>132</v>
      </c>
      <c r="B100" s="344"/>
      <c r="C100" s="344"/>
      <c r="D100" s="344"/>
      <c r="E100" s="344"/>
      <c r="F100" s="344"/>
      <c r="G100" s="344"/>
      <c r="H100" s="344"/>
      <c r="J100" s="382"/>
      <c r="K100" s="382"/>
      <c r="L100" s="382"/>
      <c r="M100" s="382"/>
      <c r="N100" s="382"/>
      <c r="O100" s="382"/>
      <c r="P100" s="382"/>
      <c r="Q100" s="382"/>
      <c r="S100" s="382"/>
      <c r="T100" s="382"/>
      <c r="U100" s="382"/>
      <c r="V100" s="382"/>
      <c r="W100" s="382"/>
      <c r="X100" s="382"/>
      <c r="Y100" s="382"/>
      <c r="Z100" s="382"/>
      <c r="AB100" s="382"/>
      <c r="AC100" s="382"/>
      <c r="AD100" s="382"/>
      <c r="AE100" s="382"/>
      <c r="AF100" s="382"/>
      <c r="AG100" s="382"/>
      <c r="AH100" s="382"/>
      <c r="AI100" s="382"/>
    </row>
    <row r="101" spans="1:42">
      <c r="A101" s="22"/>
      <c r="B101" s="23"/>
      <c r="C101" s="23"/>
      <c r="D101" s="23"/>
      <c r="E101" s="63"/>
      <c r="F101" s="63"/>
      <c r="G101" s="63"/>
      <c r="H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82"/>
      <c r="K102" s="382"/>
      <c r="L102" s="382"/>
      <c r="M102" s="382"/>
      <c r="N102" s="382"/>
      <c r="O102" s="382"/>
      <c r="P102" s="382"/>
      <c r="Q102" s="382"/>
      <c r="S102" s="382"/>
      <c r="T102" s="382"/>
      <c r="U102" s="382"/>
      <c r="V102" s="382"/>
      <c r="W102" s="382"/>
      <c r="X102" s="382"/>
      <c r="Y102" s="382"/>
      <c r="Z102" s="382"/>
      <c r="AB102" s="382"/>
      <c r="AC102" s="382"/>
      <c r="AD102" s="382"/>
      <c r="AE102" s="382"/>
      <c r="AF102" s="382"/>
      <c r="AG102" s="382"/>
      <c r="AH102" s="382"/>
      <c r="AI102" s="382"/>
    </row>
    <row r="103" spans="1:42">
      <c r="A103" s="27"/>
      <c r="B103" s="28"/>
      <c r="C103" s="28"/>
      <c r="D103" s="28"/>
      <c r="E103" s="21"/>
      <c r="F103" s="21"/>
      <c r="G103" s="21"/>
      <c r="H103" s="88"/>
      <c r="Z103" s="55" t="s">
        <v>140</v>
      </c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Z104" s="55" t="s">
        <v>270</v>
      </c>
    </row>
    <row r="105" spans="1:42">
      <c r="A105" s="32" t="s">
        <v>139</v>
      </c>
      <c r="B105" s="345" t="s">
        <v>140</v>
      </c>
      <c r="C105" s="345"/>
      <c r="D105" s="345"/>
      <c r="E105" s="346" t="s">
        <v>410</v>
      </c>
      <c r="F105" s="346"/>
      <c r="G105" s="346"/>
      <c r="H105" s="88"/>
      <c r="K105" s="382"/>
      <c r="L105" s="382"/>
      <c r="M105" s="382"/>
      <c r="N105" s="382"/>
      <c r="O105" s="382"/>
      <c r="P105" s="382"/>
      <c r="T105" s="382"/>
      <c r="U105" s="382"/>
      <c r="V105" s="382"/>
      <c r="W105" s="382"/>
      <c r="X105" s="382"/>
      <c r="Y105" s="382"/>
      <c r="Z105" s="55" t="s">
        <v>271</v>
      </c>
      <c r="AC105" s="382"/>
      <c r="AD105" s="382"/>
      <c r="AE105" s="382"/>
      <c r="AF105" s="382"/>
      <c r="AG105" s="382"/>
      <c r="AH105" s="382"/>
    </row>
    <row r="106" spans="1:42">
      <c r="A106" s="27"/>
      <c r="B106" s="28"/>
      <c r="C106" s="28"/>
      <c r="D106" s="21"/>
      <c r="E106" s="28"/>
      <c r="F106" s="28"/>
      <c r="G106" s="21"/>
      <c r="H106" s="29"/>
      <c r="Z106" s="55" t="s">
        <v>272</v>
      </c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Z107" s="55" t="s">
        <v>273</v>
      </c>
    </row>
    <row r="108" spans="1:42">
      <c r="A108" s="188">
        <v>0.2</v>
      </c>
      <c r="B108" s="348" t="s">
        <v>389</v>
      </c>
      <c r="C108" s="348"/>
      <c r="D108" s="348"/>
      <c r="E108" s="349">
        <f>B83</f>
        <v>0.12000000000000001</v>
      </c>
      <c r="F108" s="349"/>
      <c r="G108" s="349"/>
      <c r="H108" s="42"/>
      <c r="J108" s="10"/>
      <c r="K108" s="382"/>
      <c r="L108" s="382"/>
      <c r="M108" s="382"/>
      <c r="N108" s="390"/>
      <c r="O108" s="390"/>
      <c r="P108" s="390"/>
      <c r="S108" s="10"/>
      <c r="T108" s="382"/>
      <c r="U108" s="382"/>
      <c r="V108" s="382"/>
      <c r="W108" s="390"/>
      <c r="X108" s="390"/>
      <c r="Y108" s="390"/>
      <c r="Z108" s="55" t="s">
        <v>274</v>
      </c>
      <c r="AB108" s="10"/>
      <c r="AC108" s="382"/>
      <c r="AD108" s="382"/>
      <c r="AE108" s="382"/>
      <c r="AF108" s="390"/>
      <c r="AG108" s="390"/>
      <c r="AH108" s="390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Z109" s="55" t="s">
        <v>275</v>
      </c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Z110" s="55" t="s">
        <v>276</v>
      </c>
    </row>
    <row r="111" spans="1:42">
      <c r="A111" s="36" t="s">
        <v>385</v>
      </c>
      <c r="B111" s="348">
        <v>5000</v>
      </c>
      <c r="C111" s="348"/>
      <c r="D111" s="348"/>
      <c r="E111" s="348">
        <v>4000</v>
      </c>
      <c r="F111" s="348"/>
      <c r="G111" s="348"/>
      <c r="H111" s="88"/>
      <c r="K111" s="382"/>
      <c r="L111" s="382"/>
      <c r="M111" s="382"/>
      <c r="N111" s="382"/>
      <c r="O111" s="382"/>
      <c r="P111" s="382"/>
      <c r="T111" s="382"/>
      <c r="U111" s="382"/>
      <c r="V111" s="382"/>
      <c r="W111" s="382"/>
      <c r="X111" s="382"/>
      <c r="Y111" s="382"/>
      <c r="Z111" s="55" t="s">
        <v>277</v>
      </c>
      <c r="AC111" s="382"/>
      <c r="AD111" s="382"/>
      <c r="AE111" s="382"/>
      <c r="AF111" s="382"/>
      <c r="AG111" s="382"/>
      <c r="AH111" s="382"/>
    </row>
    <row r="112" spans="1:42">
      <c r="A112" s="27"/>
      <c r="B112" s="28"/>
      <c r="C112" s="28"/>
      <c r="D112" s="28"/>
      <c r="E112" s="28"/>
      <c r="F112" s="28"/>
      <c r="G112" s="21"/>
      <c r="H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</row>
    <row r="114" spans="1:35">
      <c r="A114" s="94">
        <f>B111+E111</f>
        <v>9000</v>
      </c>
      <c r="B114" s="348">
        <v>199.99166666666667</v>
      </c>
      <c r="C114" s="348"/>
      <c r="D114" s="348"/>
      <c r="E114" s="348">
        <v>0</v>
      </c>
      <c r="F114" s="348"/>
      <c r="G114" s="348"/>
      <c r="H114" s="88"/>
      <c r="K114" s="382"/>
      <c r="L114" s="382"/>
      <c r="M114" s="382"/>
      <c r="N114" s="382"/>
      <c r="O114" s="382"/>
      <c r="P114" s="382"/>
      <c r="T114" s="382"/>
      <c r="U114" s="382"/>
      <c r="V114" s="382"/>
      <c r="W114" s="382"/>
      <c r="X114" s="382"/>
      <c r="Y114" s="382"/>
      <c r="AC114" s="382"/>
      <c r="AD114" s="382"/>
      <c r="AE114" s="382"/>
      <c r="AF114" s="382"/>
      <c r="AG114" s="382"/>
      <c r="AH114" s="382"/>
    </row>
    <row r="115" spans="1:35">
      <c r="A115" s="95"/>
      <c r="B115" s="21"/>
      <c r="C115" s="21"/>
      <c r="D115" s="21"/>
      <c r="E115" s="21"/>
      <c r="F115" s="21"/>
      <c r="G115" s="21"/>
      <c r="H115" s="88"/>
    </row>
    <row r="116" spans="1:35">
      <c r="A116" s="95"/>
      <c r="B116" s="21"/>
      <c r="C116" s="21"/>
      <c r="D116" s="21"/>
      <c r="E116" s="21"/>
      <c r="F116" s="21"/>
      <c r="G116" s="21"/>
      <c r="H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82"/>
      <c r="K117" s="382"/>
      <c r="L117" s="382"/>
      <c r="M117" s="382"/>
      <c r="N117" s="382"/>
      <c r="O117" s="382"/>
      <c r="P117" s="382"/>
      <c r="Q117" s="382"/>
      <c r="S117" s="382"/>
      <c r="T117" s="382"/>
      <c r="U117" s="382"/>
      <c r="V117" s="382"/>
      <c r="W117" s="382"/>
      <c r="X117" s="382"/>
      <c r="Y117" s="382"/>
      <c r="Z117" s="382"/>
      <c r="AB117" s="382"/>
      <c r="AC117" s="382"/>
      <c r="AD117" s="382"/>
      <c r="AE117" s="382"/>
      <c r="AF117" s="382"/>
      <c r="AG117" s="382"/>
      <c r="AH117" s="382"/>
      <c r="AI117" s="382"/>
    </row>
    <row r="118" spans="1:35">
      <c r="A118" s="95"/>
      <c r="B118" s="21"/>
      <c r="C118" s="21"/>
      <c r="D118" s="21"/>
      <c r="E118" s="21"/>
      <c r="F118" s="21"/>
      <c r="G118" s="21"/>
      <c r="H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K119" s="382"/>
      <c r="L119" s="382"/>
      <c r="M119" s="382"/>
      <c r="N119" s="382"/>
      <c r="O119" s="382"/>
      <c r="P119" s="382"/>
      <c r="T119" s="382"/>
      <c r="U119" s="382"/>
      <c r="V119" s="382"/>
      <c r="W119" s="382"/>
      <c r="X119" s="382"/>
      <c r="Y119" s="382"/>
      <c r="AC119" s="382"/>
      <c r="AD119" s="382"/>
      <c r="AE119" s="382"/>
      <c r="AF119" s="382"/>
      <c r="AG119" s="382"/>
      <c r="AH119" s="382"/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</row>
    <row r="121" spans="1:35">
      <c r="A121" s="22" t="s">
        <v>160</v>
      </c>
      <c r="B121" s="22">
        <f>B3</f>
        <v>56579.17</v>
      </c>
      <c r="C121" s="36">
        <f>B121</f>
        <v>56579.17</v>
      </c>
      <c r="D121" s="22">
        <f>D3</f>
        <v>0</v>
      </c>
      <c r="E121" s="36">
        <f>D121</f>
        <v>0</v>
      </c>
      <c r="F121" s="22">
        <f>F3</f>
        <v>833.33</v>
      </c>
      <c r="G121" s="36">
        <f>F121</f>
        <v>833.33</v>
      </c>
      <c r="H121" s="101">
        <f>H3</f>
        <v>0</v>
      </c>
    </row>
    <row r="122" spans="1:35">
      <c r="A122" s="27" t="s">
        <v>161</v>
      </c>
      <c r="B122" s="102">
        <f>B4</f>
        <v>2</v>
      </c>
      <c r="C122" s="103">
        <f>B122</f>
        <v>2</v>
      </c>
      <c r="D122" s="102">
        <f>D4</f>
        <v>0</v>
      </c>
      <c r="E122" s="103">
        <f>D122</f>
        <v>0</v>
      </c>
      <c r="F122" s="102">
        <f>F4</f>
        <v>2</v>
      </c>
      <c r="G122" s="104">
        <f>F122</f>
        <v>2</v>
      </c>
      <c r="H122" s="105"/>
      <c r="K122" s="10"/>
      <c r="L122" s="10"/>
      <c r="M122" s="10"/>
      <c r="N122" s="10"/>
      <c r="O122" s="10"/>
      <c r="P122" s="10"/>
      <c r="Q122" s="10"/>
      <c r="T122" s="10"/>
      <c r="U122" s="10"/>
      <c r="V122" s="10"/>
      <c r="W122" s="10"/>
      <c r="X122" s="10"/>
      <c r="Y122" s="10"/>
      <c r="Z122" s="10"/>
      <c r="AC122" s="10"/>
      <c r="AD122" s="10"/>
      <c r="AE122" s="10"/>
      <c r="AF122" s="10"/>
      <c r="AG122" s="10"/>
      <c r="AH122" s="10"/>
      <c r="AI122" s="10"/>
    </row>
    <row r="123" spans="1:35">
      <c r="A123" s="27" t="s">
        <v>162</v>
      </c>
      <c r="B123" s="27">
        <f>B5</f>
        <v>0</v>
      </c>
      <c r="C123" s="36">
        <f>B123</f>
        <v>0</v>
      </c>
      <c r="D123" s="27">
        <f>D5</f>
        <v>0</v>
      </c>
      <c r="E123" s="36">
        <f>D123</f>
        <v>0</v>
      </c>
      <c r="F123" s="27">
        <f>F5</f>
        <v>0</v>
      </c>
      <c r="G123" s="36">
        <f>F123</f>
        <v>0</v>
      </c>
      <c r="H123" s="29"/>
    </row>
    <row r="124" spans="1:35">
      <c r="A124" s="27" t="s">
        <v>163</v>
      </c>
      <c r="B124" s="27">
        <f>(B121*B122)+B123</f>
        <v>113158.34</v>
      </c>
      <c r="C124" s="24">
        <f>(C121*C122/100)+C123</f>
        <v>1131.5834</v>
      </c>
      <c r="D124" s="27">
        <f>(D121*D122)+D123</f>
        <v>0</v>
      </c>
      <c r="E124" s="24">
        <f>(E121*E122/100)+E123</f>
        <v>0</v>
      </c>
      <c r="F124" s="27">
        <f>(F121*F122)+F123</f>
        <v>1666.66</v>
      </c>
      <c r="G124" s="24">
        <f>(G121*G122/100)+G123</f>
        <v>16.666600000000003</v>
      </c>
      <c r="H124" s="29"/>
    </row>
    <row r="125" spans="1:35">
      <c r="A125" s="49" t="s">
        <v>164</v>
      </c>
      <c r="B125" s="49">
        <f t="shared" ref="B125:G125" si="0">B121-B124</f>
        <v>-56579.17</v>
      </c>
      <c r="C125" s="57">
        <f t="shared" si="0"/>
        <v>55447.586599999995</v>
      </c>
      <c r="D125" s="49">
        <f t="shared" si="0"/>
        <v>0</v>
      </c>
      <c r="E125" s="57">
        <f t="shared" si="0"/>
        <v>0</v>
      </c>
      <c r="F125" s="49">
        <f t="shared" si="0"/>
        <v>-833.33</v>
      </c>
      <c r="G125" s="57">
        <f t="shared" si="0"/>
        <v>816.66340000000002</v>
      </c>
      <c r="H125" s="57"/>
    </row>
    <row r="126" spans="1:35">
      <c r="A126" s="27"/>
      <c r="B126" s="28"/>
      <c r="C126" s="28"/>
      <c r="D126" s="28"/>
      <c r="E126" s="28"/>
      <c r="F126" s="28"/>
      <c r="G126" s="28"/>
      <c r="H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</row>
    <row r="129" spans="1:34">
      <c r="A129" s="27"/>
      <c r="B129" s="28"/>
      <c r="C129" s="28"/>
      <c r="D129" s="28"/>
      <c r="E129" s="28"/>
      <c r="F129" s="28"/>
      <c r="G129" s="115"/>
      <c r="H129" s="116"/>
    </row>
    <row r="130" spans="1:34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K130" s="382"/>
      <c r="L130" s="382"/>
      <c r="M130" s="382"/>
      <c r="N130" s="382"/>
      <c r="O130" s="382"/>
      <c r="P130" s="382"/>
      <c r="T130" s="382"/>
      <c r="U130" s="382"/>
      <c r="V130" s="382"/>
      <c r="W130" s="382"/>
      <c r="X130" s="382"/>
      <c r="Y130" s="382"/>
      <c r="AC130" s="382"/>
      <c r="AD130" s="382"/>
      <c r="AE130" s="382"/>
      <c r="AF130" s="382"/>
      <c r="AG130" s="382"/>
      <c r="AH130" s="382"/>
    </row>
    <row r="131" spans="1:34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K131" s="382"/>
      <c r="L131" s="382"/>
      <c r="M131" s="390"/>
      <c r="N131" s="390"/>
      <c r="O131" s="382"/>
      <c r="P131" s="382"/>
      <c r="T131" s="382"/>
      <c r="U131" s="382"/>
      <c r="V131" s="390"/>
      <c r="W131" s="390"/>
      <c r="X131" s="382"/>
      <c r="Y131" s="382"/>
      <c r="AC131" s="382"/>
      <c r="AD131" s="382"/>
      <c r="AE131" s="390"/>
      <c r="AF131" s="390"/>
      <c r="AG131" s="382"/>
      <c r="AH131" s="382"/>
    </row>
    <row r="132" spans="1:34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K132" s="382"/>
      <c r="L132" s="382"/>
      <c r="M132" s="390"/>
      <c r="N132" s="390"/>
      <c r="O132" s="382"/>
      <c r="P132" s="382"/>
      <c r="T132" s="382"/>
      <c r="U132" s="382"/>
      <c r="V132" s="390"/>
      <c r="W132" s="390"/>
      <c r="X132" s="382"/>
      <c r="Y132" s="382"/>
      <c r="AC132" s="382"/>
      <c r="AD132" s="382"/>
      <c r="AE132" s="390"/>
      <c r="AF132" s="390"/>
      <c r="AG132" s="382"/>
      <c r="AH132" s="382"/>
    </row>
    <row r="133" spans="1:34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K133" s="382"/>
      <c r="L133" s="382"/>
      <c r="M133" s="390"/>
      <c r="N133" s="390"/>
      <c r="O133" s="382"/>
      <c r="P133" s="382"/>
      <c r="T133" s="382"/>
      <c r="U133" s="382"/>
      <c r="V133" s="390"/>
      <c r="W133" s="390"/>
      <c r="X133" s="382"/>
      <c r="Y133" s="382"/>
      <c r="AC133" s="382"/>
      <c r="AD133" s="382"/>
      <c r="AE133" s="390"/>
      <c r="AF133" s="390"/>
      <c r="AG133" s="382"/>
      <c r="AH133" s="382"/>
    </row>
    <row r="134" spans="1:34">
      <c r="A134" s="27"/>
      <c r="B134" s="28"/>
      <c r="C134" s="28"/>
      <c r="D134" s="28"/>
      <c r="E134" s="28"/>
      <c r="F134" s="28"/>
      <c r="G134" s="115"/>
      <c r="H134" s="116"/>
    </row>
    <row r="135" spans="1:34" ht="21">
      <c r="A135" s="356" t="s">
        <v>172</v>
      </c>
      <c r="B135" s="356"/>
      <c r="C135" s="356"/>
      <c r="D135" s="356"/>
      <c r="E135" s="356"/>
      <c r="F135" s="356"/>
      <c r="G135" s="109">
        <f t="shared" ref="G135:G142" si="1">H9</f>
        <v>56264.249999999993</v>
      </c>
      <c r="H135" s="120">
        <f>C125+E125+G125+H128</f>
        <v>56264.249999999993</v>
      </c>
      <c r="J135" s="382"/>
      <c r="K135" s="382"/>
      <c r="L135" s="382"/>
      <c r="M135" s="382"/>
      <c r="N135" s="382"/>
      <c r="O135" s="382"/>
      <c r="S135" s="382"/>
      <c r="T135" s="382"/>
      <c r="U135" s="382"/>
      <c r="V135" s="382"/>
      <c r="W135" s="382"/>
      <c r="X135" s="382"/>
      <c r="AB135" s="382"/>
      <c r="AC135" s="382"/>
      <c r="AD135" s="382"/>
      <c r="AE135" s="382"/>
      <c r="AF135" s="382"/>
      <c r="AG135" s="382"/>
    </row>
    <row r="136" spans="1:34">
      <c r="A136" s="357" t="s">
        <v>173</v>
      </c>
      <c r="B136" s="357"/>
      <c r="C136" s="357"/>
      <c r="D136" s="357"/>
      <c r="E136" s="357"/>
      <c r="F136" s="357"/>
      <c r="G136" s="121">
        <f t="shared" si="1"/>
        <v>150</v>
      </c>
      <c r="H136" s="29">
        <f>G136</f>
        <v>150</v>
      </c>
      <c r="J136" s="382"/>
      <c r="K136" s="382"/>
      <c r="L136" s="382"/>
      <c r="M136" s="382"/>
      <c r="N136" s="382"/>
      <c r="O136" s="382"/>
      <c r="S136" s="382"/>
      <c r="T136" s="382"/>
      <c r="U136" s="382"/>
      <c r="V136" s="382"/>
      <c r="W136" s="382"/>
      <c r="X136" s="382"/>
      <c r="AB136" s="382"/>
      <c r="AC136" s="382"/>
      <c r="AD136" s="382"/>
      <c r="AE136" s="382"/>
      <c r="AF136" s="382"/>
      <c r="AG136" s="382"/>
    </row>
    <row r="137" spans="1:34">
      <c r="A137" s="357" t="s">
        <v>174</v>
      </c>
      <c r="B137" s="357"/>
      <c r="C137" s="357"/>
      <c r="D137" s="357"/>
      <c r="E137" s="357"/>
      <c r="F137" s="357"/>
      <c r="G137" s="121">
        <f t="shared" si="1"/>
        <v>11282.849999999999</v>
      </c>
      <c r="H137" s="29">
        <f>(H135+H136)*20%</f>
        <v>11282.849999999999</v>
      </c>
      <c r="J137" s="382"/>
      <c r="K137" s="382"/>
      <c r="L137" s="382"/>
      <c r="M137" s="382"/>
      <c r="N137" s="382"/>
      <c r="O137" s="382"/>
      <c r="S137" s="382"/>
      <c r="T137" s="382"/>
      <c r="U137" s="382"/>
      <c r="V137" s="382"/>
      <c r="W137" s="382"/>
      <c r="X137" s="382"/>
      <c r="AB137" s="382"/>
      <c r="AC137" s="382"/>
      <c r="AD137" s="382"/>
      <c r="AE137" s="382"/>
      <c r="AF137" s="382"/>
      <c r="AG137" s="382"/>
    </row>
    <row r="138" spans="1:34">
      <c r="A138" s="357" t="s">
        <v>175</v>
      </c>
      <c r="B138" s="357"/>
      <c r="C138" s="357"/>
      <c r="D138" s="357"/>
      <c r="E138" s="357"/>
      <c r="F138" s="357"/>
      <c r="G138" s="121">
        <f t="shared" si="1"/>
        <v>0</v>
      </c>
      <c r="H138" s="29">
        <v>0</v>
      </c>
      <c r="J138" s="382"/>
      <c r="K138" s="382"/>
      <c r="L138" s="382"/>
      <c r="M138" s="382"/>
      <c r="N138" s="382"/>
      <c r="O138" s="382"/>
      <c r="S138" s="382"/>
      <c r="T138" s="382"/>
      <c r="U138" s="382"/>
      <c r="V138" s="382"/>
      <c r="W138" s="382"/>
      <c r="X138" s="382"/>
      <c r="AB138" s="382"/>
      <c r="AC138" s="382"/>
      <c r="AD138" s="382"/>
      <c r="AE138" s="382"/>
      <c r="AF138" s="382"/>
      <c r="AG138" s="382"/>
    </row>
    <row r="139" spans="1:34">
      <c r="A139" s="357" t="s">
        <v>176</v>
      </c>
      <c r="B139" s="357"/>
      <c r="C139" s="357"/>
      <c r="D139" s="357"/>
      <c r="E139" s="357"/>
      <c r="F139" s="357"/>
      <c r="G139" s="121">
        <f t="shared" si="1"/>
        <v>645</v>
      </c>
      <c r="H139" s="29">
        <f>G139</f>
        <v>645</v>
      </c>
      <c r="J139" s="382"/>
      <c r="K139" s="382"/>
      <c r="L139" s="382"/>
      <c r="M139" s="382"/>
      <c r="N139" s="382"/>
      <c r="O139" s="382"/>
      <c r="S139" s="382"/>
      <c r="T139" s="382"/>
      <c r="U139" s="382"/>
      <c r="V139" s="382"/>
      <c r="W139" s="382"/>
      <c r="X139" s="382"/>
      <c r="AB139" s="382"/>
      <c r="AC139" s="382"/>
      <c r="AD139" s="382"/>
      <c r="AE139" s="382"/>
      <c r="AF139" s="382"/>
      <c r="AG139" s="382"/>
    </row>
    <row r="140" spans="1:34">
      <c r="A140" s="357" t="s">
        <v>177</v>
      </c>
      <c r="B140" s="357"/>
      <c r="C140" s="357"/>
      <c r="D140" s="357"/>
      <c r="E140" s="357"/>
      <c r="F140" s="357"/>
      <c r="G140" s="121">
        <f t="shared" si="1"/>
        <v>55</v>
      </c>
      <c r="H140" s="29">
        <f>G140</f>
        <v>55</v>
      </c>
      <c r="J140" s="382"/>
      <c r="K140" s="382"/>
      <c r="L140" s="382"/>
      <c r="M140" s="382"/>
      <c r="N140" s="382"/>
      <c r="O140" s="382"/>
      <c r="S140" s="382"/>
      <c r="T140" s="382"/>
      <c r="U140" s="382"/>
      <c r="V140" s="382"/>
      <c r="W140" s="382"/>
      <c r="X140" s="382"/>
      <c r="AB140" s="382"/>
      <c r="AC140" s="382"/>
      <c r="AD140" s="382"/>
      <c r="AE140" s="382"/>
      <c r="AF140" s="382"/>
      <c r="AG140" s="382"/>
    </row>
    <row r="141" spans="1:34" ht="21">
      <c r="A141" s="357" t="s">
        <v>178</v>
      </c>
      <c r="B141" s="357"/>
      <c r="C141" s="357"/>
      <c r="D141" s="357"/>
      <c r="E141" s="357"/>
      <c r="F141" s="357"/>
      <c r="G141" s="123">
        <f t="shared" si="1"/>
        <v>68397.099999999991</v>
      </c>
      <c r="H141" s="122">
        <f>(H135+H136+H139+H140+H137)-H138</f>
        <v>68397.099999999991</v>
      </c>
      <c r="J141" s="382"/>
      <c r="K141" s="382"/>
      <c r="L141" s="382"/>
      <c r="M141" s="382"/>
      <c r="N141" s="382"/>
      <c r="O141" s="382"/>
      <c r="S141" s="382"/>
      <c r="T141" s="382"/>
      <c r="U141" s="382"/>
      <c r="V141" s="382"/>
      <c r="W141" s="382"/>
      <c r="X141" s="382"/>
      <c r="AB141" s="382"/>
      <c r="AC141" s="382"/>
      <c r="AD141" s="382"/>
      <c r="AE141" s="382"/>
      <c r="AF141" s="382"/>
      <c r="AG141" s="382"/>
    </row>
    <row r="142" spans="1:34">
      <c r="A142" s="357" t="s">
        <v>179</v>
      </c>
      <c r="B142" s="357"/>
      <c r="C142" s="357"/>
      <c r="D142" s="357"/>
      <c r="E142" s="357"/>
      <c r="F142" s="357"/>
      <c r="G142" s="121">
        <f t="shared" si="1"/>
        <v>0</v>
      </c>
      <c r="H142" s="36">
        <f>G142</f>
        <v>0</v>
      </c>
      <c r="J142" s="382"/>
      <c r="K142" s="382"/>
      <c r="L142" s="382"/>
      <c r="M142" s="382"/>
      <c r="N142" s="382"/>
      <c r="O142" s="382"/>
      <c r="S142" s="382"/>
      <c r="T142" s="382"/>
      <c r="U142" s="382"/>
      <c r="V142" s="382"/>
      <c r="W142" s="382"/>
      <c r="X142" s="382"/>
      <c r="AB142" s="382"/>
      <c r="AC142" s="382"/>
      <c r="AD142" s="382"/>
      <c r="AE142" s="382"/>
      <c r="AF142" s="382"/>
      <c r="AG142" s="382"/>
    </row>
    <row r="143" spans="1:34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82"/>
      <c r="K143" s="382"/>
      <c r="L143" s="382"/>
      <c r="M143" s="382"/>
      <c r="N143" s="382"/>
      <c r="O143" s="382"/>
      <c r="S143" s="382"/>
      <c r="T143" s="382"/>
      <c r="U143" s="382"/>
      <c r="V143" s="382"/>
      <c r="W143" s="382"/>
      <c r="X143" s="382"/>
      <c r="AB143" s="382"/>
      <c r="AC143" s="382"/>
      <c r="AD143" s="382"/>
      <c r="AE143" s="382"/>
      <c r="AF143" s="382"/>
      <c r="AG143" s="382"/>
    </row>
    <row r="144" spans="1:34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K144" s="382"/>
      <c r="L144" s="382"/>
      <c r="M144" s="382"/>
      <c r="N144" s="382"/>
      <c r="O144" s="382"/>
      <c r="T144" s="382"/>
      <c r="U144" s="382"/>
      <c r="V144" s="382"/>
      <c r="W144" s="382"/>
      <c r="X144" s="382"/>
      <c r="AC144" s="382"/>
      <c r="AD144" s="382"/>
      <c r="AE144" s="382"/>
      <c r="AF144" s="382"/>
      <c r="AG144" s="382"/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K145" s="382"/>
      <c r="L145" s="382"/>
      <c r="M145" s="382"/>
      <c r="N145" s="382"/>
      <c r="O145" s="382"/>
      <c r="T145" s="382"/>
      <c r="U145" s="382"/>
      <c r="V145" s="382"/>
      <c r="W145" s="382"/>
      <c r="X145" s="382"/>
      <c r="AC145" s="382"/>
      <c r="AD145" s="382"/>
      <c r="AE145" s="382"/>
      <c r="AF145" s="382"/>
      <c r="AG145" s="382"/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K146" s="382"/>
      <c r="L146" s="382"/>
      <c r="M146" s="382"/>
      <c r="N146" s="382"/>
      <c r="O146" s="382"/>
      <c r="T146" s="382"/>
      <c r="U146" s="382"/>
      <c r="V146" s="382"/>
      <c r="W146" s="382"/>
      <c r="X146" s="382"/>
      <c r="AC146" s="382"/>
      <c r="AD146" s="382"/>
      <c r="AE146" s="382"/>
      <c r="AF146" s="382"/>
      <c r="AG146" s="382"/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68397.099999999991</v>
      </c>
      <c r="H147" s="126">
        <f>H141-((H144*1.2)+(H145*1.2)+(H146*1.2)+(H142*1.2))</f>
        <v>68397.099999999991</v>
      </c>
      <c r="J147" s="382"/>
      <c r="K147" s="382"/>
      <c r="L147" s="382"/>
      <c r="M147" s="382"/>
      <c r="N147" s="382"/>
      <c r="O147" s="382"/>
      <c r="S147" s="382"/>
      <c r="T147" s="382"/>
      <c r="U147" s="382"/>
      <c r="V147" s="382"/>
      <c r="W147" s="382"/>
      <c r="X147" s="382"/>
      <c r="AB147" s="382"/>
      <c r="AC147" s="382"/>
      <c r="AD147" s="382"/>
      <c r="AE147" s="382"/>
      <c r="AF147" s="382"/>
      <c r="AG147" s="382"/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0</v>
      </c>
      <c r="I148" s="4">
        <f>(H148-G81)/1.2</f>
        <v>-56164.250000000007</v>
      </c>
      <c r="J148" s="382"/>
      <c r="K148" s="382"/>
      <c r="L148" s="382"/>
      <c r="M148" s="382"/>
      <c r="N148" s="382"/>
      <c r="O148" s="382"/>
      <c r="S148" s="382"/>
      <c r="T148" s="382"/>
      <c r="U148" s="382"/>
      <c r="V148" s="382"/>
      <c r="W148" s="382"/>
      <c r="X148" s="382"/>
      <c r="AB148" s="382"/>
      <c r="AC148" s="382"/>
      <c r="AD148" s="382"/>
      <c r="AE148" s="382"/>
      <c r="AF148" s="382"/>
      <c r="AG148" s="382"/>
    </row>
    <row r="149" spans="1:35">
      <c r="A149" s="27"/>
      <c r="B149" s="28"/>
      <c r="C149" s="28"/>
      <c r="D149" s="28"/>
      <c r="E149" s="21"/>
      <c r="F149" s="21"/>
      <c r="G149" s="21"/>
      <c r="H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82"/>
      <c r="K150" s="382"/>
      <c r="L150" s="382"/>
      <c r="M150" s="382"/>
      <c r="N150" s="382"/>
      <c r="O150" s="382"/>
      <c r="P150" s="382"/>
      <c r="Q150" s="382"/>
      <c r="S150" s="382"/>
      <c r="T150" s="382"/>
      <c r="U150" s="382"/>
      <c r="V150" s="382"/>
      <c r="W150" s="382"/>
      <c r="X150" s="382"/>
      <c r="Y150" s="382"/>
      <c r="Z150" s="382"/>
      <c r="AB150" s="382"/>
      <c r="AC150" s="382"/>
      <c r="AD150" s="382"/>
      <c r="AE150" s="382"/>
      <c r="AF150" s="382"/>
      <c r="AG150" s="382"/>
      <c r="AH150" s="382"/>
      <c r="AI150" s="382"/>
    </row>
    <row r="151" spans="1:35">
      <c r="A151" s="27"/>
      <c r="B151" s="28"/>
      <c r="C151" s="28"/>
      <c r="D151" s="28"/>
      <c r="E151" s="21"/>
      <c r="F151" s="21"/>
      <c r="G151" s="21"/>
      <c r="H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N152" s="382"/>
      <c r="O152" s="382"/>
      <c r="P152" s="382"/>
      <c r="Q152" s="382"/>
      <c r="W152" s="382"/>
      <c r="X152" s="382"/>
      <c r="Y152" s="382"/>
      <c r="Z152" s="382"/>
      <c r="AF152" s="382"/>
      <c r="AG152" s="382"/>
      <c r="AH152" s="382"/>
      <c r="AI152" s="382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N153" s="382"/>
      <c r="O153" s="382"/>
      <c r="P153" s="382"/>
      <c r="Q153" s="382"/>
      <c r="W153" s="382"/>
      <c r="X153" s="382"/>
      <c r="Y153" s="382"/>
      <c r="Z153" s="382"/>
      <c r="AF153" s="382"/>
      <c r="AG153" s="382"/>
      <c r="AH153" s="382"/>
      <c r="AI153" s="382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N154" s="382"/>
      <c r="O154" s="382"/>
      <c r="P154" s="382"/>
      <c r="Q154" s="382"/>
      <c r="W154" s="382"/>
      <c r="X154" s="382"/>
      <c r="Y154" s="382"/>
      <c r="Z154" s="382"/>
      <c r="AF154" s="382"/>
      <c r="AG154" s="382"/>
      <c r="AH154" s="382"/>
      <c r="AI154" s="382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N155" s="382"/>
      <c r="O155" s="382"/>
      <c r="W155" s="382"/>
      <c r="X155" s="382"/>
      <c r="AF155" s="382"/>
      <c r="AG155" s="382"/>
    </row>
    <row r="156" spans="1:35">
      <c r="A156" s="22" t="s">
        <v>189</v>
      </c>
      <c r="B156" s="23"/>
      <c r="C156" s="23"/>
      <c r="D156" s="63"/>
      <c r="E156" s="23"/>
      <c r="F156" s="63"/>
      <c r="G156" s="128" t="s">
        <v>10</v>
      </c>
      <c r="H156" s="36">
        <v>0</v>
      </c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9000</v>
      </c>
      <c r="H157" s="365"/>
      <c r="P157" s="382"/>
      <c r="Q157" s="382"/>
      <c r="Y157" s="382"/>
      <c r="Z157" s="382"/>
      <c r="AH157" s="382"/>
      <c r="AI157" s="382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59397.099999999991</v>
      </c>
      <c r="H158" s="366"/>
      <c r="P158" s="382"/>
      <c r="Q158" s="382"/>
      <c r="Y158" s="382"/>
      <c r="Z158" s="382"/>
      <c r="AH158" s="382"/>
      <c r="AI158" s="382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199.99166666666667</v>
      </c>
      <c r="H159" s="367"/>
      <c r="P159" s="382"/>
      <c r="Q159" s="382"/>
      <c r="Y159" s="382"/>
      <c r="Z159" s="382"/>
      <c r="AH159" s="382"/>
      <c r="AI159" s="382"/>
    </row>
    <row r="160" spans="1:35">
      <c r="A160" s="27"/>
      <c r="B160" s="28"/>
      <c r="C160" s="28"/>
      <c r="D160" s="28"/>
      <c r="E160" s="21"/>
      <c r="F160" s="21"/>
      <c r="G160" s="21"/>
      <c r="H160" s="29"/>
    </row>
    <row r="161" spans="1:35">
      <c r="A161" s="27"/>
      <c r="B161" s="28"/>
      <c r="C161" s="28"/>
      <c r="D161" s="28"/>
      <c r="E161" s="21"/>
      <c r="F161" s="21"/>
      <c r="G161" s="21"/>
      <c r="H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82"/>
      <c r="K162" s="382"/>
      <c r="L162" s="382"/>
      <c r="M162" s="382"/>
      <c r="N162" s="382"/>
      <c r="O162" s="382"/>
      <c r="P162" s="382"/>
      <c r="Q162" s="382"/>
      <c r="S162" s="382"/>
      <c r="T162" s="382"/>
      <c r="U162" s="382"/>
      <c r="V162" s="382"/>
      <c r="W162" s="382"/>
      <c r="X162" s="382"/>
      <c r="Y162" s="382"/>
      <c r="Z162" s="382"/>
      <c r="AB162" s="382"/>
      <c r="AC162" s="382"/>
      <c r="AD162" s="382"/>
      <c r="AE162" s="382"/>
      <c r="AF162" s="382"/>
      <c r="AG162" s="382"/>
      <c r="AH162" s="382"/>
      <c r="AI162" s="382"/>
    </row>
    <row r="163" spans="1:35">
      <c r="A163" s="27"/>
      <c r="B163" s="28"/>
      <c r="C163" s="28"/>
      <c r="D163" s="28"/>
      <c r="E163" s="21"/>
      <c r="F163" s="21"/>
      <c r="G163" s="21"/>
      <c r="H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K164" s="382"/>
      <c r="L164" s="382"/>
      <c r="T164" s="382"/>
      <c r="U164" s="382"/>
      <c r="AC164" s="382"/>
      <c r="AD164" s="382"/>
    </row>
    <row r="165" spans="1:35">
      <c r="A165" s="27"/>
      <c r="B165" s="28"/>
      <c r="C165" s="28"/>
      <c r="D165" s="28"/>
      <c r="E165" s="21"/>
      <c r="F165" s="21"/>
      <c r="G165" s="21"/>
      <c r="H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</row>
    <row r="167" spans="1:35">
      <c r="A167" s="189">
        <f>B95</f>
        <v>2313.0704485144097</v>
      </c>
      <c r="B167" s="133">
        <f>B94</f>
        <v>24.997499999999999</v>
      </c>
      <c r="C167" s="131"/>
      <c r="D167" s="131"/>
      <c r="E167" s="133">
        <f>B96</f>
        <v>2338.0679485144096</v>
      </c>
      <c r="F167" s="21"/>
      <c r="G167" s="21">
        <f>ROUND(G95,2)</f>
        <v>2144.87</v>
      </c>
      <c r="H167" s="29"/>
    </row>
    <row r="168" spans="1:35">
      <c r="A168" s="27"/>
      <c r="B168" s="28"/>
      <c r="C168" s="28"/>
      <c r="D168" s="28"/>
      <c r="E168" s="21"/>
      <c r="F168" s="21"/>
      <c r="G168" s="21"/>
      <c r="H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</row>
    <row r="170" spans="1:35">
      <c r="A170" s="134" t="str">
        <f>H29</f>
        <v>33</v>
      </c>
      <c r="B170" s="170" t="str">
        <f>H30</f>
        <v>5000</v>
      </c>
      <c r="C170" s="136"/>
      <c r="D170" s="21"/>
      <c r="E170" s="137">
        <v>6000</v>
      </c>
      <c r="F170" s="21"/>
      <c r="G170" s="21"/>
      <c r="H170" s="29"/>
    </row>
    <row r="171" spans="1:35">
      <c r="A171" s="27"/>
      <c r="B171" s="28"/>
      <c r="C171" s="28"/>
      <c r="D171" s="21"/>
      <c r="E171" s="28"/>
      <c r="F171" s="21"/>
      <c r="G171" s="21"/>
      <c r="H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</row>
    <row r="173" spans="1:35">
      <c r="A173" s="138">
        <f>H141-H137-H139-H140</f>
        <v>56414.249999999993</v>
      </c>
      <c r="B173" s="34">
        <f>H137</f>
        <v>11282.849999999999</v>
      </c>
      <c r="C173" s="38"/>
      <c r="D173" s="21"/>
      <c r="E173" s="137">
        <f>H139+H140</f>
        <v>700</v>
      </c>
      <c r="F173" s="21"/>
      <c r="G173" s="21"/>
      <c r="H173" s="29"/>
    </row>
    <row r="174" spans="1:35">
      <c r="A174" s="27"/>
      <c r="B174" s="28"/>
      <c r="C174" s="28"/>
      <c r="D174" s="21"/>
      <c r="E174" s="28"/>
      <c r="F174" s="21"/>
      <c r="G174" s="21"/>
      <c r="H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</row>
    <row r="176" spans="1:35">
      <c r="A176" s="138">
        <f>H147</f>
        <v>68397.099999999991</v>
      </c>
      <c r="B176" s="34">
        <f>B111</f>
        <v>5000</v>
      </c>
      <c r="C176" s="34"/>
      <c r="D176" s="21"/>
      <c r="E176" s="34">
        <f>E111</f>
        <v>4000</v>
      </c>
      <c r="F176" s="21"/>
      <c r="G176" s="21"/>
      <c r="H176" s="90"/>
    </row>
    <row r="177" spans="1:8">
      <c r="A177" s="27"/>
      <c r="B177" s="28"/>
      <c r="C177" s="28"/>
      <c r="D177" s="21"/>
      <c r="E177" s="28"/>
      <c r="F177" s="21"/>
      <c r="G177" s="21"/>
      <c r="H177" s="29"/>
    </row>
    <row r="178" spans="1:8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</row>
    <row r="179" spans="1:8">
      <c r="A179" s="94">
        <f>B176+E176</f>
        <v>9000</v>
      </c>
      <c r="B179" s="34">
        <f>G154</f>
        <v>0</v>
      </c>
      <c r="C179" s="34"/>
      <c r="D179" s="21"/>
      <c r="E179" s="34">
        <f>G158</f>
        <v>59397.099999999991</v>
      </c>
      <c r="F179" s="21"/>
      <c r="G179" s="21"/>
      <c r="H179" s="90"/>
    </row>
    <row r="180" spans="1:8">
      <c r="A180" s="27"/>
      <c r="B180" s="28"/>
      <c r="C180" s="28"/>
      <c r="D180" s="21"/>
      <c r="E180" s="28"/>
      <c r="F180" s="21"/>
      <c r="G180" s="21"/>
      <c r="H180" s="29"/>
    </row>
    <row r="181" spans="1:8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</row>
    <row r="182" spans="1:8">
      <c r="A182" s="94">
        <f>(ROUND(A167, 2)*B59)+ROUND(E185, 2)-ROUND(E179, 2)-ROUND(A185,2)</f>
        <v>20621.140000000007</v>
      </c>
      <c r="B182" s="34">
        <f>B114</f>
        <v>199.99166666666667</v>
      </c>
      <c r="C182" s="34"/>
      <c r="D182" s="21"/>
      <c r="E182" s="34">
        <f>ROUND(E179, 2)+ROUND(A182, 2)+(ROUND(B182, 2)*1.2)+ROUND(A185, 2)</f>
        <v>80268.227999999988</v>
      </c>
      <c r="F182" s="21"/>
      <c r="G182" s="21"/>
      <c r="H182" s="90"/>
    </row>
    <row r="183" spans="1:8">
      <c r="A183" s="27"/>
      <c r="B183" s="28"/>
      <c r="C183" s="28"/>
      <c r="D183" s="21"/>
      <c r="E183" s="28"/>
      <c r="F183" s="21"/>
      <c r="G183" s="21"/>
      <c r="H183" s="29"/>
    </row>
    <row r="184" spans="1:8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</row>
    <row r="185" spans="1:8">
      <c r="A185" s="94">
        <f>B60</f>
        <v>10</v>
      </c>
      <c r="B185" s="34">
        <f>A179+(B182*1.2)</f>
        <v>9239.99</v>
      </c>
      <c r="C185" s="34"/>
      <c r="D185" s="21"/>
      <c r="E185" s="34">
        <f>IF( E170=0, A185+E167, E170+A185)</f>
        <v>6010</v>
      </c>
      <c r="F185" s="21"/>
      <c r="G185" s="21"/>
      <c r="H185" s="90"/>
    </row>
    <row r="186" spans="1:8">
      <c r="A186" s="27"/>
      <c r="B186" s="28"/>
      <c r="C186" s="28"/>
      <c r="D186" s="28"/>
      <c r="E186" s="21"/>
      <c r="F186" s="21"/>
      <c r="G186" s="21"/>
      <c r="H186" s="29"/>
    </row>
    <row r="187" spans="1:8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</row>
    <row r="188" spans="1:8">
      <c r="A188" s="94">
        <f>J18*0.000002*100</f>
        <v>13.815</v>
      </c>
      <c r="B188" s="34">
        <f>(G158*B67)</f>
        <v>445.47824999999995</v>
      </c>
      <c r="C188" s="28"/>
      <c r="D188" s="28"/>
      <c r="E188" s="34">
        <f>IF(E105="YES",(H36*A108)*0.1,0)</f>
        <v>13.332000000000003</v>
      </c>
      <c r="F188" s="21"/>
      <c r="G188" s="21"/>
      <c r="H188" s="29"/>
    </row>
    <row r="189" spans="1:8">
      <c r="A189" s="94"/>
      <c r="B189" s="34"/>
      <c r="C189" s="28"/>
      <c r="D189" s="28"/>
      <c r="E189" s="21"/>
      <c r="F189" s="21"/>
      <c r="G189" s="21"/>
      <c r="H189" s="29"/>
    </row>
    <row r="190" spans="1:8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</row>
    <row r="191" spans="1:8">
      <c r="A191" s="94">
        <v>20</v>
      </c>
      <c r="B191" s="34">
        <f>B188+E188+A191-H156</f>
        <v>478.81024999999994</v>
      </c>
      <c r="C191" s="28"/>
      <c r="D191" s="28"/>
      <c r="E191" s="34">
        <f>H148</f>
        <v>0</v>
      </c>
      <c r="F191" s="21"/>
      <c r="G191" s="21"/>
      <c r="H191" s="29"/>
    </row>
    <row r="192" spans="1:8">
      <c r="A192" s="27"/>
      <c r="B192" s="28"/>
      <c r="C192" s="28"/>
      <c r="D192" s="28"/>
      <c r="E192" s="21"/>
      <c r="F192" s="21"/>
      <c r="G192" s="21"/>
      <c r="H192" s="29"/>
    </row>
    <row r="193" spans="1:31">
      <c r="A193" s="58" t="s">
        <v>214</v>
      </c>
      <c r="B193" s="28"/>
      <c r="C193" s="28"/>
      <c r="D193" s="59"/>
      <c r="E193" s="59"/>
      <c r="F193" s="59"/>
      <c r="G193" s="59"/>
      <c r="H193" s="60"/>
    </row>
    <row r="194" spans="1:31">
      <c r="A194" s="27"/>
      <c r="B194" s="61"/>
      <c r="C194" s="61"/>
      <c r="D194" s="28"/>
      <c r="E194" s="21"/>
      <c r="F194" s="21"/>
      <c r="G194" s="21"/>
      <c r="H194" s="29"/>
    </row>
    <row r="195" spans="1:31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82"/>
      <c r="K195" s="382"/>
      <c r="L195" s="382"/>
      <c r="M195" s="382"/>
      <c r="S195" s="382"/>
      <c r="T195" s="382"/>
      <c r="U195" s="382"/>
      <c r="V195" s="382"/>
      <c r="AB195" s="382"/>
      <c r="AC195" s="382"/>
      <c r="AD195" s="382"/>
      <c r="AE195" s="382"/>
    </row>
    <row r="196" spans="1:31" ht="19.5" customHeight="1">
      <c r="A196" s="369"/>
      <c r="B196" s="342" t="str">
        <f>H30</f>
        <v>5000</v>
      </c>
      <c r="C196" s="342"/>
      <c r="D196" s="342"/>
      <c r="E196" s="21"/>
      <c r="F196" s="21"/>
      <c r="G196" s="21"/>
      <c r="H196" s="29"/>
      <c r="J196" s="382"/>
      <c r="K196" s="382"/>
      <c r="L196" s="382"/>
      <c r="M196" s="382"/>
      <c r="S196" s="382"/>
      <c r="T196" s="382"/>
      <c r="U196" s="382"/>
      <c r="V196" s="382"/>
      <c r="AB196" s="382"/>
      <c r="AC196" s="382"/>
      <c r="AD196" s="382"/>
      <c r="AE196" s="382"/>
    </row>
    <row r="197" spans="1:31">
      <c r="A197" s="62" t="str">
        <f>H29</f>
        <v>33</v>
      </c>
      <c r="B197" s="343">
        <f>B96</f>
        <v>2338.0679485144096</v>
      </c>
      <c r="C197" s="343"/>
      <c r="D197" s="343"/>
      <c r="E197" s="21"/>
      <c r="F197" s="21"/>
      <c r="G197" s="21"/>
      <c r="H197" s="29"/>
      <c r="K197" s="382"/>
      <c r="L197" s="382"/>
      <c r="M197" s="382"/>
      <c r="T197" s="382"/>
      <c r="U197" s="382"/>
      <c r="V197" s="382"/>
      <c r="AC197" s="382"/>
      <c r="AD197" s="382"/>
      <c r="AE197" s="382"/>
    </row>
    <row r="198" spans="1:31">
      <c r="A198" s="27"/>
      <c r="B198" s="28"/>
      <c r="C198" s="28"/>
      <c r="D198" s="28"/>
      <c r="E198" s="21"/>
      <c r="F198" s="21"/>
      <c r="G198" s="21"/>
      <c r="H198" s="29"/>
    </row>
    <row r="199" spans="1:31">
      <c r="A199" s="27"/>
      <c r="B199" s="28"/>
      <c r="C199" s="28"/>
      <c r="D199" s="28"/>
      <c r="E199" s="21"/>
      <c r="F199" s="21"/>
      <c r="G199" s="21"/>
      <c r="H199" s="29"/>
    </row>
    <row r="200" spans="1:31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</row>
    <row r="201" spans="1:31">
      <c r="A201" s="32">
        <f>IF(A40=0,((G167*(B59+1))-E179),((G167*B59)+E185-E179-A185))</f>
        <v>15238.740000000005</v>
      </c>
      <c r="B201" s="38">
        <f>E179+A201+(B182*1.2)+A185</f>
        <v>74885.83</v>
      </c>
      <c r="C201" s="28"/>
      <c r="D201" s="28"/>
      <c r="E201" s="21"/>
      <c r="F201" s="21"/>
      <c r="G201" s="21"/>
      <c r="H201" s="29"/>
    </row>
    <row r="202" spans="1:31">
      <c r="A202" s="49"/>
      <c r="B202" s="50"/>
      <c r="C202" s="50"/>
      <c r="D202" s="50"/>
      <c r="E202" s="50"/>
      <c r="F202" s="50"/>
      <c r="G202" s="50"/>
      <c r="H202" s="57"/>
    </row>
    <row r="206" spans="1:31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1">
      <c r="A207" s="27"/>
      <c r="B207" s="28"/>
      <c r="C207" s="28"/>
      <c r="D207" s="28"/>
      <c r="E207" s="21"/>
      <c r="F207" s="21"/>
      <c r="G207" s="21"/>
      <c r="H207" s="29"/>
    </row>
    <row r="208" spans="1:31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30" t="s">
        <v>279</v>
      </c>
      <c r="B209" s="131" t="str">
        <f>A197</f>
        <v>33</v>
      </c>
      <c r="C209" s="131"/>
      <c r="D209" s="131"/>
      <c r="E209" s="131" t="str">
        <f>B196</f>
        <v>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2313.0704485144097</v>
      </c>
      <c r="B212" s="133">
        <f>B167</f>
        <v>24.997499999999999</v>
      </c>
      <c r="C212" s="131"/>
      <c r="D212" s="131"/>
      <c r="E212" s="133">
        <f>E167</f>
        <v>2338.0679485144096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56414.249999999993</v>
      </c>
      <c r="B215" s="34">
        <f>B173</f>
        <v>11282.849999999999</v>
      </c>
      <c r="C215" s="38"/>
      <c r="D215" s="21"/>
      <c r="E215" s="137">
        <f>E173</f>
        <v>700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68397.099999999991</v>
      </c>
      <c r="B218" s="34">
        <f>B176</f>
        <v>5000</v>
      </c>
      <c r="C218" s="34"/>
      <c r="D218" s="21"/>
      <c r="E218" s="34">
        <f>E176</f>
        <v>4000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9000</v>
      </c>
      <c r="B221" s="34">
        <f>B179</f>
        <v>0</v>
      </c>
      <c r="C221" s="34"/>
      <c r="D221" s="21"/>
      <c r="E221" s="34">
        <f>E179</f>
        <v>59397.099999999991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20621.140000000007</v>
      </c>
      <c r="B224" s="34">
        <f>B182</f>
        <v>199.99166666666667</v>
      </c>
      <c r="C224" s="34"/>
      <c r="D224" s="21"/>
      <c r="E224" s="34">
        <f>E182</f>
        <v>80268.227999999988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9239.99</v>
      </c>
      <c r="C227" s="34"/>
      <c r="D227" s="21"/>
      <c r="E227" s="34">
        <f>B59</f>
        <v>32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2313.0704485144097</v>
      </c>
      <c r="B230" s="34">
        <f>B167</f>
        <v>24.997499999999999</v>
      </c>
      <c r="C230" s="38"/>
      <c r="D230" s="38"/>
      <c r="E230" s="34">
        <f>E167</f>
        <v>2338.0679485144096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198</v>
      </c>
      <c r="B232" s="28" t="s">
        <v>220</v>
      </c>
      <c r="C232" s="28"/>
      <c r="D232" s="28"/>
      <c r="E232" s="28" t="s">
        <v>221</v>
      </c>
      <c r="F232" s="21"/>
      <c r="G232" s="21"/>
      <c r="H232" s="29"/>
    </row>
    <row r="233" spans="1:8">
      <c r="A233" s="94">
        <f>E170</f>
        <v>6000</v>
      </c>
      <c r="B233" s="34">
        <f>E185</f>
        <v>6010</v>
      </c>
      <c r="C233" s="28"/>
      <c r="D233" s="28"/>
      <c r="E233" s="34">
        <f>A188</f>
        <v>13.815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142</v>
      </c>
      <c r="B235" s="34"/>
      <c r="C235" s="28"/>
      <c r="D235" s="28"/>
      <c r="E235" s="34"/>
      <c r="F235" s="21"/>
      <c r="G235" s="21"/>
      <c r="H235" s="29"/>
    </row>
    <row r="236" spans="1:8">
      <c r="A236" s="94"/>
      <c r="B236" s="34"/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0</v>
      </c>
      <c r="B240" s="34">
        <f>B188</f>
        <v>445.47824999999995</v>
      </c>
      <c r="C240" s="28"/>
      <c r="D240" s="28"/>
      <c r="E240" s="34">
        <f>IF(E105="YES",(H36*A108)*0.1,0)</f>
        <v>13.332000000000003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20</v>
      </c>
      <c r="B243" s="34">
        <f>B191</f>
        <v>478.81024999999994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B63</f>
        <v>7.0000000000000007E-2</v>
      </c>
      <c r="C253" s="144"/>
      <c r="D253" s="374" t="s">
        <v>226</v>
      </c>
      <c r="E253" s="374"/>
      <c r="F253" s="143">
        <f>B83</f>
        <v>0.12000000000000001</v>
      </c>
      <c r="G253" s="21"/>
      <c r="H253" s="29"/>
    </row>
    <row r="254" spans="1:8">
      <c r="A254" s="139" t="s">
        <v>227</v>
      </c>
      <c r="B254" s="146">
        <f>(E182-B182)-(B201-B182-A185)</f>
        <v>5392.3979999999865</v>
      </c>
      <c r="C254" s="144"/>
      <c r="D254" s="374" t="s">
        <v>228</v>
      </c>
      <c r="E254" s="374"/>
      <c r="F254" s="146">
        <f>F261+F267+F269+B270+B271</f>
        <v>445.47824999999995</v>
      </c>
      <c r="G254" s="21"/>
      <c r="H254" s="29"/>
    </row>
    <row r="255" spans="1:8">
      <c r="A255" s="139" t="s">
        <v>229</v>
      </c>
      <c r="B255" s="146">
        <f>F262+B263</f>
        <v>153.32000000000002</v>
      </c>
      <c r="C255" s="144"/>
      <c r="D255" s="374" t="s">
        <v>230</v>
      </c>
      <c r="E255" s="374"/>
      <c r="F255" s="146">
        <f>(B254-F254)+B255</f>
        <v>5100.2397499999861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7.0000000000000007E-2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0.12000000000000001</v>
      </c>
      <c r="C260" s="38"/>
      <c r="D260" s="363" t="s">
        <v>227</v>
      </c>
      <c r="E260" s="363"/>
      <c r="F260" s="115">
        <f>B254</f>
        <v>5392.3979999999865</v>
      </c>
      <c r="G260" s="21"/>
      <c r="H260" s="29"/>
    </row>
    <row r="261" spans="1:8">
      <c r="A261" s="27" t="s">
        <v>233</v>
      </c>
      <c r="B261" s="155">
        <f>B67</f>
        <v>7.4999999999999997E-3</v>
      </c>
      <c r="C261" s="28"/>
      <c r="D261" s="363" t="s">
        <v>233</v>
      </c>
      <c r="E261" s="363"/>
      <c r="F261" s="119">
        <f>B68</f>
        <v>445.47824999999995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133.32000000000002</v>
      </c>
      <c r="G262" s="21"/>
      <c r="H262" s="29"/>
    </row>
    <row r="263" spans="1:8">
      <c r="A263" s="27" t="s">
        <v>235</v>
      </c>
      <c r="B263" s="115">
        <f>A243</f>
        <v>20</v>
      </c>
      <c r="C263" s="28"/>
      <c r="D263" s="35" t="s">
        <v>230</v>
      </c>
      <c r="E263" s="35"/>
      <c r="F263" s="115">
        <f>(B254-F254)+B255</f>
        <v>5100.2397499999861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98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A100:H100"/>
    <mergeCell ref="J100:Q100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G42:H42"/>
    <mergeCell ref="B44:C44"/>
    <mergeCell ref="D44:E44"/>
    <mergeCell ref="B47:C47"/>
    <mergeCell ref="D47:E47"/>
    <mergeCell ref="A51:A52"/>
    <mergeCell ref="B51:C51"/>
    <mergeCell ref="B52:C52"/>
    <mergeCell ref="B53:C53"/>
    <mergeCell ref="B32:C32"/>
    <mergeCell ref="D32:E32"/>
    <mergeCell ref="B35:C35"/>
    <mergeCell ref="D35:E35"/>
    <mergeCell ref="B38:C38"/>
    <mergeCell ref="D38:E38"/>
    <mergeCell ref="J38:K38"/>
    <mergeCell ref="B41:C41"/>
    <mergeCell ref="D41:E41"/>
    <mergeCell ref="B18:F18"/>
    <mergeCell ref="B19:F19"/>
    <mergeCell ref="B20:F20"/>
    <mergeCell ref="A21:F21"/>
    <mergeCell ref="A24:E24"/>
    <mergeCell ref="A26:E26"/>
    <mergeCell ref="B29:C29"/>
    <mergeCell ref="D29:E29"/>
    <mergeCell ref="B30:C30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A1:H1"/>
    <mergeCell ref="B2:C2"/>
    <mergeCell ref="D2:E2"/>
    <mergeCell ref="F2:G2"/>
    <mergeCell ref="B3:C3"/>
    <mergeCell ref="D3:E3"/>
    <mergeCell ref="F3:G3"/>
    <mergeCell ref="B4:C4"/>
    <mergeCell ref="D4:E4"/>
    <mergeCell ref="F4:G4"/>
  </mergeCells>
  <dataValidations count="4">
    <dataValidation type="list" allowBlank="1" showErrorMessage="1" sqref="B38" xr:uid="{00000000-0002-0000-3D00-000001000000}">
      <formula1>$Z$19:$Z$20</formula1>
      <formula2>0</formula2>
    </dataValidation>
    <dataValidation type="list" allowBlank="1" showInputMessage="1" showErrorMessage="1" sqref="A18:A20 B105 C108:D108 A144:A146" xr:uid="{00000000-0002-0000-3D00-000002000000}">
      <formula1>#REF!</formula1>
      <formula2>0</formula2>
    </dataValidation>
    <dataValidation type="list" allowBlank="1" showInputMessage="1" showErrorMessage="1" sqref="E105 A111" xr:uid="{00000000-0002-0000-3D00-000003000000}">
      <formula1>"YES,NO"</formula1>
      <formula2>0</formula2>
    </dataValidation>
    <dataValidation type="list" allowBlank="1" showInputMessage="1" showErrorMessage="1" sqref="B108" xr:uid="{00000000-0002-0000-3D00-000004000000}">
      <formula1>"A1 Credit,Limited Credit"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3D00-000000000000}">
          <x14:formula1>
            <xm:f>'FL (Formula 3) - BCH'!$Z$103:$Z$111</xm:f>
          </x14:formula1>
          <x14:formula2>
            <xm:f>0</xm:f>
          </x14:formula2>
          <xm:sqref>A32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AP272"/>
  <sheetViews>
    <sheetView topLeftCell="A246" zoomScale="110" zoomScaleNormal="110" workbookViewId="0">
      <selection activeCell="F262" sqref="F262"/>
    </sheetView>
  </sheetViews>
  <sheetFormatPr defaultColWidth="8.375" defaultRowHeight="18.75"/>
  <cols>
    <col min="1" max="1" customWidth="true" style="4" width="41.625"/>
    <col min="2" max="5" customWidth="true" style="4" width="18.875"/>
    <col min="6" max="6" customWidth="true" style="4" width="31.875"/>
    <col min="7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44" t="s">
        <v>382</v>
      </c>
      <c r="B1" s="344"/>
      <c r="C1" s="344"/>
      <c r="D1" s="344"/>
      <c r="E1" s="344"/>
      <c r="F1" s="344"/>
      <c r="G1" s="344"/>
      <c r="H1" s="344"/>
      <c r="I1" s="5"/>
      <c r="J1" s="5"/>
    </row>
    <row r="2" spans="1:25" ht="21">
      <c r="A2" s="68"/>
      <c r="B2" s="413" t="s">
        <v>154</v>
      </c>
      <c r="C2" s="413"/>
      <c r="D2" s="413" t="s">
        <v>155</v>
      </c>
      <c r="E2" s="413"/>
      <c r="F2" s="413" t="s">
        <v>156</v>
      </c>
      <c r="G2" s="413"/>
      <c r="H2" s="287" t="s">
        <v>157</v>
      </c>
      <c r="I2" s="5"/>
      <c r="J2" s="5"/>
    </row>
    <row r="3" spans="1:25">
      <c r="A3" s="27" t="s">
        <v>160</v>
      </c>
      <c r="B3" s="414">
        <v>56579.17</v>
      </c>
      <c r="C3" s="414">
        <v>0</v>
      </c>
      <c r="D3" s="414">
        <v>0</v>
      </c>
      <c r="E3" s="414"/>
      <c r="F3" s="414">
        <v>833.33</v>
      </c>
      <c r="G3" s="414"/>
      <c r="H3" s="289">
        <v>0</v>
      </c>
      <c r="I3" s="5"/>
      <c r="J3" s="5"/>
    </row>
    <row r="4" spans="1:25">
      <c r="A4" s="27" t="s">
        <v>161</v>
      </c>
      <c r="B4" s="418">
        <v>2</v>
      </c>
      <c r="C4" s="418">
        <v>0</v>
      </c>
      <c r="D4" s="418">
        <v>0</v>
      </c>
      <c r="E4" s="418"/>
      <c r="F4" s="418">
        <v>2</v>
      </c>
      <c r="G4" s="418"/>
      <c r="H4" s="105"/>
      <c r="I4" s="5"/>
      <c r="J4" s="5"/>
    </row>
    <row r="5" spans="1:25">
      <c r="A5" s="27" t="s">
        <v>162</v>
      </c>
      <c r="B5" s="414">
        <v>0</v>
      </c>
      <c r="C5" s="414">
        <v>0</v>
      </c>
      <c r="D5" s="414">
        <v>0</v>
      </c>
      <c r="E5" s="414"/>
      <c r="F5" s="414">
        <v>0</v>
      </c>
      <c r="G5" s="414"/>
      <c r="H5" s="29"/>
      <c r="I5" s="5"/>
      <c r="J5" s="5"/>
    </row>
    <row r="6" spans="1:25">
      <c r="A6" s="27" t="s">
        <v>163</v>
      </c>
      <c r="B6" s="380">
        <f>(B3*B4/100)+B5</f>
        <v>1131.5834</v>
      </c>
      <c r="C6" s="380">
        <f>(C3*C4/100)+C5</f>
        <v>0</v>
      </c>
      <c r="D6" s="380">
        <f>(D3*D4/100)+D5</f>
        <v>0</v>
      </c>
      <c r="E6" s="380"/>
      <c r="F6" s="380">
        <f>(F3*F4/100)+F5</f>
        <v>16.666600000000003</v>
      </c>
      <c r="G6" s="380"/>
      <c r="H6" s="29"/>
      <c r="I6" s="5"/>
      <c r="J6" s="5"/>
    </row>
    <row r="7" spans="1:25">
      <c r="A7" s="27" t="s">
        <v>164</v>
      </c>
      <c r="B7" s="380">
        <f>B3-B6</f>
        <v>55447.586599999995</v>
      </c>
      <c r="C7" s="380">
        <f>C3-C6</f>
        <v>0</v>
      </c>
      <c r="D7" s="380">
        <f>D3-D6</f>
        <v>0</v>
      </c>
      <c r="E7" s="380"/>
      <c r="F7" s="380">
        <f>F3-F6</f>
        <v>816.66340000000002</v>
      </c>
      <c r="G7" s="380"/>
      <c r="H7" s="29"/>
      <c r="I7" s="5"/>
      <c r="J7" s="5"/>
    </row>
    <row r="8" spans="1:25">
      <c r="A8" s="27"/>
      <c r="B8" s="28"/>
      <c r="C8" s="28"/>
      <c r="D8" s="28"/>
      <c r="E8" s="28"/>
      <c r="F8" s="28"/>
      <c r="G8" s="28"/>
      <c r="H8" s="29"/>
      <c r="I8" s="5"/>
      <c r="J8" s="5"/>
      <c r="L8" s="14" t="s">
        <v>17</v>
      </c>
      <c r="M8" s="11">
        <f>H13+H14</f>
        <v>700</v>
      </c>
    </row>
    <row r="9" spans="1:25" ht="21">
      <c r="A9" s="356" t="s">
        <v>172</v>
      </c>
      <c r="B9" s="356"/>
      <c r="C9" s="356"/>
      <c r="D9" s="356"/>
      <c r="E9" s="356">
        <f>(B7+C7+D7+E3)</f>
        <v>55447.586599999995</v>
      </c>
      <c r="F9" s="356"/>
      <c r="G9" s="109"/>
      <c r="H9" s="290">
        <f>B7+D7+F7+H3</f>
        <v>56264.249999999993</v>
      </c>
      <c r="I9" s="5"/>
      <c r="J9" s="5"/>
      <c r="K9" s="4" t="s">
        <v>31</v>
      </c>
      <c r="L9" s="11"/>
      <c r="M9" s="11"/>
    </row>
    <row r="10" spans="1:25">
      <c r="A10" s="357" t="s">
        <v>173</v>
      </c>
      <c r="B10" s="357"/>
      <c r="C10" s="357"/>
      <c r="D10" s="357"/>
      <c r="E10" s="357">
        <v>550</v>
      </c>
      <c r="F10" s="357"/>
      <c r="G10" s="121"/>
      <c r="H10" s="289">
        <v>150</v>
      </c>
      <c r="I10" s="5"/>
      <c r="J10" s="5"/>
      <c r="K10" s="4" t="s">
        <v>32</v>
      </c>
      <c r="L10" s="16" t="s">
        <v>15</v>
      </c>
      <c r="M10" s="11">
        <f>H15-H11-M8</f>
        <v>56414.249999999993</v>
      </c>
    </row>
    <row r="11" spans="1:25">
      <c r="A11" s="357" t="s">
        <v>174</v>
      </c>
      <c r="B11" s="357"/>
      <c r="C11" s="357"/>
      <c r="D11" s="357"/>
      <c r="E11" s="357"/>
      <c r="F11" s="357"/>
      <c r="G11" s="121"/>
      <c r="H11" s="29">
        <f>(H9+H10)*20%</f>
        <v>11282.849999999999</v>
      </c>
      <c r="I11" s="5"/>
      <c r="J11" s="5"/>
      <c r="L11" s="11"/>
      <c r="M11" s="11"/>
    </row>
    <row r="12" spans="1:25">
      <c r="A12" s="357" t="s">
        <v>175</v>
      </c>
      <c r="B12" s="357"/>
      <c r="C12" s="357"/>
      <c r="D12" s="357"/>
      <c r="E12" s="357"/>
      <c r="F12" s="357"/>
      <c r="G12" s="121"/>
      <c r="H12" s="289">
        <v>0</v>
      </c>
      <c r="I12" s="5"/>
      <c r="J12" s="5"/>
    </row>
    <row r="13" spans="1:25">
      <c r="A13" s="357" t="s">
        <v>176</v>
      </c>
      <c r="B13" s="357"/>
      <c r="C13" s="357"/>
      <c r="D13" s="357"/>
      <c r="E13" s="357">
        <v>585</v>
      </c>
      <c r="F13" s="357"/>
      <c r="G13" s="121"/>
      <c r="H13" s="289">
        <v>645</v>
      </c>
      <c r="I13" s="5"/>
      <c r="J13" s="5"/>
    </row>
    <row r="14" spans="1:25">
      <c r="A14" s="357" t="s">
        <v>177</v>
      </c>
      <c r="B14" s="357"/>
      <c r="C14" s="357"/>
      <c r="D14" s="357"/>
      <c r="E14" s="357">
        <v>55</v>
      </c>
      <c r="F14" s="357"/>
      <c r="G14" s="121"/>
      <c r="H14" s="289">
        <v>55</v>
      </c>
      <c r="I14" s="5"/>
      <c r="J14" s="5" t="s">
        <v>24</v>
      </c>
    </row>
    <row r="15" spans="1:25">
      <c r="A15" s="357" t="s">
        <v>178</v>
      </c>
      <c r="B15" s="357"/>
      <c r="C15" s="357"/>
      <c r="D15" s="357"/>
      <c r="E15" s="357"/>
      <c r="F15" s="357"/>
      <c r="G15" s="121"/>
      <c r="H15" s="291">
        <f>(H9+H10+H13+H14+H11)-H12</f>
        <v>68397.099999999991</v>
      </c>
      <c r="I15" s="5"/>
      <c r="J15" s="17">
        <f>H15</f>
        <v>68397.099999999991</v>
      </c>
    </row>
    <row r="16" spans="1:25">
      <c r="A16" s="357" t="s">
        <v>179</v>
      </c>
      <c r="B16" s="357"/>
      <c r="C16" s="357"/>
      <c r="D16" s="357"/>
      <c r="E16" s="357">
        <v>0</v>
      </c>
      <c r="F16" s="357"/>
      <c r="G16" s="121"/>
      <c r="H16" s="289">
        <v>0</v>
      </c>
      <c r="I16" s="5"/>
      <c r="J16" s="5"/>
      <c r="Y16" s="18" t="s">
        <v>26</v>
      </c>
    </row>
    <row r="17" spans="1:26">
      <c r="A17" s="358" t="s">
        <v>180</v>
      </c>
      <c r="B17" s="358"/>
      <c r="C17" s="358"/>
      <c r="D17" s="358"/>
      <c r="E17" s="358"/>
      <c r="F17" s="358"/>
      <c r="G17" s="34"/>
      <c r="H17" s="29"/>
      <c r="I17" s="5"/>
      <c r="J17" s="5" t="s">
        <v>27</v>
      </c>
      <c r="Y17" s="18" t="s">
        <v>28</v>
      </c>
    </row>
    <row r="18" spans="1:26">
      <c r="A18" s="124" t="s">
        <v>26</v>
      </c>
      <c r="B18" s="360" t="s">
        <v>181</v>
      </c>
      <c r="C18" s="360"/>
      <c r="D18" s="360"/>
      <c r="E18" s="360"/>
      <c r="F18" s="360"/>
      <c r="G18" s="35"/>
      <c r="H18" s="292">
        <v>0</v>
      </c>
      <c r="I18" s="5"/>
      <c r="J18" s="17">
        <f>(B3+D3+F3+H3+H10)*1.2</f>
        <v>69075</v>
      </c>
      <c r="Y18" s="18" t="s">
        <v>29</v>
      </c>
    </row>
    <row r="19" spans="1:26">
      <c r="A19" s="124" t="s">
        <v>28</v>
      </c>
      <c r="B19" s="360" t="s">
        <v>181</v>
      </c>
      <c r="C19" s="360"/>
      <c r="D19" s="360"/>
      <c r="E19" s="360"/>
      <c r="F19" s="360"/>
      <c r="G19" s="35"/>
      <c r="H19" s="292">
        <v>0</v>
      </c>
      <c r="I19" s="5"/>
      <c r="J19" s="5"/>
      <c r="Z19" s="5" t="s">
        <v>31</v>
      </c>
    </row>
    <row r="20" spans="1:26">
      <c r="A20" s="124" t="s">
        <v>29</v>
      </c>
      <c r="B20" s="360" t="s">
        <v>181</v>
      </c>
      <c r="C20" s="360"/>
      <c r="D20" s="360"/>
      <c r="E20" s="360">
        <v>0</v>
      </c>
      <c r="F20" s="360"/>
      <c r="G20" s="35"/>
      <c r="H20" s="292">
        <v>0</v>
      </c>
      <c r="I20" s="5"/>
      <c r="J20" s="5"/>
      <c r="Z20" s="5" t="s">
        <v>32</v>
      </c>
    </row>
    <row r="21" spans="1:26" ht="21">
      <c r="A21" s="417" t="s">
        <v>182</v>
      </c>
      <c r="B21" s="417"/>
      <c r="C21" s="417"/>
      <c r="D21" s="417"/>
      <c r="E21" s="417"/>
      <c r="F21" s="417"/>
      <c r="G21" s="293"/>
      <c r="H21" s="294">
        <f>H15-((H18*1.2)+(H19*1.2)+(H20*1.2)+(H16*1.2))</f>
        <v>68397.099999999991</v>
      </c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354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>
      <c r="A26" s="32" t="s">
        <v>138</v>
      </c>
      <c r="B26" s="36" t="s">
        <v>410</v>
      </c>
      <c r="C26" s="28"/>
      <c r="D26" s="28"/>
      <c r="E26" s="28"/>
      <c r="F26" s="28"/>
      <c r="G26" s="28"/>
      <c r="H26" s="29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 ht="23.25">
      <c r="A28" s="335" t="s">
        <v>136</v>
      </c>
      <c r="B28" s="335"/>
      <c r="C28" s="335"/>
      <c r="D28" s="335"/>
      <c r="E28" s="335"/>
      <c r="F28" s="335"/>
      <c r="G28" s="335"/>
      <c r="H28" s="335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>
        <v>36</v>
      </c>
      <c r="I29" s="28"/>
      <c r="J29" s="25" t="s">
        <v>41</v>
      </c>
      <c r="K29" s="295">
        <v>35</v>
      </c>
    </row>
    <row r="30" spans="1:26">
      <c r="A30" s="27" t="s">
        <v>193</v>
      </c>
      <c r="B30" s="346" t="s">
        <v>387</v>
      </c>
      <c r="C30" s="346"/>
      <c r="D30" s="346"/>
      <c r="E30" s="28"/>
      <c r="F30" s="28"/>
      <c r="G30" s="28"/>
      <c r="H30" s="29">
        <v>10000</v>
      </c>
      <c r="I30" s="28"/>
      <c r="J30" s="25" t="s">
        <v>45</v>
      </c>
      <c r="K30" s="33">
        <v>35000</v>
      </c>
    </row>
    <row r="31" spans="1:26">
      <c r="A31" s="27"/>
      <c r="B31" s="28"/>
      <c r="C31" s="28"/>
      <c r="D31" s="28"/>
      <c r="E31" s="28"/>
      <c r="F31" s="28"/>
      <c r="G31" s="28"/>
      <c r="H31" s="29">
        <v>27500</v>
      </c>
      <c r="I31" s="28"/>
      <c r="J31" s="25" t="s">
        <v>48</v>
      </c>
      <c r="K31" s="37">
        <v>9337.5</v>
      </c>
    </row>
    <row r="32" spans="1:26" ht="36">
      <c r="A32" s="27" t="s">
        <v>94</v>
      </c>
      <c r="B32" s="28" t="s">
        <v>95</v>
      </c>
      <c r="C32" s="28"/>
      <c r="D32" s="28"/>
      <c r="E32" s="28" t="s">
        <v>355</v>
      </c>
      <c r="F32" s="28"/>
      <c r="G32" s="28"/>
      <c r="H32" s="29"/>
      <c r="I32" s="5"/>
      <c r="J32" s="25" t="s">
        <v>49</v>
      </c>
      <c r="K32" s="37">
        <v>6230.7</v>
      </c>
    </row>
    <row r="33" spans="1:16" ht="36">
      <c r="A33" s="134">
        <f>A52</f>
        <v>35</v>
      </c>
      <c r="B33" s="173">
        <f>B51</f>
        <v>35000</v>
      </c>
      <c r="C33" s="28"/>
      <c r="D33" s="28"/>
      <c r="E33" s="402">
        <f>K48</f>
        <v>1786.9644694894655</v>
      </c>
      <c r="F33" s="402"/>
      <c r="G33" s="402"/>
      <c r="H33" s="42"/>
      <c r="I33" s="5"/>
      <c r="J33" s="30" t="s">
        <v>356</v>
      </c>
      <c r="K33" s="43">
        <f>H21-H11+(H16*20%)</f>
        <v>57114.249999999993</v>
      </c>
      <c r="L33" s="4">
        <f>H21-H11+(H16*20%)</f>
        <v>57114.249999999993</v>
      </c>
    </row>
    <row r="34" spans="1:16">
      <c r="A34" s="27"/>
      <c r="B34" s="28"/>
      <c r="C34" s="28"/>
      <c r="D34" s="28"/>
      <c r="E34" s="38"/>
      <c r="F34" s="38"/>
      <c r="G34" s="38"/>
      <c r="H34" s="42"/>
      <c r="I34" s="5"/>
      <c r="J34" s="5"/>
      <c r="K34" s="5"/>
    </row>
    <row r="35" spans="1:16">
      <c r="A35" s="27" t="s">
        <v>357</v>
      </c>
      <c r="B35" s="28" t="s">
        <v>358</v>
      </c>
      <c r="C35" s="28"/>
      <c r="E35" s="28" t="s">
        <v>359</v>
      </c>
      <c r="F35" s="38"/>
      <c r="G35" s="38"/>
      <c r="H35" s="42"/>
      <c r="I35" s="5"/>
      <c r="J35" s="45" t="s">
        <v>59</v>
      </c>
      <c r="K35" s="4">
        <v>7.0000000000000007E-2</v>
      </c>
    </row>
    <row r="36" spans="1:16">
      <c r="A36" s="138">
        <f>K47</f>
        <v>1608.9444694894655</v>
      </c>
      <c r="B36" s="173">
        <f>IF(B26="YES",K42,"0.00")</f>
        <v>178.02</v>
      </c>
      <c r="C36" s="173"/>
      <c r="D36" s="173"/>
      <c r="E36" s="402">
        <f>K31</f>
        <v>9337.5</v>
      </c>
      <c r="F36" s="402"/>
      <c r="G36" s="402"/>
      <c r="H36" s="42"/>
      <c r="I36" s="5"/>
      <c r="J36" s="5" t="s">
        <v>63</v>
      </c>
      <c r="K36" s="5">
        <f>K29</f>
        <v>35</v>
      </c>
    </row>
    <row r="37" spans="1:16">
      <c r="A37" s="94"/>
      <c r="B37" s="34"/>
      <c r="C37" s="38"/>
      <c r="D37" s="38"/>
      <c r="E37" s="38"/>
      <c r="F37" s="38"/>
      <c r="G37" s="38"/>
      <c r="H37" s="42"/>
      <c r="I37" s="5"/>
      <c r="J37" s="5"/>
      <c r="K37" s="5"/>
    </row>
    <row r="38" spans="1:16">
      <c r="A38" s="27"/>
      <c r="B38" s="28"/>
      <c r="C38" s="38"/>
      <c r="D38" s="38"/>
      <c r="E38" s="38"/>
      <c r="F38" s="38"/>
      <c r="G38" s="38"/>
      <c r="H38" s="42"/>
      <c r="J38" s="337" t="s">
        <v>65</v>
      </c>
      <c r="K38" s="337"/>
      <c r="L38" s="5">
        <v>42030.76</v>
      </c>
      <c r="N38" s="4">
        <f>80.88*36</f>
        <v>2911.68</v>
      </c>
    </row>
    <row r="39" spans="1:16">
      <c r="A39" s="27" t="s">
        <v>360</v>
      </c>
      <c r="B39" s="28" t="s">
        <v>361</v>
      </c>
      <c r="C39" s="28"/>
      <c r="E39" s="28" t="s">
        <v>362</v>
      </c>
      <c r="F39" s="38"/>
      <c r="G39" s="38"/>
      <c r="H39" s="42"/>
      <c r="J39" s="5" t="s">
        <v>96</v>
      </c>
      <c r="K39" s="5">
        <f>K33</f>
        <v>57114.249999999993</v>
      </c>
      <c r="L39" s="5">
        <f>(L47*K46)+K44</f>
        <v>25950.46640672471</v>
      </c>
      <c r="N39" s="4">
        <f>K39-L39</f>
        <v>31163.783593275282</v>
      </c>
    </row>
    <row r="40" spans="1:16">
      <c r="A40" s="92">
        <f>E36*A45/100</f>
        <v>9337.5</v>
      </c>
      <c r="B40" s="348">
        <f>IF(B26="YES",K42,"0.00")</f>
        <v>178.02</v>
      </c>
      <c r="C40" s="348"/>
      <c r="D40" s="348"/>
      <c r="E40" s="137">
        <f>K32</f>
        <v>6230.7</v>
      </c>
      <c r="F40" s="38"/>
      <c r="G40" s="38"/>
      <c r="H40" s="42"/>
      <c r="J40" s="5" t="s">
        <v>118</v>
      </c>
      <c r="K40" s="5">
        <f>(A40)/1.2</f>
        <v>7781.25</v>
      </c>
      <c r="L40" s="5">
        <f>K39-L39</f>
        <v>31163.783593275282</v>
      </c>
      <c r="N40" s="4">
        <f>N38-N39</f>
        <v>-28252.103593275282</v>
      </c>
    </row>
    <row r="41" spans="1:16">
      <c r="A41" s="27"/>
      <c r="B41" s="28"/>
      <c r="C41" s="28"/>
      <c r="D41" s="28"/>
      <c r="E41" s="28"/>
      <c r="F41" s="38"/>
      <c r="G41" s="38"/>
      <c r="H41" s="42"/>
      <c r="J41" s="5" t="s">
        <v>363</v>
      </c>
      <c r="K41" s="5">
        <f>K35/12</f>
        <v>5.8333333333333336E-3</v>
      </c>
      <c r="L41" s="5"/>
    </row>
    <row r="42" spans="1:16">
      <c r="A42" s="49"/>
      <c r="B42" s="50"/>
      <c r="C42" s="50"/>
      <c r="D42" s="50"/>
      <c r="E42" s="50"/>
      <c r="F42" s="50"/>
      <c r="G42" s="51"/>
      <c r="H42" s="52"/>
      <c r="J42" s="5" t="s">
        <v>364</v>
      </c>
      <c r="K42" s="5">
        <f>(K32/K36)*C45/100</f>
        <v>178.02</v>
      </c>
      <c r="L42" s="5"/>
    </row>
    <row r="43" spans="1:16">
      <c r="A43" s="22"/>
      <c r="B43" s="23"/>
      <c r="C43" s="23"/>
      <c r="D43" s="23"/>
      <c r="E43" s="23"/>
      <c r="F43" s="23"/>
      <c r="G43" s="23"/>
      <c r="H43" s="24"/>
      <c r="J43" s="5" t="s">
        <v>365</v>
      </c>
      <c r="K43" s="5"/>
      <c r="L43" s="5"/>
    </row>
    <row r="44" spans="1:16">
      <c r="A44" s="53" t="s">
        <v>89</v>
      </c>
      <c r="B44" s="28"/>
      <c r="C44" s="28" t="s">
        <v>90</v>
      </c>
      <c r="D44" s="28"/>
      <c r="E44" s="28"/>
      <c r="F44" s="28"/>
      <c r="G44" s="28"/>
      <c r="H44" s="29"/>
      <c r="J44" s="5" t="s">
        <v>366</v>
      </c>
      <c r="K44" s="5">
        <f>(K40/(1+K41)^(K36+1))</f>
        <v>6311.2081370000878</v>
      </c>
      <c r="L44" s="5"/>
    </row>
    <row r="45" spans="1:16">
      <c r="A45" s="54">
        <v>100</v>
      </c>
      <c r="B45" s="28"/>
      <c r="C45" s="339">
        <v>100</v>
      </c>
      <c r="D45" s="339"/>
      <c r="E45" s="339"/>
      <c r="F45" s="28"/>
      <c r="G45" s="28"/>
      <c r="H45" s="29"/>
      <c r="J45" s="5" t="s">
        <v>367</v>
      </c>
      <c r="K45" s="5">
        <f>(K39-K44)</f>
        <v>50803.041862999904</v>
      </c>
      <c r="L45" s="5"/>
    </row>
    <row r="46" spans="1:16">
      <c r="A46" s="49"/>
      <c r="B46" s="50"/>
      <c r="C46" s="50"/>
      <c r="D46" s="50"/>
      <c r="E46" s="50"/>
      <c r="F46" s="50"/>
      <c r="G46" s="50"/>
      <c r="H46" s="57"/>
      <c r="J46" s="5" t="s">
        <v>368</v>
      </c>
      <c r="K46" s="5">
        <f>((1-(1/((1+K41)^K36)))/K41)</f>
        <v>31.575385494267696</v>
      </c>
      <c r="L46" s="5"/>
    </row>
    <row r="47" spans="1:16">
      <c r="A47" s="22"/>
      <c r="B47" s="23"/>
      <c r="C47" s="23"/>
      <c r="D47" s="23"/>
      <c r="E47" s="23"/>
      <c r="F47" s="23"/>
      <c r="G47" s="23"/>
      <c r="H47" s="24"/>
      <c r="J47" s="5" t="s">
        <v>369</v>
      </c>
      <c r="K47" s="5">
        <f>K45/K46</f>
        <v>1608.9444694894655</v>
      </c>
      <c r="L47" s="5">
        <f>L49-K42</f>
        <v>621.98</v>
      </c>
      <c r="M47" s="4">
        <f>K47-L47</f>
        <v>986.9644694894655</v>
      </c>
    </row>
    <row r="48" spans="1:16" ht="37.5">
      <c r="A48" s="58" t="s">
        <v>93</v>
      </c>
      <c r="B48" s="28"/>
      <c r="C48" s="28"/>
      <c r="D48" s="59"/>
      <c r="E48" s="59"/>
      <c r="F48" s="59"/>
      <c r="G48" s="59"/>
      <c r="H48" s="60"/>
      <c r="J48" s="48" t="s">
        <v>370</v>
      </c>
      <c r="K48" s="5">
        <f>IF(B26="YES",K47+K42,K47)</f>
        <v>1786.9644694894655</v>
      </c>
      <c r="L48" s="5"/>
    </row>
    <row r="49" spans="1:35">
      <c r="A49" s="27"/>
      <c r="B49" s="61"/>
      <c r="C49" s="61"/>
      <c r="D49" s="28"/>
      <c r="E49" s="28"/>
      <c r="F49" s="28"/>
      <c r="G49" s="28"/>
      <c r="H49" s="29"/>
      <c r="J49" s="5" t="s">
        <v>371</v>
      </c>
      <c r="K49" s="5"/>
      <c r="L49" s="5">
        <v>800</v>
      </c>
    </row>
    <row r="50" spans="1:35" ht="21">
      <c r="A50" s="369" t="s">
        <v>94</v>
      </c>
      <c r="B50" s="341" t="s">
        <v>95</v>
      </c>
      <c r="C50" s="341"/>
      <c r="D50" s="341"/>
      <c r="E50" s="28"/>
      <c r="F50" s="28"/>
      <c r="G50" s="28"/>
      <c r="H50" s="29"/>
      <c r="I50" s="5"/>
      <c r="J50" s="5"/>
      <c r="K50" s="5"/>
    </row>
    <row r="51" spans="1:35" ht="19.5" customHeight="1">
      <c r="A51" s="369"/>
      <c r="B51" s="342">
        <f>K30</f>
        <v>35000</v>
      </c>
      <c r="C51" s="342"/>
      <c r="D51" s="342"/>
      <c r="E51" s="28"/>
      <c r="F51" s="28"/>
      <c r="G51" s="28"/>
      <c r="H51" s="29"/>
      <c r="I51" s="5"/>
      <c r="J51" s="5"/>
      <c r="K51" s="5"/>
    </row>
    <row r="52" spans="1:35">
      <c r="A52" s="62">
        <f>K29</f>
        <v>35</v>
      </c>
      <c r="B52" s="343">
        <f>K48</f>
        <v>1786.9644694894655</v>
      </c>
      <c r="C52" s="343"/>
      <c r="D52" s="343"/>
      <c r="E52" s="28"/>
      <c r="F52" s="28"/>
      <c r="G52" s="28"/>
      <c r="H52" s="29"/>
      <c r="I52" s="5"/>
      <c r="J52" s="5"/>
      <c r="K52" s="5"/>
    </row>
    <row r="53" spans="1:35">
      <c r="A53" s="27"/>
      <c r="B53" s="28"/>
      <c r="C53" s="28"/>
      <c r="D53" s="28"/>
      <c r="E53" s="28"/>
      <c r="F53" s="28"/>
      <c r="G53" s="28"/>
      <c r="H53" s="29"/>
      <c r="I53" s="5"/>
      <c r="J53" s="5"/>
      <c r="K53" s="5"/>
    </row>
    <row r="54" spans="1:35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35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35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35">
      <c r="A57" s="22"/>
      <c r="B57" s="23"/>
      <c r="C57" s="23"/>
      <c r="D57" s="23"/>
      <c r="E57" s="63"/>
      <c r="F57" s="63"/>
      <c r="G57" s="63"/>
      <c r="H57" s="24"/>
      <c r="J57" s="22"/>
      <c r="K57" s="23"/>
      <c r="L57" s="23"/>
      <c r="M57" s="23"/>
      <c r="N57" s="63"/>
      <c r="O57" s="63"/>
      <c r="P57" s="63"/>
      <c r="Q57" s="24"/>
      <c r="S57" s="22"/>
      <c r="T57" s="23"/>
      <c r="U57" s="23"/>
      <c r="V57" s="23"/>
      <c r="W57" s="63"/>
      <c r="X57" s="63"/>
      <c r="Y57" s="63"/>
      <c r="Z57" s="24"/>
      <c r="AB57" s="22"/>
      <c r="AC57" s="23"/>
      <c r="AD57" s="23"/>
      <c r="AE57" s="23"/>
      <c r="AF57" s="63"/>
      <c r="AG57" s="63"/>
      <c r="AH57" s="63"/>
      <c r="AI57" s="24"/>
    </row>
    <row r="58" spans="1:35">
      <c r="A58" s="27" t="s">
        <v>96</v>
      </c>
      <c r="B58" s="28">
        <v>1</v>
      </c>
      <c r="C58" s="28"/>
      <c r="D58" s="28"/>
      <c r="E58" s="21"/>
      <c r="F58" s="21"/>
      <c r="G58" s="21"/>
      <c r="H58" s="29"/>
      <c r="J58" s="27" t="s">
        <v>96</v>
      </c>
      <c r="K58" s="28">
        <v>1</v>
      </c>
      <c r="L58" s="28"/>
      <c r="M58" s="28"/>
      <c r="N58" s="21"/>
      <c r="O58" s="21"/>
      <c r="P58" s="21"/>
      <c r="Q58" s="29"/>
      <c r="S58" s="27" t="s">
        <v>96</v>
      </c>
      <c r="T58" s="28">
        <v>1</v>
      </c>
      <c r="U58" s="28"/>
      <c r="V58" s="28"/>
      <c r="W58" s="21"/>
      <c r="X58" s="21"/>
      <c r="Y58" s="21"/>
      <c r="Z58" s="29"/>
      <c r="AB58" s="27" t="s">
        <v>96</v>
      </c>
      <c r="AC58" s="28">
        <v>1</v>
      </c>
      <c r="AD58" s="28"/>
      <c r="AE58" s="28"/>
      <c r="AF58" s="21"/>
      <c r="AG58" s="21"/>
      <c r="AH58" s="21"/>
      <c r="AI58" s="29"/>
    </row>
    <row r="59" spans="1:35">
      <c r="A59" s="27" t="s">
        <v>97</v>
      </c>
      <c r="B59" s="28">
        <f>K29-B58</f>
        <v>34</v>
      </c>
      <c r="C59" s="28"/>
      <c r="D59" s="28"/>
      <c r="E59" s="21"/>
      <c r="F59" s="21"/>
      <c r="G59" s="21"/>
      <c r="H59" s="29"/>
      <c r="J59" s="27" t="s">
        <v>97</v>
      </c>
      <c r="K59" s="28">
        <f>K29-K58</f>
        <v>34</v>
      </c>
      <c r="L59" s="28"/>
      <c r="M59" s="28"/>
      <c r="N59" s="21"/>
      <c r="O59" s="21"/>
      <c r="P59" s="21"/>
      <c r="Q59" s="29"/>
      <c r="S59" s="27" t="s">
        <v>97</v>
      </c>
      <c r="T59" s="28">
        <f>K29-T58</f>
        <v>34</v>
      </c>
      <c r="U59" s="28"/>
      <c r="V59" s="28"/>
      <c r="W59" s="21"/>
      <c r="X59" s="21"/>
      <c r="Y59" s="21"/>
      <c r="Z59" s="29"/>
      <c r="AB59" s="27" t="s">
        <v>97</v>
      </c>
      <c r="AC59" s="28">
        <f>K29-AC58</f>
        <v>34</v>
      </c>
      <c r="AD59" s="28"/>
      <c r="AE59" s="28"/>
      <c r="AF59" s="21"/>
      <c r="AG59" s="21"/>
      <c r="AH59" s="21"/>
      <c r="AI59" s="29"/>
    </row>
    <row r="60" spans="1:35">
      <c r="A60" s="64" t="s">
        <v>98</v>
      </c>
      <c r="B60" s="65">
        <v>10</v>
      </c>
      <c r="C60" s="28"/>
      <c r="D60" s="28"/>
      <c r="E60" s="21"/>
      <c r="F60" s="21"/>
      <c r="G60" s="21"/>
      <c r="H60" s="29"/>
      <c r="J60" s="64" t="s">
        <v>98</v>
      </c>
      <c r="K60" s="65">
        <v>20</v>
      </c>
      <c r="L60" s="28"/>
      <c r="M60" s="28"/>
      <c r="N60" s="21"/>
      <c r="O60" s="21"/>
      <c r="P60" s="21"/>
      <c r="Q60" s="29"/>
      <c r="S60" s="64" t="s">
        <v>98</v>
      </c>
      <c r="T60" s="65">
        <v>10</v>
      </c>
      <c r="U60" s="28"/>
      <c r="V60" s="28"/>
      <c r="W60" s="21"/>
      <c r="X60" s="21"/>
      <c r="Y60" s="21"/>
      <c r="Z60" s="29"/>
      <c r="AB60" s="64" t="s">
        <v>98</v>
      </c>
      <c r="AC60" s="65">
        <v>10</v>
      </c>
      <c r="AD60" s="28"/>
      <c r="AE60" s="28"/>
      <c r="AF60" s="21"/>
      <c r="AG60" s="21"/>
      <c r="AH60" s="21"/>
      <c r="AI60" s="29"/>
    </row>
    <row r="61" spans="1:35">
      <c r="A61" s="27" t="s">
        <v>27</v>
      </c>
      <c r="B61" s="28">
        <f>J18</f>
        <v>69075</v>
      </c>
      <c r="C61" s="28"/>
      <c r="D61" s="28"/>
      <c r="E61" s="21"/>
      <c r="F61" s="21"/>
      <c r="G61" s="21"/>
      <c r="H61" s="29"/>
      <c r="J61" s="27" t="s">
        <v>27</v>
      </c>
      <c r="K61" s="28">
        <f>J18</f>
        <v>69075</v>
      </c>
      <c r="L61" s="28"/>
      <c r="M61" s="28"/>
      <c r="N61" s="21"/>
      <c r="O61" s="21"/>
      <c r="P61" s="21"/>
      <c r="Q61" s="29"/>
      <c r="S61" s="27" t="s">
        <v>27</v>
      </c>
      <c r="T61" s="28">
        <f>J18</f>
        <v>69075</v>
      </c>
      <c r="U61" s="28"/>
      <c r="V61" s="28"/>
      <c r="W61" s="21"/>
      <c r="X61" s="21"/>
      <c r="Y61" s="21"/>
      <c r="Z61" s="29"/>
      <c r="AB61" s="27" t="s">
        <v>27</v>
      </c>
      <c r="AC61" s="28">
        <f>J18</f>
        <v>69075</v>
      </c>
      <c r="AD61" s="28"/>
      <c r="AE61" s="28"/>
      <c r="AF61" s="21"/>
      <c r="AG61" s="21"/>
      <c r="AH61" s="21"/>
      <c r="AI61" s="29"/>
    </row>
    <row r="62" spans="1:35">
      <c r="A62" s="66" t="s">
        <v>99</v>
      </c>
      <c r="B62" s="67">
        <v>0</v>
      </c>
      <c r="C62" s="28"/>
      <c r="D62" s="28"/>
      <c r="E62" s="21"/>
      <c r="F62" s="21"/>
      <c r="G62" s="21"/>
      <c r="H62" s="29"/>
      <c r="J62" s="66" t="s">
        <v>99</v>
      </c>
      <c r="K62" s="67">
        <v>0.06</v>
      </c>
      <c r="L62" s="28"/>
      <c r="M62" s="28"/>
      <c r="N62" s="21"/>
      <c r="O62" s="21"/>
      <c r="P62" s="21"/>
      <c r="Q62" s="29"/>
      <c r="S62" s="66" t="s">
        <v>99</v>
      </c>
      <c r="T62" s="67">
        <f>IF(AND(K29&gt;=12,K29&lt;=24),0.0105,IF(AND(K29&gt;=48),-0.0075,0))</f>
        <v>0</v>
      </c>
      <c r="U62" s="28"/>
      <c r="V62" s="28"/>
      <c r="W62" s="21"/>
      <c r="X62" s="21"/>
      <c r="Y62" s="21"/>
      <c r="Z62" s="29"/>
      <c r="AB62" s="66" t="s">
        <v>99</v>
      </c>
      <c r="AC62" s="67">
        <f>IF(AND(K29&gt;=12,K29&lt;=24),0.0105,IF(AND(K29&gt;=48),-0.0075,0))</f>
        <v>0</v>
      </c>
      <c r="AD62" s="28"/>
      <c r="AE62" s="28"/>
      <c r="AF62" s="21"/>
      <c r="AG62" s="21"/>
      <c r="AH62" s="21"/>
      <c r="AI62" s="29"/>
    </row>
    <row r="63" spans="1:35">
      <c r="A63" s="68" t="s">
        <v>100</v>
      </c>
      <c r="B63" s="69">
        <v>7.0000000000000007E-2</v>
      </c>
      <c r="C63" s="28"/>
      <c r="D63" s="28"/>
      <c r="E63" s="21"/>
      <c r="F63" s="21"/>
      <c r="G63" s="21"/>
      <c r="H63" s="29"/>
      <c r="J63" s="68" t="s">
        <v>100</v>
      </c>
      <c r="K63" s="69">
        <v>0.08</v>
      </c>
      <c r="L63" s="28"/>
      <c r="M63" s="28"/>
      <c r="N63" s="21"/>
      <c r="O63" s="21"/>
      <c r="P63" s="21"/>
      <c r="Q63" s="29"/>
      <c r="S63" s="68" t="s">
        <v>100</v>
      </c>
      <c r="T63" s="69">
        <v>5.8999999999999997E-2</v>
      </c>
      <c r="U63" s="28"/>
      <c r="V63" s="28"/>
      <c r="W63" s="21"/>
      <c r="X63" s="21"/>
      <c r="Y63" s="21"/>
      <c r="Z63" s="29"/>
      <c r="AB63" s="68" t="s">
        <v>100</v>
      </c>
      <c r="AC63" s="69">
        <v>5.8999999999999997E-2</v>
      </c>
      <c r="AD63" s="28"/>
      <c r="AE63" s="28"/>
      <c r="AF63" s="21"/>
      <c r="AG63" s="21"/>
      <c r="AH63" s="21"/>
      <c r="AI63" s="29"/>
    </row>
    <row r="64" spans="1:35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J64" s="70" t="s">
        <v>101</v>
      </c>
      <c r="K64" s="71">
        <v>0.1</v>
      </c>
      <c r="L64" s="28"/>
      <c r="M64" s="28"/>
      <c r="N64" s="21"/>
      <c r="O64" s="21"/>
      <c r="P64" s="21"/>
      <c r="Q64" s="29"/>
      <c r="S64" s="70" t="s">
        <v>101</v>
      </c>
      <c r="T64" s="71">
        <f>IF(T108=AP108,2.4%,7.2%)</f>
        <v>7.2000000000000008E-2</v>
      </c>
      <c r="U64" s="28"/>
      <c r="V64" s="28"/>
      <c r="W64" s="21"/>
      <c r="X64" s="21"/>
      <c r="Y64" s="21"/>
      <c r="Z64" s="29"/>
      <c r="AB64" s="70" t="s">
        <v>101</v>
      </c>
      <c r="AC64" s="71">
        <f>IF(AC108=AP108,2.4%,7.2%)</f>
        <v>7.2000000000000008E-2</v>
      </c>
      <c r="AD64" s="28"/>
      <c r="AE64" s="28"/>
      <c r="AF64" s="21"/>
      <c r="AG64" s="21"/>
      <c r="AH64" s="21"/>
      <c r="AI64" s="29"/>
    </row>
    <row r="65" spans="1:35">
      <c r="A65" s="49" t="s">
        <v>102</v>
      </c>
      <c r="B65" s="57">
        <f>(B89*B59)-(K47*K29)</f>
        <v>22442.398214926645</v>
      </c>
      <c r="C65" s="28"/>
      <c r="D65" s="28"/>
      <c r="E65" s="21"/>
      <c r="F65" s="21"/>
      <c r="G65" s="21"/>
      <c r="H65" s="29"/>
      <c r="J65" s="49" t="s">
        <v>102</v>
      </c>
      <c r="K65" s="57">
        <f>(K89*K59)-(K47*K29)</f>
        <v>-8390.7989631036326</v>
      </c>
      <c r="L65" s="28"/>
      <c r="M65" s="28"/>
      <c r="N65" s="21"/>
      <c r="O65" s="21"/>
      <c r="P65" s="21"/>
      <c r="Q65" s="29"/>
      <c r="S65" s="49" t="s">
        <v>102</v>
      </c>
      <c r="T65" s="57">
        <f>(T89*T59)-(K47*K29)</f>
        <v>-1704.0233804163217</v>
      </c>
      <c r="U65" s="28"/>
      <c r="V65" s="28"/>
      <c r="W65" s="21"/>
      <c r="X65" s="21"/>
      <c r="Y65" s="21"/>
      <c r="Z65" s="29"/>
      <c r="AB65" s="49" t="s">
        <v>102</v>
      </c>
      <c r="AC65" s="57">
        <f>(AC89*AC59)-(K47*K29)</f>
        <v>-1704.0233804163217</v>
      </c>
      <c r="AD65" s="28"/>
      <c r="AE65" s="28"/>
      <c r="AF65" s="21"/>
      <c r="AG65" s="21"/>
      <c r="AH65" s="21"/>
      <c r="AI65" s="29"/>
    </row>
    <row r="66" spans="1:35">
      <c r="A66" s="66" t="s">
        <v>103</v>
      </c>
      <c r="B66" s="67">
        <v>7.4999999999999997E-3</v>
      </c>
      <c r="C66" s="28"/>
      <c r="D66" s="28"/>
      <c r="E66" s="21"/>
      <c r="F66" s="21"/>
      <c r="G66" s="21"/>
      <c r="H66" s="29"/>
      <c r="J66" s="66" t="s">
        <v>103</v>
      </c>
      <c r="K66" s="67">
        <v>0.05</v>
      </c>
      <c r="L66" s="28"/>
      <c r="M66" s="28"/>
      <c r="N66" s="21"/>
      <c r="O66" s="21"/>
      <c r="P66" s="21"/>
      <c r="Q66" s="29"/>
      <c r="S66" s="66" t="s">
        <v>103</v>
      </c>
      <c r="T66" s="67">
        <v>5.0000000000000001E-3</v>
      </c>
      <c r="U66" s="28"/>
      <c r="V66" s="28"/>
      <c r="W66" s="21"/>
      <c r="X66" s="21"/>
      <c r="Y66" s="21"/>
      <c r="Z66" s="29"/>
      <c r="AB66" s="66" t="s">
        <v>103</v>
      </c>
      <c r="AC66" s="67">
        <v>5.0000000000000001E-3</v>
      </c>
      <c r="AD66" s="28"/>
      <c r="AE66" s="28"/>
      <c r="AF66" s="21"/>
      <c r="AG66" s="21"/>
      <c r="AH66" s="21"/>
      <c r="AI66" s="29"/>
    </row>
    <row r="67" spans="1:35">
      <c r="A67" s="27"/>
      <c r="B67" s="72">
        <f>B66</f>
        <v>7.4999999999999997E-3</v>
      </c>
      <c r="C67" s="28"/>
      <c r="D67" s="28"/>
      <c r="E67" s="21"/>
      <c r="F67" s="21"/>
      <c r="G67" s="21"/>
      <c r="H67" s="29"/>
      <c r="J67" s="27" t="s">
        <v>104</v>
      </c>
      <c r="K67" s="72">
        <f>K66+(K66*0.25*(K29/12-1))</f>
        <v>7.3958333333333334E-2</v>
      </c>
      <c r="L67" s="28"/>
      <c r="M67" s="28"/>
      <c r="N67" s="21"/>
      <c r="O67" s="21"/>
      <c r="P67" s="21"/>
      <c r="Q67" s="29"/>
      <c r="S67" s="27" t="s">
        <v>104</v>
      </c>
      <c r="T67" s="72">
        <f>T66+(T66*0.5*(K29/12-1))</f>
        <v>9.7916666666666673E-3</v>
      </c>
      <c r="U67" s="28"/>
      <c r="V67" s="28"/>
      <c r="W67" s="21"/>
      <c r="X67" s="21"/>
      <c r="Y67" s="21"/>
      <c r="Z67" s="29"/>
      <c r="AB67" s="27" t="s">
        <v>104</v>
      </c>
      <c r="AC67" s="72">
        <f>AC66+(AC66*0.5*(K29/12-1))</f>
        <v>9.7916666666666673E-3</v>
      </c>
      <c r="AD67" s="28"/>
      <c r="AE67" s="28"/>
      <c r="AF67" s="21"/>
      <c r="AG67" s="21"/>
      <c r="AH67" s="21"/>
      <c r="AI67" s="29"/>
    </row>
    <row r="68" spans="1:35">
      <c r="A68" s="49" t="s">
        <v>105</v>
      </c>
      <c r="B68" s="57">
        <f>(G158*B67)</f>
        <v>548.0738849999999</v>
      </c>
      <c r="C68" s="28"/>
      <c r="D68" s="28"/>
      <c r="E68" s="21"/>
      <c r="F68" s="21"/>
      <c r="G68" s="21"/>
      <c r="H68" s="29"/>
      <c r="J68" s="49" t="s">
        <v>105</v>
      </c>
      <c r="K68" s="57">
        <f>K61*K67</f>
        <v>5108.671875</v>
      </c>
      <c r="L68" s="28"/>
      <c r="M68" s="28"/>
      <c r="N68" s="21"/>
      <c r="O68" s="21"/>
      <c r="P68" s="21"/>
      <c r="Q68" s="29"/>
      <c r="S68" s="49" t="s">
        <v>105</v>
      </c>
      <c r="T68" s="57">
        <f>T61*T67</f>
        <v>676.359375</v>
      </c>
      <c r="U68" s="28"/>
      <c r="V68" s="28"/>
      <c r="W68" s="21"/>
      <c r="X68" s="21"/>
      <c r="Y68" s="21"/>
      <c r="Z68" s="29"/>
      <c r="AB68" s="49" t="s">
        <v>105</v>
      </c>
      <c r="AC68" s="57">
        <f>AH158*AC67</f>
        <v>507.22064145833332</v>
      </c>
      <c r="AD68" s="28"/>
      <c r="AE68" s="28"/>
      <c r="AF68" s="21"/>
      <c r="AG68" s="21"/>
      <c r="AH68" s="21"/>
      <c r="AI68" s="29"/>
    </row>
    <row r="69" spans="1:35">
      <c r="A69" s="66" t="s">
        <v>106</v>
      </c>
      <c r="B69" s="67">
        <v>0</v>
      </c>
      <c r="C69" s="28"/>
      <c r="D69" s="28"/>
      <c r="E69" s="21"/>
      <c r="F69" s="21"/>
      <c r="G69" s="21"/>
      <c r="H69" s="29"/>
      <c r="J69" s="66" t="s">
        <v>106</v>
      </c>
      <c r="K69" s="67">
        <v>0</v>
      </c>
      <c r="L69" s="28"/>
      <c r="M69" s="28"/>
      <c r="N69" s="21"/>
      <c r="O69" s="21"/>
      <c r="P69" s="21"/>
      <c r="Q69" s="29"/>
      <c r="S69" s="66" t="s">
        <v>106</v>
      </c>
      <c r="T69" s="67">
        <v>0</v>
      </c>
      <c r="U69" s="28"/>
      <c r="V69" s="28"/>
      <c r="W69" s="21"/>
      <c r="X69" s="21"/>
      <c r="Y69" s="21"/>
      <c r="Z69" s="29"/>
      <c r="AB69" s="66" t="s">
        <v>106</v>
      </c>
      <c r="AC69" s="67">
        <v>0</v>
      </c>
      <c r="AD69" s="28"/>
      <c r="AE69" s="28"/>
      <c r="AF69" s="21"/>
      <c r="AG69" s="21"/>
      <c r="AH69" s="21"/>
      <c r="AI69" s="29"/>
    </row>
    <row r="70" spans="1:35">
      <c r="A70" s="68" t="s">
        <v>107</v>
      </c>
      <c r="B70" s="69">
        <v>0</v>
      </c>
      <c r="C70" s="28"/>
      <c r="D70" s="28"/>
      <c r="E70" s="21"/>
      <c r="F70" s="21"/>
      <c r="G70" s="21"/>
      <c r="H70" s="29"/>
      <c r="J70" s="68" t="s">
        <v>107</v>
      </c>
      <c r="K70" s="69">
        <v>0</v>
      </c>
      <c r="L70" s="28"/>
      <c r="M70" s="28"/>
      <c r="N70" s="21"/>
      <c r="O70" s="21"/>
      <c r="P70" s="21"/>
      <c r="Q70" s="29"/>
      <c r="S70" s="68" t="s">
        <v>107</v>
      </c>
      <c r="T70" s="69">
        <v>0</v>
      </c>
      <c r="U70" s="28"/>
      <c r="V70" s="28"/>
      <c r="W70" s="21"/>
      <c r="X70" s="21"/>
      <c r="Y70" s="21"/>
      <c r="Z70" s="29"/>
      <c r="AB70" s="68" t="s">
        <v>107</v>
      </c>
      <c r="AC70" s="69">
        <v>0</v>
      </c>
      <c r="AD70" s="28"/>
      <c r="AE70" s="28"/>
      <c r="AF70" s="21"/>
      <c r="AG70" s="21"/>
      <c r="AH70" s="21"/>
      <c r="AI70" s="29"/>
    </row>
    <row r="71" spans="1:35">
      <c r="A71" s="49" t="s">
        <v>108</v>
      </c>
      <c r="B71" s="73">
        <f>B69*(1+B70)</f>
        <v>0</v>
      </c>
      <c r="C71" s="28"/>
      <c r="D71" s="28"/>
      <c r="E71" s="21"/>
      <c r="F71" s="21"/>
      <c r="G71" s="21"/>
      <c r="H71" s="29"/>
      <c r="J71" s="49" t="s">
        <v>108</v>
      </c>
      <c r="K71" s="73">
        <f>K69*(1+K70)</f>
        <v>0</v>
      </c>
      <c r="L71" s="28"/>
      <c r="M71" s="28"/>
      <c r="N71" s="21"/>
      <c r="O71" s="21"/>
      <c r="P71" s="21"/>
      <c r="Q71" s="29"/>
      <c r="S71" s="49" t="s">
        <v>108</v>
      </c>
      <c r="T71" s="73">
        <f>T69*(1+T70)</f>
        <v>0</v>
      </c>
      <c r="U71" s="28"/>
      <c r="V71" s="28"/>
      <c r="W71" s="21"/>
      <c r="X71" s="21"/>
      <c r="Y71" s="21"/>
      <c r="Z71" s="29"/>
      <c r="AB71" s="49" t="s">
        <v>108</v>
      </c>
      <c r="AC71" s="73">
        <f>AC69*(1+AC70)</f>
        <v>0</v>
      </c>
      <c r="AD71" s="28"/>
      <c r="AE71" s="28"/>
      <c r="AF71" s="21"/>
      <c r="AG71" s="21"/>
      <c r="AH71" s="21"/>
      <c r="AI71" s="29"/>
    </row>
    <row r="72" spans="1:35">
      <c r="A72" s="66" t="s">
        <v>109</v>
      </c>
      <c r="B72" s="74">
        <v>0</v>
      </c>
      <c r="C72" s="28"/>
      <c r="D72" s="28"/>
      <c r="E72" s="21"/>
      <c r="F72" s="21"/>
      <c r="G72" s="21"/>
      <c r="H72" s="29"/>
      <c r="J72" s="66" t="s">
        <v>109</v>
      </c>
      <c r="K72" s="74">
        <v>0</v>
      </c>
      <c r="L72" s="28"/>
      <c r="M72" s="28"/>
      <c r="N72" s="21"/>
      <c r="O72" s="21"/>
      <c r="P72" s="21"/>
      <c r="Q72" s="29"/>
      <c r="S72" s="66" t="s">
        <v>109</v>
      </c>
      <c r="T72" s="74">
        <v>0</v>
      </c>
      <c r="U72" s="28"/>
      <c r="V72" s="28"/>
      <c r="W72" s="21"/>
      <c r="X72" s="21"/>
      <c r="Y72" s="21"/>
      <c r="Z72" s="29"/>
      <c r="AB72" s="66" t="s">
        <v>109</v>
      </c>
      <c r="AC72" s="74">
        <v>0</v>
      </c>
      <c r="AD72" s="28"/>
      <c r="AE72" s="28"/>
      <c r="AF72" s="21"/>
      <c r="AG72" s="21"/>
      <c r="AH72" s="21"/>
      <c r="AI72" s="29"/>
    </row>
    <row r="73" spans="1:35">
      <c r="A73" s="68" t="s">
        <v>110</v>
      </c>
      <c r="B73" s="65">
        <v>0</v>
      </c>
      <c r="C73" s="28"/>
      <c r="D73" s="28"/>
      <c r="E73" s="21"/>
      <c r="F73" s="21"/>
      <c r="G73" s="21"/>
      <c r="H73" s="29"/>
      <c r="J73" s="68" t="s">
        <v>110</v>
      </c>
      <c r="K73" s="65">
        <v>0</v>
      </c>
      <c r="L73" s="28"/>
      <c r="M73" s="28"/>
      <c r="N73" s="21"/>
      <c r="O73" s="21"/>
      <c r="P73" s="21"/>
      <c r="Q73" s="29"/>
      <c r="S73" s="68" t="s">
        <v>110</v>
      </c>
      <c r="T73" s="65">
        <v>0</v>
      </c>
      <c r="U73" s="28"/>
      <c r="V73" s="28"/>
      <c r="W73" s="21"/>
      <c r="X73" s="21"/>
      <c r="Y73" s="21"/>
      <c r="Z73" s="29"/>
      <c r="AB73" s="68" t="s">
        <v>110</v>
      </c>
      <c r="AC73" s="65">
        <v>0</v>
      </c>
      <c r="AD73" s="28"/>
      <c r="AE73" s="28"/>
      <c r="AF73" s="21"/>
      <c r="AG73" s="21"/>
      <c r="AH73" s="21"/>
      <c r="AI73" s="29"/>
    </row>
    <row r="74" spans="1:35">
      <c r="A74" s="49" t="s">
        <v>111</v>
      </c>
      <c r="B74" s="57">
        <f>B73*K29</f>
        <v>0</v>
      </c>
      <c r="C74" s="28"/>
      <c r="D74" s="28">
        <f>B74+B72</f>
        <v>0</v>
      </c>
      <c r="E74" s="21"/>
      <c r="F74" s="21"/>
      <c r="G74" s="21"/>
      <c r="H74" s="29"/>
      <c r="J74" s="49" t="s">
        <v>111</v>
      </c>
      <c r="K74" s="57">
        <f>K73*K29</f>
        <v>0</v>
      </c>
      <c r="L74" s="28"/>
      <c r="M74" s="28">
        <f>K74+K72</f>
        <v>0</v>
      </c>
      <c r="N74" s="21"/>
      <c r="O74" s="21"/>
      <c r="P74" s="21"/>
      <c r="Q74" s="29"/>
      <c r="S74" s="49" t="s">
        <v>111</v>
      </c>
      <c r="T74" s="57">
        <f>T73*K29</f>
        <v>0</v>
      </c>
      <c r="U74" s="28"/>
      <c r="V74" s="28">
        <f>T74+T72</f>
        <v>0</v>
      </c>
      <c r="W74" s="21"/>
      <c r="X74" s="21"/>
      <c r="Y74" s="21"/>
      <c r="Z74" s="29"/>
      <c r="AB74" s="49" t="s">
        <v>111</v>
      </c>
      <c r="AC74" s="57">
        <f>AC73*K29</f>
        <v>0</v>
      </c>
      <c r="AD74" s="28"/>
      <c r="AE74" s="28">
        <f>AC74+AC72</f>
        <v>0</v>
      </c>
      <c r="AF74" s="21"/>
      <c r="AG74" s="21"/>
      <c r="AH74" s="21"/>
      <c r="AI74" s="29"/>
    </row>
    <row r="75" spans="1:35">
      <c r="A75" s="68" t="s">
        <v>112</v>
      </c>
      <c r="B75" s="65">
        <v>0</v>
      </c>
      <c r="C75" s="28"/>
      <c r="D75" s="28">
        <f>B75</f>
        <v>0</v>
      </c>
      <c r="E75" s="21"/>
      <c r="F75" s="21"/>
      <c r="G75" s="21"/>
      <c r="H75" s="29"/>
      <c r="J75" s="68" t="s">
        <v>112</v>
      </c>
      <c r="K75" s="65">
        <v>0</v>
      </c>
      <c r="L75" s="28"/>
      <c r="M75" s="28">
        <f>K75</f>
        <v>0</v>
      </c>
      <c r="N75" s="21"/>
      <c r="O75" s="21"/>
      <c r="P75" s="21"/>
      <c r="Q75" s="29"/>
      <c r="S75" s="68" t="s">
        <v>112</v>
      </c>
      <c r="T75" s="65">
        <v>0</v>
      </c>
      <c r="U75" s="28"/>
      <c r="V75" s="28">
        <f>T75</f>
        <v>0</v>
      </c>
      <c r="W75" s="21"/>
      <c r="X75" s="21"/>
      <c r="Y75" s="21"/>
      <c r="Z75" s="29"/>
      <c r="AB75" s="68" t="s">
        <v>112</v>
      </c>
      <c r="AC75" s="65">
        <v>0</v>
      </c>
      <c r="AD75" s="28"/>
      <c r="AE75" s="28">
        <f>AC75</f>
        <v>0</v>
      </c>
      <c r="AF75" s="21"/>
      <c r="AG75" s="21"/>
      <c r="AH75" s="21"/>
      <c r="AI75" s="29"/>
    </row>
    <row r="76" spans="1:35">
      <c r="A76" s="70" t="s">
        <v>113</v>
      </c>
      <c r="B76" s="75">
        <v>0</v>
      </c>
      <c r="C76" s="28"/>
      <c r="D76" s="28">
        <f>B76</f>
        <v>0</v>
      </c>
      <c r="E76" s="21"/>
      <c r="F76" s="28"/>
      <c r="G76" s="21"/>
      <c r="H76" s="29"/>
      <c r="J76" s="70" t="s">
        <v>113</v>
      </c>
      <c r="K76" s="75">
        <v>0</v>
      </c>
      <c r="L76" s="28"/>
      <c r="M76" s="28">
        <f>K76</f>
        <v>0</v>
      </c>
      <c r="N76" s="21"/>
      <c r="O76" s="21"/>
      <c r="P76" s="21"/>
      <c r="Q76" s="29"/>
      <c r="S76" s="70" t="s">
        <v>113</v>
      </c>
      <c r="T76" s="75">
        <v>0</v>
      </c>
      <c r="U76" s="28"/>
      <c r="V76" s="28">
        <f>T76</f>
        <v>0</v>
      </c>
      <c r="W76" s="21"/>
      <c r="X76" s="21"/>
      <c r="Y76" s="21"/>
      <c r="Z76" s="29"/>
      <c r="AB76" s="70" t="s">
        <v>113</v>
      </c>
      <c r="AC76" s="75">
        <v>0</v>
      </c>
      <c r="AD76" s="28"/>
      <c r="AE76" s="28">
        <f>AC76</f>
        <v>0</v>
      </c>
      <c r="AF76" s="21"/>
      <c r="AG76" s="21"/>
      <c r="AH76" s="21"/>
      <c r="AI76" s="29"/>
    </row>
    <row r="77" spans="1:35">
      <c r="A77" s="76" t="s">
        <v>114</v>
      </c>
      <c r="B77" s="77">
        <f>SUM(D65:D76)</f>
        <v>0</v>
      </c>
      <c r="C77" s="28"/>
      <c r="D77" s="28"/>
      <c r="E77" s="21"/>
      <c r="F77" s="28"/>
      <c r="G77" s="28"/>
      <c r="H77" s="29"/>
      <c r="J77" s="76" t="s">
        <v>114</v>
      </c>
      <c r="K77" s="77">
        <f>SUM(M65:M76)</f>
        <v>0</v>
      </c>
      <c r="L77" s="28"/>
      <c r="M77" s="28"/>
      <c r="N77" s="21"/>
      <c r="O77" s="21"/>
      <c r="P77" s="21"/>
      <c r="Q77" s="29"/>
      <c r="S77" s="76" t="s">
        <v>114</v>
      </c>
      <c r="T77" s="77">
        <f>SUM(V65:V76)</f>
        <v>0</v>
      </c>
      <c r="U77" s="28"/>
      <c r="V77" s="28"/>
      <c r="W77" s="21"/>
      <c r="X77" s="21"/>
      <c r="Y77" s="21"/>
      <c r="Z77" s="29"/>
      <c r="AB77" s="76" t="s">
        <v>114</v>
      </c>
      <c r="AC77" s="77">
        <f>SUM(AE65:AE76)</f>
        <v>0</v>
      </c>
      <c r="AD77" s="28"/>
      <c r="AE77" s="28"/>
      <c r="AF77" s="21"/>
      <c r="AG77" s="21"/>
      <c r="AH77" s="21"/>
      <c r="AI77" s="29"/>
    </row>
    <row r="78" spans="1:35">
      <c r="A78" s="27" t="s">
        <v>115</v>
      </c>
      <c r="B78" s="29">
        <f>B77/K29</f>
        <v>0</v>
      </c>
      <c r="C78" s="28"/>
      <c r="D78" s="28"/>
      <c r="E78" s="21"/>
      <c r="F78" s="21"/>
      <c r="G78" s="21"/>
      <c r="H78" s="29"/>
      <c r="J78" s="27" t="s">
        <v>115</v>
      </c>
      <c r="K78" s="29">
        <f>K77/K29</f>
        <v>0</v>
      </c>
      <c r="L78" s="28"/>
      <c r="M78" s="28"/>
      <c r="N78" s="21"/>
      <c r="O78" s="21"/>
      <c r="P78" s="21"/>
      <c r="Q78" s="29"/>
      <c r="S78" s="27" t="s">
        <v>115</v>
      </c>
      <c r="T78" s="29">
        <f>T77/K29</f>
        <v>0</v>
      </c>
      <c r="U78" s="28"/>
      <c r="V78" s="28"/>
      <c r="W78" s="21"/>
      <c r="X78" s="21"/>
      <c r="Y78" s="21"/>
      <c r="Z78" s="29"/>
      <c r="AB78" s="27" t="s">
        <v>115</v>
      </c>
      <c r="AC78" s="29">
        <f>AC77/K29</f>
        <v>0</v>
      </c>
      <c r="AD78" s="28"/>
      <c r="AE78" s="28"/>
      <c r="AF78" s="21"/>
      <c r="AG78" s="21"/>
      <c r="AH78" s="21"/>
      <c r="AI78" s="29"/>
    </row>
    <row r="79" spans="1:35">
      <c r="A79" s="78" t="s">
        <v>116</v>
      </c>
      <c r="B79" s="52">
        <f>K47</f>
        <v>1608.9444694894655</v>
      </c>
      <c r="C79" s="28"/>
      <c r="D79" s="28"/>
      <c r="E79" s="21"/>
      <c r="F79" s="21"/>
      <c r="G79" s="21"/>
      <c r="H79" s="29"/>
      <c r="J79" s="78" t="s">
        <v>116</v>
      </c>
      <c r="K79" s="52">
        <f>K47</f>
        <v>1608.9444694894655</v>
      </c>
      <c r="L79" s="28"/>
      <c r="M79" s="28"/>
      <c r="N79" s="21"/>
      <c r="O79" s="21"/>
      <c r="P79" s="21"/>
      <c r="Q79" s="29"/>
      <c r="S79" s="78" t="s">
        <v>116</v>
      </c>
      <c r="T79" s="52">
        <f>B52</f>
        <v>1786.9644694894655</v>
      </c>
      <c r="U79" s="28"/>
      <c r="V79" s="28"/>
      <c r="W79" s="21"/>
      <c r="X79" s="21"/>
      <c r="Y79" s="21"/>
      <c r="Z79" s="29"/>
      <c r="AB79" s="78" t="s">
        <v>116</v>
      </c>
      <c r="AC79" s="52">
        <f>B52</f>
        <v>1786.9644694894655</v>
      </c>
      <c r="AD79" s="28"/>
      <c r="AE79" s="28"/>
      <c r="AF79" s="21"/>
      <c r="AG79" s="21"/>
      <c r="AH79" s="21"/>
      <c r="AI79" s="29"/>
    </row>
    <row r="80" spans="1:35">
      <c r="A80" s="27"/>
      <c r="B80" s="28"/>
      <c r="C80" s="28"/>
      <c r="D80" s="28"/>
      <c r="E80" s="21"/>
      <c r="F80" s="21"/>
      <c r="G80" s="21"/>
      <c r="H80" s="29"/>
      <c r="J80" s="27"/>
      <c r="K80" s="28"/>
      <c r="L80" s="28"/>
      <c r="M80" s="28"/>
      <c r="N80" s="21"/>
      <c r="O80" s="21"/>
      <c r="P80" s="21"/>
      <c r="Q80" s="29"/>
      <c r="S80" s="27"/>
      <c r="T80" s="28"/>
      <c r="U80" s="28"/>
      <c r="V80" s="28"/>
      <c r="W80" s="21"/>
      <c r="X80" s="21"/>
      <c r="Y80" s="21"/>
      <c r="Z80" s="29"/>
      <c r="AB80" s="27"/>
      <c r="AC80" s="28"/>
      <c r="AD80" s="28"/>
      <c r="AE80" s="28"/>
      <c r="AF80" s="21"/>
      <c r="AG80" s="21"/>
      <c r="AH80" s="21"/>
      <c r="AI80" s="29"/>
    </row>
    <row r="81" spans="1:35">
      <c r="A81" s="22" t="s">
        <v>117</v>
      </c>
      <c r="B81" s="24">
        <f>G158</f>
        <v>73076.517999999996</v>
      </c>
      <c r="C81" s="28"/>
      <c r="D81" s="28"/>
      <c r="E81" s="21"/>
      <c r="F81" s="22" t="s">
        <v>117</v>
      </c>
      <c r="G81" s="24">
        <f>G158</f>
        <v>73076.517999999996</v>
      </c>
      <c r="H81" s="29"/>
      <c r="J81" s="22" t="s">
        <v>117</v>
      </c>
      <c r="K81" s="24">
        <f>P158</f>
        <v>35235.007999999994</v>
      </c>
      <c r="L81" s="28"/>
      <c r="M81" s="28"/>
      <c r="N81" s="21"/>
      <c r="O81" s="21"/>
      <c r="P81" s="21"/>
      <c r="Q81" s="29"/>
      <c r="S81" s="22" t="s">
        <v>117</v>
      </c>
      <c r="T81" s="24">
        <f>Y158</f>
        <v>51801.256999999998</v>
      </c>
      <c r="U81" s="28"/>
      <c r="V81" s="28"/>
      <c r="W81" s="21"/>
      <c r="X81" s="21"/>
      <c r="Y81" s="21"/>
      <c r="Z81" s="29"/>
      <c r="AB81" s="22" t="s">
        <v>117</v>
      </c>
      <c r="AC81" s="24">
        <f>AH158</f>
        <v>51801.256999999998</v>
      </c>
      <c r="AD81" s="28"/>
      <c r="AE81" s="28"/>
      <c r="AF81" s="21"/>
      <c r="AG81" s="21"/>
      <c r="AH81" s="21"/>
      <c r="AI81" s="29"/>
    </row>
    <row r="82" spans="1:35">
      <c r="A82" s="27" t="s">
        <v>118</v>
      </c>
      <c r="B82" s="29">
        <f>IF(A111="YES",A40,0)</f>
        <v>9337.5</v>
      </c>
      <c r="C82" s="28"/>
      <c r="D82" s="28"/>
      <c r="E82" s="21"/>
      <c r="F82" s="27" t="s">
        <v>118</v>
      </c>
      <c r="G82" s="29">
        <f>IF(A111="YES",A40,0)</f>
        <v>9337.5</v>
      </c>
      <c r="H82" s="29"/>
      <c r="J82" s="27" t="s">
        <v>118</v>
      </c>
      <c r="K82" s="29">
        <f>IF(J111="YES",A40,0)</f>
        <v>0</v>
      </c>
      <c r="L82" s="28"/>
      <c r="M82" s="28"/>
      <c r="N82" s="21"/>
      <c r="O82" s="21"/>
      <c r="P82" s="21"/>
      <c r="Q82" s="29"/>
      <c r="S82" s="27" t="s">
        <v>118</v>
      </c>
      <c r="T82" s="29">
        <f>A40</f>
        <v>9337.5</v>
      </c>
      <c r="U82" s="28"/>
      <c r="V82" s="28"/>
      <c r="W82" s="21"/>
      <c r="X82" s="21"/>
      <c r="Y82" s="21"/>
      <c r="Z82" s="29"/>
      <c r="AB82" s="27" t="s">
        <v>118</v>
      </c>
      <c r="AC82" s="29">
        <f>A40</f>
        <v>9337.5</v>
      </c>
      <c r="AD82" s="28"/>
      <c r="AE82" s="28"/>
      <c r="AF82" s="21"/>
      <c r="AG82" s="21"/>
      <c r="AH82" s="21"/>
      <c r="AI82" s="29"/>
    </row>
    <row r="83" spans="1:35">
      <c r="A83" s="27" t="s">
        <v>119</v>
      </c>
      <c r="B83" s="79">
        <f>B62+B63+B64</f>
        <v>0.12000000000000001</v>
      </c>
      <c r="C83" s="28"/>
      <c r="D83" s="28"/>
      <c r="E83" s="21"/>
      <c r="F83" s="27" t="s">
        <v>119</v>
      </c>
      <c r="G83" s="79">
        <f>B63</f>
        <v>7.0000000000000007E-2</v>
      </c>
      <c r="H83" s="29"/>
      <c r="J83" s="27" t="s">
        <v>119</v>
      </c>
      <c r="K83" s="72">
        <f>K62+K63+K64</f>
        <v>0.24000000000000002</v>
      </c>
      <c r="L83" s="28"/>
      <c r="M83" s="28"/>
      <c r="N83" s="21"/>
      <c r="O83" s="21"/>
      <c r="P83" s="21"/>
      <c r="Q83" s="29"/>
      <c r="S83" s="27" t="s">
        <v>119</v>
      </c>
      <c r="T83" s="72">
        <f>T62+T63+T64</f>
        <v>0.13100000000000001</v>
      </c>
      <c r="U83" s="28"/>
      <c r="V83" s="28"/>
      <c r="W83" s="21"/>
      <c r="X83" s="21"/>
      <c r="Y83" s="21"/>
      <c r="Z83" s="29"/>
      <c r="AB83" s="27" t="s">
        <v>119</v>
      </c>
      <c r="AC83" s="72">
        <f>AC62+AC63+AC64</f>
        <v>0.13100000000000001</v>
      </c>
      <c r="AD83" s="28"/>
      <c r="AE83" s="28"/>
      <c r="AF83" s="21"/>
      <c r="AG83" s="21"/>
      <c r="AH83" s="21"/>
      <c r="AI83" s="29"/>
    </row>
    <row r="84" spans="1:35">
      <c r="A84" s="27" t="s">
        <v>120</v>
      </c>
      <c r="B84" s="72">
        <f>B83/12</f>
        <v>0.01</v>
      </c>
      <c r="C84" s="28"/>
      <c r="D84" s="28"/>
      <c r="E84" s="21"/>
      <c r="F84" s="27" t="s">
        <v>120</v>
      </c>
      <c r="G84" s="72">
        <f>G83/12</f>
        <v>5.8333333333333336E-3</v>
      </c>
      <c r="H84" s="29"/>
      <c r="J84" s="27" t="s">
        <v>120</v>
      </c>
      <c r="K84" s="72">
        <f>K83/12</f>
        <v>0.02</v>
      </c>
      <c r="L84" s="28"/>
      <c r="M84" s="28"/>
      <c r="N84" s="21"/>
      <c r="O84" s="21"/>
      <c r="P84" s="21"/>
      <c r="Q84" s="29"/>
      <c r="S84" s="27" t="s">
        <v>120</v>
      </c>
      <c r="T84" s="72">
        <f>T83/12</f>
        <v>1.0916666666666667E-2</v>
      </c>
      <c r="U84" s="28"/>
      <c r="V84" s="28"/>
      <c r="W84" s="21"/>
      <c r="X84" s="21"/>
      <c r="Y84" s="21"/>
      <c r="Z84" s="29"/>
      <c r="AB84" s="27" t="s">
        <v>120</v>
      </c>
      <c r="AC84" s="72">
        <f>AC83/12</f>
        <v>1.0916666666666667E-2</v>
      </c>
      <c r="AD84" s="28"/>
      <c r="AE84" s="28"/>
      <c r="AF84" s="21"/>
      <c r="AG84" s="21"/>
      <c r="AH84" s="21"/>
      <c r="AI84" s="29"/>
    </row>
    <row r="85" spans="1:35">
      <c r="A85" s="27" t="s">
        <v>121</v>
      </c>
      <c r="B85" s="29">
        <f>IF(B82=0,(B59+B58),(B59))</f>
        <v>34</v>
      </c>
      <c r="C85" s="28"/>
      <c r="D85" s="28"/>
      <c r="E85" s="21"/>
      <c r="F85" s="27" t="s">
        <v>121</v>
      </c>
      <c r="G85" s="29">
        <f>IF(G82=0,(B59+B58),(B59))</f>
        <v>34</v>
      </c>
      <c r="H85" s="29"/>
      <c r="J85" s="27" t="s">
        <v>121</v>
      </c>
      <c r="K85" s="29">
        <f>IF(K82=0,(K59+K58),(K59))</f>
        <v>35</v>
      </c>
      <c r="L85" s="28"/>
      <c r="M85" s="28"/>
      <c r="N85" s="21"/>
      <c r="O85" s="21"/>
      <c r="P85" s="21"/>
      <c r="Q85" s="29"/>
      <c r="S85" s="27" t="s">
        <v>121</v>
      </c>
      <c r="T85" s="29">
        <f>T59</f>
        <v>34</v>
      </c>
      <c r="U85" s="28"/>
      <c r="V85" s="28"/>
      <c r="W85" s="21"/>
      <c r="X85" s="21"/>
      <c r="Y85" s="21"/>
      <c r="Z85" s="29"/>
      <c r="AB85" s="27" t="s">
        <v>121</v>
      </c>
      <c r="AC85" s="29">
        <f>AC59</f>
        <v>34</v>
      </c>
      <c r="AD85" s="28"/>
      <c r="AE85" s="28"/>
      <c r="AF85" s="21"/>
      <c r="AG85" s="21"/>
      <c r="AH85" s="21"/>
      <c r="AI85" s="29"/>
    </row>
    <row r="86" spans="1:35">
      <c r="A86" s="27" t="s">
        <v>122</v>
      </c>
      <c r="B86" s="29">
        <f>(B82/((1+B84)^(B85+1)))</f>
        <v>6591.4738343159743</v>
      </c>
      <c r="C86" s="28"/>
      <c r="D86" s="28"/>
      <c r="E86" s="21"/>
      <c r="F86" s="27" t="s">
        <v>122</v>
      </c>
      <c r="G86" s="29">
        <f>(G82/((1+G84)^(G85+1)))</f>
        <v>7617.6282213591057</v>
      </c>
      <c r="H86" s="29"/>
      <c r="J86" s="27" t="s">
        <v>122</v>
      </c>
      <c r="K86" s="29">
        <f>(K82/((1+K84)^(K85+1)))</f>
        <v>0</v>
      </c>
      <c r="L86" s="28"/>
      <c r="M86" s="28"/>
      <c r="N86" s="21"/>
      <c r="O86" s="21"/>
      <c r="P86" s="21"/>
      <c r="Q86" s="29"/>
      <c r="S86" s="27" t="s">
        <v>122</v>
      </c>
      <c r="T86" s="29">
        <f>(T82/((1+T84)^(T85+1)))</f>
        <v>6385.4738544793727</v>
      </c>
      <c r="U86" s="28"/>
      <c r="V86" s="28"/>
      <c r="W86" s="21"/>
      <c r="X86" s="21"/>
      <c r="Y86" s="21"/>
      <c r="Z86" s="29"/>
      <c r="AB86" s="27" t="s">
        <v>122</v>
      </c>
      <c r="AC86" s="29">
        <f>(AC82/((1+AC84)^(AC85+1)))</f>
        <v>6385.4738544793727</v>
      </c>
      <c r="AD86" s="28"/>
      <c r="AE86" s="28"/>
      <c r="AF86" s="21"/>
      <c r="AG86" s="21"/>
      <c r="AH86" s="21"/>
      <c r="AI86" s="29"/>
    </row>
    <row r="87" spans="1:35">
      <c r="A87" s="27" t="s">
        <v>123</v>
      </c>
      <c r="B87" s="29">
        <f>((1-(1/((1+B84)^B85)))/B84)</f>
        <v>28.702665888523338</v>
      </c>
      <c r="C87" s="28"/>
      <c r="D87" s="28"/>
      <c r="E87" s="21"/>
      <c r="F87" s="27" t="s">
        <v>123</v>
      </c>
      <c r="G87" s="29">
        <f>((1-(1/((1+G84)^G85)))/G84)</f>
        <v>30.759575242984265</v>
      </c>
      <c r="H87" s="29"/>
      <c r="J87" s="27" t="s">
        <v>123</v>
      </c>
      <c r="K87" s="29">
        <f>((1-(1/((1+K84)^K85)))/K84)</f>
        <v>24.998619332035133</v>
      </c>
      <c r="L87" s="28"/>
      <c r="M87" s="28"/>
      <c r="N87" s="21"/>
      <c r="O87" s="21"/>
      <c r="P87" s="21"/>
      <c r="Q87" s="29"/>
      <c r="S87" s="27" t="s">
        <v>123</v>
      </c>
      <c r="T87" s="29">
        <f>((1-(1/((1+T84)^T85)))/T84)</f>
        <v>28.276212572476751</v>
      </c>
      <c r="U87" s="28"/>
      <c r="V87" s="28"/>
      <c r="W87" s="21"/>
      <c r="X87" s="21"/>
      <c r="Y87" s="21"/>
      <c r="Z87" s="29"/>
      <c r="AB87" s="27" t="s">
        <v>123</v>
      </c>
      <c r="AC87" s="29">
        <f>((1-(1/((1+AC84)^AC85)))/AC84)</f>
        <v>28.276212572476751</v>
      </c>
      <c r="AD87" s="28"/>
      <c r="AE87" s="28"/>
      <c r="AF87" s="21"/>
      <c r="AG87" s="21"/>
      <c r="AH87" s="21"/>
      <c r="AI87" s="29"/>
    </row>
    <row r="88" spans="1:35">
      <c r="A88" s="27" t="s">
        <v>124</v>
      </c>
      <c r="B88" s="29">
        <f>B81-B86</f>
        <v>66485.044165684027</v>
      </c>
      <c r="C88" s="28"/>
      <c r="D88" s="28"/>
      <c r="E88" s="21"/>
      <c r="F88" s="27" t="s">
        <v>124</v>
      </c>
      <c r="G88" s="29">
        <f>G81-G86</f>
        <v>65458.889778640892</v>
      </c>
      <c r="H88" s="29"/>
      <c r="J88" s="27" t="s">
        <v>124</v>
      </c>
      <c r="K88" s="29">
        <f>K81-K86</f>
        <v>35235.007999999994</v>
      </c>
      <c r="L88" s="28"/>
      <c r="M88" s="28"/>
      <c r="N88" s="21"/>
      <c r="O88" s="21"/>
      <c r="P88" s="21"/>
      <c r="Q88" s="29"/>
      <c r="S88" s="27" t="s">
        <v>124</v>
      </c>
      <c r="T88" s="29">
        <f>T81-T86</f>
        <v>45415.783145520625</v>
      </c>
      <c r="U88" s="28"/>
      <c r="V88" s="28"/>
      <c r="W88" s="21"/>
      <c r="X88" s="21"/>
      <c r="Y88" s="21"/>
      <c r="Z88" s="29"/>
      <c r="AB88" s="27" t="s">
        <v>124</v>
      </c>
      <c r="AC88" s="29">
        <f>AC81-AC86</f>
        <v>45415.783145520625</v>
      </c>
      <c r="AD88" s="28"/>
      <c r="AE88" s="28"/>
      <c r="AF88" s="21"/>
      <c r="AG88" s="21"/>
      <c r="AH88" s="21"/>
      <c r="AI88" s="29"/>
    </row>
    <row r="89" spans="1:35">
      <c r="A89" s="27" t="s">
        <v>125</v>
      </c>
      <c r="B89" s="29">
        <f>(B88/B87)</f>
        <v>2316.336901384057</v>
      </c>
      <c r="C89" s="28"/>
      <c r="D89" s="28"/>
      <c r="E89" s="21"/>
      <c r="F89" s="27" t="s">
        <v>125</v>
      </c>
      <c r="G89" s="29">
        <f>(G88/G87)</f>
        <v>2128.081719645038</v>
      </c>
      <c r="H89" s="29"/>
      <c r="J89" s="27" t="s">
        <v>125</v>
      </c>
      <c r="K89" s="29">
        <f>(K88/K87)</f>
        <v>1409.4781608537546</v>
      </c>
      <c r="L89" s="28"/>
      <c r="M89" s="28"/>
      <c r="N89" s="21"/>
      <c r="O89" s="21"/>
      <c r="P89" s="21"/>
      <c r="Q89" s="29"/>
      <c r="S89" s="27" t="s">
        <v>125</v>
      </c>
      <c r="T89" s="29">
        <f>(T88/T87)</f>
        <v>1606.1480309327933</v>
      </c>
      <c r="U89" s="28"/>
      <c r="V89" s="28"/>
      <c r="W89" s="21"/>
      <c r="X89" s="21"/>
      <c r="Y89" s="21"/>
      <c r="Z89" s="29"/>
      <c r="AB89" s="27" t="s">
        <v>125</v>
      </c>
      <c r="AC89" s="29">
        <f>(AC88/AC87)</f>
        <v>1606.1480309327933</v>
      </c>
      <c r="AD89" s="28"/>
      <c r="AE89" s="28"/>
      <c r="AF89" s="21"/>
      <c r="AG89" s="21"/>
      <c r="AH89" s="21"/>
      <c r="AI89" s="29"/>
    </row>
    <row r="90" spans="1:35">
      <c r="A90" s="27" t="s">
        <v>126</v>
      </c>
      <c r="B90" s="29">
        <f>((B89*(B85))+B77)</f>
        <v>78755.454647057937</v>
      </c>
      <c r="C90" s="28"/>
      <c r="D90" s="28"/>
      <c r="E90" s="21"/>
      <c r="F90" s="27" t="s">
        <v>126</v>
      </c>
      <c r="G90" s="29">
        <f>((G89*(G85))+G77)</f>
        <v>72354.77846793129</v>
      </c>
      <c r="H90" s="29"/>
      <c r="J90" s="27" t="s">
        <v>126</v>
      </c>
      <c r="K90" s="29">
        <f>((K89*(K85))+K77)</f>
        <v>49331.735629881412</v>
      </c>
      <c r="L90" s="28"/>
      <c r="M90" s="28"/>
      <c r="N90" s="21"/>
      <c r="O90" s="21"/>
      <c r="P90" s="21"/>
      <c r="Q90" s="29"/>
      <c r="S90" s="27" t="s">
        <v>126</v>
      </c>
      <c r="T90" s="29">
        <f>(T89*(T85))+T77</f>
        <v>54609.03305171497</v>
      </c>
      <c r="U90" s="28"/>
      <c r="V90" s="28"/>
      <c r="W90" s="21"/>
      <c r="X90" s="21"/>
      <c r="Y90" s="21"/>
      <c r="Z90" s="29"/>
      <c r="AB90" s="27" t="s">
        <v>126</v>
      </c>
      <c r="AC90" s="29">
        <f>(AC89*(AC59))+AC77</f>
        <v>54609.03305171497</v>
      </c>
      <c r="AD90" s="28"/>
      <c r="AE90" s="28"/>
      <c r="AF90" s="21"/>
      <c r="AG90" s="21"/>
      <c r="AH90" s="21"/>
      <c r="AI90" s="29"/>
    </row>
    <row r="91" spans="1:35">
      <c r="A91" s="27" t="s">
        <v>127</v>
      </c>
      <c r="B91" s="29">
        <f>(((B89*(B85))+B77)/(1-B71))*B71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  <c r="J91" s="27" t="s">
        <v>127</v>
      </c>
      <c r="K91" s="29">
        <f>(K90/(1-K71))*K71</f>
        <v>0</v>
      </c>
      <c r="L91" s="28"/>
      <c r="M91" s="28"/>
      <c r="N91" s="21"/>
      <c r="O91" s="21"/>
      <c r="P91" s="21"/>
      <c r="Q91" s="29"/>
      <c r="S91" s="27" t="s">
        <v>127</v>
      </c>
      <c r="T91" s="29">
        <f>(T90/(1-T71))*T71</f>
        <v>0</v>
      </c>
      <c r="U91" s="28"/>
      <c r="V91" s="28"/>
      <c r="W91" s="21"/>
      <c r="X91" s="21"/>
      <c r="Y91" s="21"/>
      <c r="Z91" s="29"/>
      <c r="AB91" s="27" t="s">
        <v>127</v>
      </c>
      <c r="AC91" s="29">
        <f>(AC90/(1-AC71))*AC71</f>
        <v>0</v>
      </c>
      <c r="AD91" s="28"/>
      <c r="AE91" s="28"/>
      <c r="AF91" s="21"/>
      <c r="AG91" s="21"/>
      <c r="AH91" s="21"/>
      <c r="AI91" s="29"/>
    </row>
    <row r="92" spans="1:35">
      <c r="A92" s="49" t="s">
        <v>128</v>
      </c>
      <c r="B92" s="57">
        <f>(B90+B91)</f>
        <v>78755.454647057937</v>
      </c>
      <c r="C92" s="28"/>
      <c r="D92" s="28"/>
      <c r="E92" s="21"/>
      <c r="F92" s="49" t="s">
        <v>128</v>
      </c>
      <c r="G92" s="57">
        <f>(G90+G91)</f>
        <v>72354.77846793129</v>
      </c>
      <c r="H92" s="29"/>
      <c r="J92" s="49" t="s">
        <v>128</v>
      </c>
      <c r="K92" s="57">
        <f>(K90+K91)</f>
        <v>49331.735629881412</v>
      </c>
      <c r="L92" s="28"/>
      <c r="M92" s="28"/>
      <c r="N92" s="21"/>
      <c r="O92" s="21"/>
      <c r="P92" s="21"/>
      <c r="Q92" s="29"/>
      <c r="S92" s="49" t="s">
        <v>128</v>
      </c>
      <c r="T92" s="57">
        <f>(T90+T91)</f>
        <v>54609.03305171497</v>
      </c>
      <c r="U92" s="28"/>
      <c r="V92" s="28"/>
      <c r="W92" s="21"/>
      <c r="X92" s="21"/>
      <c r="Y92" s="21"/>
      <c r="Z92" s="29"/>
      <c r="AB92" s="49" t="s">
        <v>128</v>
      </c>
      <c r="AC92" s="57">
        <f>(AC90+AC91)</f>
        <v>54609.03305171497</v>
      </c>
      <c r="AD92" s="28"/>
      <c r="AE92" s="28"/>
      <c r="AF92" s="21"/>
      <c r="AG92" s="21"/>
      <c r="AH92" s="21"/>
      <c r="AI92" s="29"/>
    </row>
    <row r="93" spans="1:35">
      <c r="A93" s="27"/>
      <c r="B93" s="28"/>
      <c r="C93" s="28"/>
      <c r="D93" s="28"/>
      <c r="E93" s="21"/>
      <c r="F93" s="27"/>
      <c r="G93" s="28"/>
      <c r="H93" s="29"/>
      <c r="J93" s="27"/>
      <c r="K93" s="28"/>
      <c r="L93" s="28"/>
      <c r="M93" s="28"/>
      <c r="N93" s="21"/>
      <c r="O93" s="21"/>
      <c r="P93" s="21"/>
      <c r="Q93" s="29"/>
      <c r="S93" s="27"/>
      <c r="T93" s="28"/>
      <c r="U93" s="28"/>
      <c r="V93" s="28"/>
      <c r="W93" s="21"/>
      <c r="X93" s="21"/>
      <c r="Y93" s="21"/>
      <c r="Z93" s="29"/>
      <c r="AB93" s="27"/>
      <c r="AC93" s="28"/>
      <c r="AD93" s="28"/>
      <c r="AE93" s="28"/>
      <c r="AF93" s="21"/>
      <c r="AG93" s="21"/>
      <c r="AH93" s="21"/>
      <c r="AI93" s="29"/>
    </row>
    <row r="94" spans="1:35">
      <c r="A94" s="76" t="s">
        <v>129</v>
      </c>
      <c r="B94" s="80">
        <f>IF(B26="YES",((E40/B85)*(1+A108)*(C45/100)),"0")</f>
        <v>219.90705882352941</v>
      </c>
      <c r="C94" s="28"/>
      <c r="D94" s="28"/>
      <c r="E94" s="21"/>
      <c r="F94" s="76" t="s">
        <v>129</v>
      </c>
      <c r="G94" s="80">
        <f>IF(B26="YES",((E40/B85)*(1+A108)*(C45/100)),"0")</f>
        <v>219.90705882352941</v>
      </c>
      <c r="H94" s="29"/>
      <c r="J94" s="76" t="s">
        <v>129</v>
      </c>
      <c r="K94" s="77">
        <f>((E40/K85)*(1+J108))*1.2</f>
        <v>277.71119999999996</v>
      </c>
      <c r="L94" s="28"/>
      <c r="M94" s="28"/>
      <c r="N94" s="21"/>
      <c r="O94" s="21"/>
      <c r="P94" s="21"/>
      <c r="Q94" s="29"/>
      <c r="S94" s="76" t="s">
        <v>129</v>
      </c>
      <c r="T94" s="77">
        <f>((E40/T85)*(1+S108))</f>
        <v>219.90705882352941</v>
      </c>
      <c r="U94" s="28"/>
      <c r="V94" s="28"/>
      <c r="W94" s="21"/>
      <c r="X94" s="21"/>
      <c r="Y94" s="21"/>
      <c r="Z94" s="29"/>
      <c r="AB94" s="76" t="s">
        <v>129</v>
      </c>
      <c r="AC94" s="77">
        <f>((E40/AC85)*(1+AB108))*1.2</f>
        <v>263.88847058823529</v>
      </c>
      <c r="AD94" s="28"/>
      <c r="AE94" s="28"/>
      <c r="AF94" s="21"/>
      <c r="AG94" s="21"/>
      <c r="AH94" s="21"/>
      <c r="AI94" s="29"/>
    </row>
    <row r="95" spans="1:35">
      <c r="A95" s="81" t="s">
        <v>130</v>
      </c>
      <c r="B95" s="82">
        <f>B92/(B85)</f>
        <v>2316.336901384057</v>
      </c>
      <c r="C95" s="28"/>
      <c r="D95" s="28"/>
      <c r="E95" s="21"/>
      <c r="F95" s="81" t="s">
        <v>130</v>
      </c>
      <c r="G95" s="82">
        <f>G92/(G85)</f>
        <v>2128.081719645038</v>
      </c>
      <c r="H95" s="29"/>
      <c r="J95" s="81" t="s">
        <v>130</v>
      </c>
      <c r="K95" s="82">
        <f>K92/(K85)</f>
        <v>1409.4781608537546</v>
      </c>
      <c r="L95" s="28"/>
      <c r="M95" s="28"/>
      <c r="N95" s="21"/>
      <c r="O95" s="21"/>
      <c r="P95" s="21"/>
      <c r="Q95" s="29"/>
      <c r="S95" s="81" t="s">
        <v>130</v>
      </c>
      <c r="T95" s="82">
        <f>T92/(T85)</f>
        <v>1606.1480309327933</v>
      </c>
      <c r="U95" s="28"/>
      <c r="V95" s="28"/>
      <c r="W95" s="21"/>
      <c r="X95" s="21"/>
      <c r="Y95" s="21"/>
      <c r="Z95" s="29"/>
      <c r="AB95" s="81" t="s">
        <v>130</v>
      </c>
      <c r="AC95" s="82">
        <f>AC92/(AC59)</f>
        <v>1606.1480309327933</v>
      </c>
      <c r="AD95" s="28"/>
      <c r="AE95" s="28"/>
      <c r="AF95" s="21"/>
      <c r="AG95" s="21"/>
      <c r="AH95" s="21"/>
      <c r="AI95" s="29"/>
    </row>
    <row r="96" spans="1:35">
      <c r="A96" s="83" t="s">
        <v>131</v>
      </c>
      <c r="B96" s="84">
        <f>B94+B95</f>
        <v>2536.2439602075865</v>
      </c>
      <c r="C96" s="28"/>
      <c r="D96" s="28"/>
      <c r="E96" s="21"/>
      <c r="F96" s="83" t="s">
        <v>131</v>
      </c>
      <c r="G96" s="84">
        <f>G94+G95</f>
        <v>2347.9887784685675</v>
      </c>
      <c r="H96" s="29"/>
      <c r="J96" s="83" t="s">
        <v>131</v>
      </c>
      <c r="K96" s="84">
        <f>(K94+K95)</f>
        <v>1687.1893608537546</v>
      </c>
      <c r="L96" s="28"/>
      <c r="M96" s="28"/>
      <c r="N96" s="21"/>
      <c r="O96" s="21"/>
      <c r="P96" s="21"/>
      <c r="Q96" s="29"/>
      <c r="S96" s="83" t="s">
        <v>131</v>
      </c>
      <c r="T96" s="84">
        <f>T94+T95</f>
        <v>1826.0550897563228</v>
      </c>
      <c r="U96" s="28"/>
      <c r="V96" s="28"/>
      <c r="W96" s="21"/>
      <c r="X96" s="21"/>
      <c r="Y96" s="21"/>
      <c r="Z96" s="29"/>
      <c r="AB96" s="83" t="s">
        <v>131</v>
      </c>
      <c r="AC96" s="84">
        <f>AC94+AC95</f>
        <v>1870.0365015210286</v>
      </c>
      <c r="AD96" s="28"/>
      <c r="AE96" s="28"/>
      <c r="AF96" s="21"/>
      <c r="AG96" s="21"/>
      <c r="AH96" s="21"/>
      <c r="AI96" s="29"/>
    </row>
    <row r="97" spans="1:42">
      <c r="A97" s="49"/>
      <c r="B97" s="50"/>
      <c r="C97" s="50"/>
      <c r="D97" s="50"/>
      <c r="E97" s="85"/>
      <c r="F97" s="85"/>
      <c r="G97" s="85"/>
      <c r="H97" s="57"/>
      <c r="J97" s="49"/>
      <c r="K97" s="50"/>
      <c r="L97" s="50"/>
      <c r="M97" s="50"/>
      <c r="N97" s="85"/>
      <c r="O97" s="85"/>
      <c r="P97" s="85"/>
      <c r="Q97" s="57"/>
      <c r="S97" s="49"/>
      <c r="T97" s="50"/>
      <c r="U97" s="50"/>
      <c r="V97" s="50"/>
      <c r="W97" s="85"/>
      <c r="X97" s="85"/>
      <c r="Y97" s="85"/>
      <c r="Z97" s="57"/>
      <c r="AB97" s="49"/>
      <c r="AC97" s="50"/>
      <c r="AD97" s="50"/>
      <c r="AE97" s="50"/>
      <c r="AF97" s="85"/>
      <c r="AG97" s="85"/>
      <c r="AH97" s="85"/>
      <c r="AI97" s="57"/>
    </row>
    <row r="98" spans="1:42" ht="14.25">
      <c r="A98" s="21"/>
      <c r="B98" s="21"/>
      <c r="C98" s="21"/>
      <c r="D98" s="21"/>
      <c r="E98" s="21"/>
      <c r="F98" s="21"/>
      <c r="G98" s="21"/>
      <c r="H98" s="21"/>
      <c r="J98" s="21"/>
      <c r="K98" s="21"/>
      <c r="L98" s="21"/>
      <c r="M98" s="21"/>
      <c r="N98" s="21"/>
      <c r="O98" s="21"/>
      <c r="P98" s="21"/>
      <c r="Q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</row>
    <row r="99" spans="1:42" ht="14.25">
      <c r="A99" s="21"/>
      <c r="B99" s="21"/>
      <c r="C99" s="21"/>
      <c r="D99" s="21"/>
      <c r="E99" s="21"/>
      <c r="F99" s="21"/>
      <c r="G99" s="21"/>
      <c r="H99" s="21"/>
      <c r="J99" s="21"/>
      <c r="K99" s="21"/>
      <c r="L99" s="21"/>
      <c r="M99" s="21"/>
      <c r="N99" s="21"/>
      <c r="O99" s="21"/>
      <c r="P99" s="21"/>
      <c r="Q99" s="21"/>
      <c r="S99" s="21"/>
      <c r="T99" s="21"/>
      <c r="U99" s="21"/>
      <c r="V99" s="21"/>
      <c r="W99" s="21"/>
      <c r="X99" s="21"/>
      <c r="Y99" s="21"/>
      <c r="Z99" s="21"/>
      <c r="AB99" s="21"/>
      <c r="AC99" s="21"/>
      <c r="AD99" s="21"/>
      <c r="AE99" s="21"/>
      <c r="AF99" s="21"/>
      <c r="AG99" s="21"/>
      <c r="AH99" s="21"/>
      <c r="AI99" s="21"/>
    </row>
    <row r="100" spans="1:42" ht="47.25" customHeight="1">
      <c r="A100" s="344" t="s">
        <v>132</v>
      </c>
      <c r="B100" s="344"/>
      <c r="C100" s="344"/>
      <c r="D100" s="344"/>
      <c r="E100" s="344"/>
      <c r="F100" s="344"/>
      <c r="G100" s="344"/>
      <c r="H100" s="344"/>
      <c r="J100" s="344" t="s">
        <v>133</v>
      </c>
      <c r="K100" s="344"/>
      <c r="L100" s="344"/>
      <c r="M100" s="344"/>
      <c r="N100" s="344"/>
      <c r="O100" s="344"/>
      <c r="P100" s="344"/>
      <c r="Q100" s="344"/>
      <c r="S100" s="344" t="s">
        <v>134</v>
      </c>
      <c r="T100" s="344"/>
      <c r="U100" s="344"/>
      <c r="V100" s="344"/>
      <c r="W100" s="344"/>
      <c r="X100" s="344"/>
      <c r="Y100" s="344"/>
      <c r="Z100" s="344"/>
      <c r="AB100" s="344" t="s">
        <v>135</v>
      </c>
      <c r="AC100" s="344"/>
      <c r="AD100" s="344"/>
      <c r="AE100" s="344"/>
      <c r="AF100" s="344"/>
      <c r="AG100" s="344"/>
      <c r="AH100" s="344"/>
      <c r="AI100" s="344"/>
    </row>
    <row r="101" spans="1:42">
      <c r="A101" s="22"/>
      <c r="B101" s="23"/>
      <c r="C101" s="23"/>
      <c r="D101" s="23"/>
      <c r="E101" s="63"/>
      <c r="F101" s="63"/>
      <c r="G101" s="63"/>
      <c r="H101" s="87"/>
      <c r="J101" s="22"/>
      <c r="K101" s="23"/>
      <c r="L101" s="23"/>
      <c r="M101" s="23"/>
      <c r="N101" s="63"/>
      <c r="O101" s="63"/>
      <c r="P101" s="63"/>
      <c r="Q101" s="87"/>
      <c r="S101" s="22"/>
      <c r="T101" s="23"/>
      <c r="U101" s="23"/>
      <c r="V101" s="23"/>
      <c r="W101" s="63"/>
      <c r="X101" s="63"/>
      <c r="Y101" s="63"/>
      <c r="Z101" s="87"/>
      <c r="AB101" s="22"/>
      <c r="AC101" s="23"/>
      <c r="AD101" s="23"/>
      <c r="AE101" s="23"/>
      <c r="AF101" s="63"/>
      <c r="AG101" s="63"/>
      <c r="AH101" s="63"/>
      <c r="AI101" s="87"/>
    </row>
    <row r="102" spans="1:42" ht="23.25">
      <c r="A102" s="335"/>
      <c r="B102" s="335"/>
      <c r="C102" s="335"/>
      <c r="D102" s="335"/>
      <c r="E102" s="335"/>
      <c r="F102" s="335"/>
      <c r="G102" s="335"/>
      <c r="H102" s="335"/>
      <c r="J102" s="335" t="s">
        <v>136</v>
      </c>
      <c r="K102" s="335"/>
      <c r="L102" s="335"/>
      <c r="M102" s="335"/>
      <c r="N102" s="335"/>
      <c r="O102" s="335"/>
      <c r="P102" s="335"/>
      <c r="Q102" s="335"/>
      <c r="S102" s="335" t="s">
        <v>136</v>
      </c>
      <c r="T102" s="335"/>
      <c r="U102" s="335"/>
      <c r="V102" s="335"/>
      <c r="W102" s="335"/>
      <c r="X102" s="335"/>
      <c r="Y102" s="335"/>
      <c r="Z102" s="335"/>
      <c r="AB102" s="335" t="s">
        <v>136</v>
      </c>
      <c r="AC102" s="335"/>
      <c r="AD102" s="335"/>
      <c r="AE102" s="335"/>
      <c r="AF102" s="335"/>
      <c r="AG102" s="335"/>
      <c r="AH102" s="335"/>
      <c r="AI102" s="335"/>
    </row>
    <row r="103" spans="1:42">
      <c r="A103" s="27"/>
      <c r="B103" s="28"/>
      <c r="C103" s="28"/>
      <c r="D103" s="28"/>
      <c r="E103" s="21"/>
      <c r="F103" s="21"/>
      <c r="G103" s="21"/>
      <c r="H103" s="88"/>
      <c r="J103" s="27"/>
      <c r="K103" s="28"/>
      <c r="L103" s="28"/>
      <c r="M103" s="28"/>
      <c r="N103" s="21"/>
      <c r="O103" s="21"/>
      <c r="P103" s="21"/>
      <c r="Q103" s="88"/>
      <c r="S103" s="27"/>
      <c r="T103" s="28"/>
      <c r="U103" s="28"/>
      <c r="V103" s="28"/>
      <c r="W103" s="21"/>
      <c r="X103" s="21"/>
      <c r="Y103" s="21"/>
      <c r="Z103" s="88"/>
      <c r="AB103" s="27"/>
      <c r="AC103" s="28"/>
      <c r="AD103" s="28"/>
      <c r="AE103" s="28"/>
      <c r="AF103" s="21"/>
      <c r="AG103" s="21"/>
      <c r="AH103" s="21"/>
      <c r="AI103" s="88"/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J104" s="27" t="s">
        <v>137</v>
      </c>
      <c r="K104" s="28" t="s">
        <v>36</v>
      </c>
      <c r="L104" s="28"/>
      <c r="M104" s="28"/>
      <c r="N104" s="28" t="s">
        <v>138</v>
      </c>
      <c r="O104" s="28"/>
      <c r="P104" s="28"/>
      <c r="Q104" s="29"/>
      <c r="S104" s="27" t="s">
        <v>137</v>
      </c>
      <c r="T104" s="28" t="s">
        <v>36</v>
      </c>
      <c r="U104" s="28"/>
      <c r="V104" s="28"/>
      <c r="W104" s="28" t="s">
        <v>138</v>
      </c>
      <c r="X104" s="28"/>
      <c r="Y104" s="28"/>
      <c r="Z104" s="29"/>
      <c r="AB104" s="27" t="s">
        <v>137</v>
      </c>
      <c r="AC104" s="28" t="s">
        <v>36</v>
      </c>
      <c r="AD104" s="28"/>
      <c r="AE104" s="28"/>
      <c r="AF104" s="28" t="s">
        <v>138</v>
      </c>
      <c r="AG104" s="28"/>
      <c r="AH104" s="28"/>
      <c r="AI104" s="29"/>
    </row>
    <row r="105" spans="1:42">
      <c r="A105" s="32" t="s">
        <v>139</v>
      </c>
      <c r="B105" s="345" t="s">
        <v>140</v>
      </c>
      <c r="C105" s="345"/>
      <c r="D105" s="345"/>
      <c r="E105" s="403" t="s">
        <v>410</v>
      </c>
      <c r="F105" s="403"/>
      <c r="G105" s="403"/>
      <c r="H105" s="88"/>
      <c r="J105" s="32" t="s">
        <v>139</v>
      </c>
      <c r="K105" s="345" t="s">
        <v>140</v>
      </c>
      <c r="L105" s="345"/>
      <c r="M105" s="345"/>
      <c r="N105" s="346" t="s">
        <v>31</v>
      </c>
      <c r="O105" s="346"/>
      <c r="P105" s="346"/>
      <c r="Q105" s="88"/>
      <c r="S105" s="32" t="s">
        <v>139</v>
      </c>
      <c r="T105" s="345" t="s">
        <v>140</v>
      </c>
      <c r="U105" s="345"/>
      <c r="V105" s="345"/>
      <c r="W105" s="346" t="s">
        <v>31</v>
      </c>
      <c r="X105" s="346"/>
      <c r="Y105" s="346"/>
      <c r="Z105" s="88"/>
      <c r="AB105" s="32" t="s">
        <v>139</v>
      </c>
      <c r="AC105" s="345" t="s">
        <v>140</v>
      </c>
      <c r="AD105" s="345"/>
      <c r="AE105" s="345"/>
      <c r="AF105" s="346" t="s">
        <v>31</v>
      </c>
      <c r="AG105" s="346"/>
      <c r="AH105" s="346"/>
      <c r="AI105" s="88"/>
    </row>
    <row r="106" spans="1:42">
      <c r="A106" s="27"/>
      <c r="B106" s="28"/>
      <c r="C106" s="28"/>
      <c r="D106" s="21"/>
      <c r="E106" s="28"/>
      <c r="F106" s="28"/>
      <c r="G106" s="21"/>
      <c r="H106" s="29"/>
      <c r="J106" s="27"/>
      <c r="K106" s="28"/>
      <c r="L106" s="28"/>
      <c r="M106" s="21"/>
      <c r="N106" s="28"/>
      <c r="O106" s="28"/>
      <c r="P106" s="21"/>
      <c r="Q106" s="29"/>
      <c r="S106" s="27"/>
      <c r="T106" s="28"/>
      <c r="U106" s="28"/>
      <c r="V106" s="21"/>
      <c r="W106" s="28"/>
      <c r="X106" s="28"/>
      <c r="Y106" s="21"/>
      <c r="Z106" s="29"/>
      <c r="AB106" s="27"/>
      <c r="AC106" s="28"/>
      <c r="AD106" s="28"/>
      <c r="AE106" s="21"/>
      <c r="AF106" s="28"/>
      <c r="AG106" s="28"/>
      <c r="AH106" s="21"/>
      <c r="AI106" s="29"/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J107" s="27" t="s">
        <v>141</v>
      </c>
      <c r="K107" s="28" t="s">
        <v>142</v>
      </c>
      <c r="L107" s="28"/>
      <c r="M107" s="21"/>
      <c r="N107" s="28" t="s">
        <v>143</v>
      </c>
      <c r="O107" s="28"/>
      <c r="P107" s="21"/>
      <c r="Q107" s="88"/>
      <c r="S107" s="27" t="s">
        <v>141</v>
      </c>
      <c r="T107" s="28" t="s">
        <v>142</v>
      </c>
      <c r="U107" s="28"/>
      <c r="V107" s="21"/>
      <c r="W107" s="28" t="s">
        <v>143</v>
      </c>
      <c r="X107" s="28"/>
      <c r="Y107" s="21"/>
      <c r="Z107" s="88"/>
      <c r="AB107" s="27" t="s">
        <v>141</v>
      </c>
      <c r="AC107" s="28" t="s">
        <v>142</v>
      </c>
      <c r="AD107" s="28"/>
      <c r="AE107" s="21"/>
      <c r="AF107" s="28" t="s">
        <v>143</v>
      </c>
      <c r="AG107" s="28"/>
      <c r="AH107" s="21"/>
      <c r="AI107" s="88"/>
    </row>
    <row r="108" spans="1:42">
      <c r="A108" s="91">
        <v>0.2</v>
      </c>
      <c r="B108" s="348" t="s">
        <v>389</v>
      </c>
      <c r="C108" s="348"/>
      <c r="D108" s="348">
        <v>0</v>
      </c>
      <c r="E108" s="349">
        <f>B83</f>
        <v>0.12000000000000001</v>
      </c>
      <c r="F108" s="349"/>
      <c r="G108" s="349"/>
      <c r="H108" s="42"/>
      <c r="J108" s="91">
        <v>0.3</v>
      </c>
      <c r="K108" s="348" t="s">
        <v>144</v>
      </c>
      <c r="L108" s="348"/>
      <c r="M108" s="348"/>
      <c r="N108" s="349">
        <f>K83</f>
        <v>0.24000000000000002</v>
      </c>
      <c r="O108" s="349"/>
      <c r="P108" s="349"/>
      <c r="Q108" s="42"/>
      <c r="S108" s="91">
        <v>0.2</v>
      </c>
      <c r="T108" s="348" t="s">
        <v>145</v>
      </c>
      <c r="U108" s="348"/>
      <c r="V108" s="348"/>
      <c r="W108" s="349">
        <f>T83</f>
        <v>0.13100000000000001</v>
      </c>
      <c r="X108" s="349"/>
      <c r="Y108" s="349"/>
      <c r="Z108" s="42"/>
      <c r="AB108" s="91">
        <v>0.2</v>
      </c>
      <c r="AC108" s="348" t="s">
        <v>145</v>
      </c>
      <c r="AD108" s="348"/>
      <c r="AE108" s="348"/>
      <c r="AF108" s="350">
        <f>AC83</f>
        <v>0.13100000000000001</v>
      </c>
      <c r="AG108" s="350"/>
      <c r="AH108" s="350"/>
      <c r="AI108" s="42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J109" s="27"/>
      <c r="K109" s="28"/>
      <c r="L109" s="28"/>
      <c r="M109" s="28"/>
      <c r="N109" s="28"/>
      <c r="O109" s="28"/>
      <c r="P109" s="28"/>
      <c r="Q109" s="29"/>
      <c r="S109" s="27"/>
      <c r="T109" s="28"/>
      <c r="U109" s="28"/>
      <c r="V109" s="28"/>
      <c r="W109" s="28"/>
      <c r="X109" s="28"/>
      <c r="Y109" s="28"/>
      <c r="Z109" s="29"/>
      <c r="AB109" s="27"/>
      <c r="AC109" s="28"/>
      <c r="AD109" s="28"/>
      <c r="AE109" s="28"/>
      <c r="AF109" s="28"/>
      <c r="AG109" s="28"/>
      <c r="AH109" s="28"/>
      <c r="AI109" s="29"/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J110" s="27" t="s">
        <v>147</v>
      </c>
      <c r="K110" s="28" t="s">
        <v>148</v>
      </c>
      <c r="L110" s="28"/>
      <c r="M110" s="28"/>
      <c r="N110" s="28" t="s">
        <v>149</v>
      </c>
      <c r="O110" s="28"/>
      <c r="P110" s="28"/>
      <c r="Q110" s="29"/>
      <c r="S110" s="27" t="s">
        <v>147</v>
      </c>
      <c r="T110" s="28" t="s">
        <v>148</v>
      </c>
      <c r="U110" s="28"/>
      <c r="V110" s="28"/>
      <c r="W110" s="28" t="s">
        <v>149</v>
      </c>
      <c r="X110" s="28"/>
      <c r="Y110" s="28"/>
      <c r="Z110" s="29"/>
      <c r="AB110" s="27" t="s">
        <v>147</v>
      </c>
      <c r="AC110" s="28" t="s">
        <v>148</v>
      </c>
      <c r="AD110" s="28"/>
      <c r="AE110" s="28"/>
      <c r="AF110" s="28" t="s">
        <v>149</v>
      </c>
      <c r="AG110" s="28"/>
      <c r="AH110" s="28"/>
      <c r="AI110" s="29"/>
    </row>
    <row r="111" spans="1:42">
      <c r="A111" s="36" t="s">
        <v>385</v>
      </c>
      <c r="B111" s="348">
        <v>5000</v>
      </c>
      <c r="C111" s="348"/>
      <c r="D111" s="348"/>
      <c r="E111" s="348">
        <v>4000</v>
      </c>
      <c r="F111" s="348"/>
      <c r="G111" s="348"/>
      <c r="H111" s="88"/>
      <c r="J111" s="36" t="s">
        <v>32</v>
      </c>
      <c r="K111" s="348">
        <v>1000</v>
      </c>
      <c r="L111" s="348"/>
      <c r="M111" s="348"/>
      <c r="N111" s="348">
        <v>0</v>
      </c>
      <c r="O111" s="348"/>
      <c r="P111" s="348"/>
      <c r="Q111" s="88"/>
      <c r="S111" s="36" t="s">
        <v>31</v>
      </c>
      <c r="T111" s="348">
        <v>1000</v>
      </c>
      <c r="U111" s="348"/>
      <c r="V111" s="348"/>
      <c r="W111" s="348">
        <v>0</v>
      </c>
      <c r="X111" s="348"/>
      <c r="Y111" s="348"/>
      <c r="Z111" s="88"/>
      <c r="AB111" s="36" t="s">
        <v>31</v>
      </c>
      <c r="AC111" s="348">
        <v>1000</v>
      </c>
      <c r="AD111" s="348"/>
      <c r="AE111" s="348"/>
      <c r="AF111" s="348">
        <v>0</v>
      </c>
      <c r="AG111" s="348"/>
      <c r="AH111" s="348"/>
      <c r="AI111" s="88"/>
    </row>
    <row r="112" spans="1:42">
      <c r="A112" s="27"/>
      <c r="B112" s="28"/>
      <c r="C112" s="28"/>
      <c r="D112" s="28"/>
      <c r="E112" s="28"/>
      <c r="F112" s="28"/>
      <c r="G112" s="21"/>
      <c r="H112" s="88"/>
      <c r="J112" s="27"/>
      <c r="K112" s="28"/>
      <c r="L112" s="28"/>
      <c r="M112" s="28"/>
      <c r="N112" s="28"/>
      <c r="O112" s="28"/>
      <c r="P112" s="21"/>
      <c r="Q112" s="88"/>
      <c r="S112" s="27"/>
      <c r="T112" s="28"/>
      <c r="U112" s="28"/>
      <c r="V112" s="28"/>
      <c r="W112" s="28"/>
      <c r="X112" s="28"/>
      <c r="Y112" s="21"/>
      <c r="Z112" s="88"/>
      <c r="AB112" s="27"/>
      <c r="AC112" s="28"/>
      <c r="AD112" s="28"/>
      <c r="AE112" s="28"/>
      <c r="AF112" s="28"/>
      <c r="AG112" s="28"/>
      <c r="AH112" s="21"/>
      <c r="AI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  <c r="J113" s="93" t="s">
        <v>150</v>
      </c>
      <c r="K113" s="28" t="s">
        <v>151</v>
      </c>
      <c r="L113" s="28"/>
      <c r="M113" s="28"/>
      <c r="N113" s="28" t="s">
        <v>152</v>
      </c>
      <c r="O113" s="28"/>
      <c r="P113" s="21"/>
      <c r="Q113" s="88"/>
      <c r="S113" s="93" t="s">
        <v>150</v>
      </c>
      <c r="T113" s="28" t="s">
        <v>151</v>
      </c>
      <c r="U113" s="28"/>
      <c r="V113" s="28"/>
      <c r="W113" s="28" t="s">
        <v>152</v>
      </c>
      <c r="X113" s="28"/>
      <c r="Y113" s="21"/>
      <c r="Z113" s="88"/>
      <c r="AB113" s="93" t="s">
        <v>150</v>
      </c>
      <c r="AC113" s="28" t="s">
        <v>151</v>
      </c>
      <c r="AD113" s="28"/>
      <c r="AE113" s="28"/>
      <c r="AF113" s="28" t="s">
        <v>152</v>
      </c>
      <c r="AG113" s="28"/>
      <c r="AH113" s="21"/>
      <c r="AI113" s="88"/>
    </row>
    <row r="114" spans="1:35">
      <c r="A114" s="94">
        <f>B111+E111</f>
        <v>9000</v>
      </c>
      <c r="B114" s="348">
        <v>199.99166666666667</v>
      </c>
      <c r="C114" s="348"/>
      <c r="D114" s="348"/>
      <c r="E114" s="348">
        <v>0</v>
      </c>
      <c r="F114" s="348"/>
      <c r="G114" s="348"/>
      <c r="H114" s="88"/>
      <c r="J114" s="94">
        <f>K111+N111</f>
        <v>1000</v>
      </c>
      <c r="K114" s="348">
        <v>239.99</v>
      </c>
      <c r="L114" s="348"/>
      <c r="M114" s="348"/>
      <c r="N114" s="348">
        <v>0</v>
      </c>
      <c r="O114" s="348"/>
      <c r="P114" s="348"/>
      <c r="Q114" s="88"/>
      <c r="S114" s="94">
        <f>T111+W111</f>
        <v>1000</v>
      </c>
      <c r="T114" s="348">
        <v>199.99</v>
      </c>
      <c r="U114" s="348"/>
      <c r="V114" s="348"/>
      <c r="W114" s="348">
        <v>0</v>
      </c>
      <c r="X114" s="348"/>
      <c r="Y114" s="348"/>
      <c r="Z114" s="88"/>
      <c r="AB114" s="94">
        <f>AC111+AF111</f>
        <v>1000</v>
      </c>
      <c r="AC114" s="348">
        <v>239.99</v>
      </c>
      <c r="AD114" s="348"/>
      <c r="AE114" s="348"/>
      <c r="AF114" s="348">
        <v>0</v>
      </c>
      <c r="AG114" s="348"/>
      <c r="AH114" s="348"/>
      <c r="AI114" s="88"/>
    </row>
    <row r="115" spans="1:35" ht="14.25">
      <c r="A115" s="95"/>
      <c r="B115" s="21"/>
      <c r="C115" s="21"/>
      <c r="D115" s="21"/>
      <c r="E115" s="21"/>
      <c r="F115" s="21"/>
      <c r="G115" s="21"/>
      <c r="H115" s="88"/>
      <c r="J115" s="95"/>
      <c r="K115" s="21"/>
      <c r="L115" s="21"/>
      <c r="M115" s="21"/>
      <c r="N115" s="21"/>
      <c r="O115" s="21"/>
      <c r="P115" s="21"/>
      <c r="Q115" s="88"/>
      <c r="S115" s="95"/>
      <c r="T115" s="21"/>
      <c r="U115" s="21"/>
      <c r="V115" s="21"/>
      <c r="W115" s="21"/>
      <c r="X115" s="21"/>
      <c r="Y115" s="21"/>
      <c r="Z115" s="88"/>
      <c r="AB115" s="95"/>
      <c r="AC115" s="21"/>
      <c r="AD115" s="21"/>
      <c r="AE115" s="21"/>
      <c r="AF115" s="21"/>
      <c r="AG115" s="21"/>
      <c r="AH115" s="21"/>
      <c r="AI115" s="88"/>
    </row>
    <row r="116" spans="1:35" ht="14.25">
      <c r="A116" s="95"/>
      <c r="B116" s="21"/>
      <c r="C116" s="21"/>
      <c r="D116" s="21"/>
      <c r="E116" s="21"/>
      <c r="F116" s="21"/>
      <c r="G116" s="21"/>
      <c r="H116" s="88"/>
      <c r="J116" s="95"/>
      <c r="K116" s="21"/>
      <c r="L116" s="21"/>
      <c r="M116" s="21"/>
      <c r="N116" s="21"/>
      <c r="O116" s="21"/>
      <c r="P116" s="21"/>
      <c r="Q116" s="88"/>
      <c r="S116" s="95"/>
      <c r="T116" s="21"/>
      <c r="U116" s="21"/>
      <c r="V116" s="21"/>
      <c r="W116" s="21"/>
      <c r="X116" s="21"/>
      <c r="Y116" s="21"/>
      <c r="Z116" s="88"/>
      <c r="AB116" s="95"/>
      <c r="AC116" s="21"/>
      <c r="AD116" s="21"/>
      <c r="AE116" s="21"/>
      <c r="AF116" s="21"/>
      <c r="AG116" s="21"/>
      <c r="AH116" s="21"/>
      <c r="AI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35" t="s">
        <v>153</v>
      </c>
      <c r="K117" s="335"/>
      <c r="L117" s="335"/>
      <c r="M117" s="335"/>
      <c r="N117" s="335"/>
      <c r="O117" s="335"/>
      <c r="P117" s="335"/>
      <c r="Q117" s="335"/>
      <c r="S117" s="335" t="s">
        <v>153</v>
      </c>
      <c r="T117" s="335"/>
      <c r="U117" s="335"/>
      <c r="V117" s="335"/>
      <c r="W117" s="335"/>
      <c r="X117" s="335"/>
      <c r="Y117" s="335"/>
      <c r="Z117" s="335"/>
      <c r="AB117" s="335" t="s">
        <v>153</v>
      </c>
      <c r="AC117" s="335"/>
      <c r="AD117" s="335"/>
      <c r="AE117" s="335"/>
      <c r="AF117" s="335"/>
      <c r="AG117" s="335"/>
      <c r="AH117" s="335"/>
      <c r="AI117" s="335"/>
    </row>
    <row r="118" spans="1:35" ht="14.25">
      <c r="A118" s="95"/>
      <c r="B118" s="21"/>
      <c r="C118" s="21"/>
      <c r="D118" s="21"/>
      <c r="E118" s="21"/>
      <c r="F118" s="21"/>
      <c r="G118" s="21"/>
      <c r="H118" s="88"/>
      <c r="J118" s="95"/>
      <c r="K118" s="21"/>
      <c r="L118" s="21"/>
      <c r="M118" s="21"/>
      <c r="N118" s="21"/>
      <c r="O118" s="21"/>
      <c r="P118" s="21"/>
      <c r="Q118" s="88"/>
      <c r="S118" s="95"/>
      <c r="T118" s="21"/>
      <c r="U118" s="21"/>
      <c r="V118" s="21"/>
      <c r="W118" s="21"/>
      <c r="X118" s="21"/>
      <c r="Y118" s="21"/>
      <c r="Z118" s="88"/>
      <c r="AB118" s="95"/>
      <c r="AC118" s="21"/>
      <c r="AD118" s="21"/>
      <c r="AE118" s="21"/>
      <c r="AF118" s="21"/>
      <c r="AG118" s="21"/>
      <c r="AH118" s="21"/>
      <c r="AI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J119" s="66"/>
      <c r="K119" s="351" t="s">
        <v>154</v>
      </c>
      <c r="L119" s="351"/>
      <c r="M119" s="351" t="s">
        <v>155</v>
      </c>
      <c r="N119" s="351"/>
      <c r="O119" s="351" t="s">
        <v>156</v>
      </c>
      <c r="P119" s="351"/>
      <c r="Q119" s="96" t="s">
        <v>157</v>
      </c>
      <c r="S119" s="66"/>
      <c r="T119" s="351" t="s">
        <v>154</v>
      </c>
      <c r="U119" s="351"/>
      <c r="V119" s="351" t="s">
        <v>155</v>
      </c>
      <c r="W119" s="351"/>
      <c r="X119" s="351" t="s">
        <v>156</v>
      </c>
      <c r="Y119" s="351"/>
      <c r="Z119" s="96" t="s">
        <v>157</v>
      </c>
      <c r="AB119" s="66"/>
      <c r="AC119" s="351" t="s">
        <v>154</v>
      </c>
      <c r="AD119" s="351"/>
      <c r="AE119" s="351" t="s">
        <v>155</v>
      </c>
      <c r="AF119" s="351"/>
      <c r="AG119" s="351" t="s">
        <v>156</v>
      </c>
      <c r="AH119" s="351"/>
      <c r="AI119" s="96" t="s">
        <v>157</v>
      </c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  <c r="J120" s="68"/>
      <c r="K120" s="97" t="s">
        <v>158</v>
      </c>
      <c r="L120" s="98" t="s">
        <v>159</v>
      </c>
      <c r="M120" s="97" t="s">
        <v>158</v>
      </c>
      <c r="N120" s="99" t="s">
        <v>159</v>
      </c>
      <c r="O120" s="97" t="s">
        <v>158</v>
      </c>
      <c r="P120" s="99" t="s">
        <v>159</v>
      </c>
      <c r="Q120" s="100"/>
      <c r="S120" s="68"/>
      <c r="T120" s="97" t="s">
        <v>158</v>
      </c>
      <c r="U120" s="98" t="s">
        <v>159</v>
      </c>
      <c r="V120" s="97" t="s">
        <v>158</v>
      </c>
      <c r="W120" s="99" t="s">
        <v>159</v>
      </c>
      <c r="X120" s="97" t="s">
        <v>158</v>
      </c>
      <c r="Y120" s="99" t="s">
        <v>159</v>
      </c>
      <c r="Z120" s="100"/>
      <c r="AB120" s="68"/>
      <c r="AC120" s="97" t="s">
        <v>158</v>
      </c>
      <c r="AD120" s="98" t="s">
        <v>159</v>
      </c>
      <c r="AE120" s="97" t="s">
        <v>158</v>
      </c>
      <c r="AF120" s="99" t="s">
        <v>159</v>
      </c>
      <c r="AG120" s="97" t="s">
        <v>158</v>
      </c>
      <c r="AH120" s="99" t="s">
        <v>159</v>
      </c>
      <c r="AI120" s="100"/>
    </row>
    <row r="121" spans="1:35">
      <c r="A121" s="22" t="s">
        <v>160</v>
      </c>
      <c r="B121" s="22">
        <f>B3</f>
        <v>56579.17</v>
      </c>
      <c r="C121" s="36">
        <f>B121</f>
        <v>56579.17</v>
      </c>
      <c r="D121" s="22">
        <f>D3</f>
        <v>0</v>
      </c>
      <c r="E121" s="36">
        <f>D121</f>
        <v>0</v>
      </c>
      <c r="F121" s="22">
        <f>F3</f>
        <v>833.33</v>
      </c>
      <c r="G121" s="36">
        <f>F121</f>
        <v>833.33</v>
      </c>
      <c r="H121" s="101">
        <f>H3</f>
        <v>0</v>
      </c>
      <c r="J121" s="22" t="s">
        <v>160</v>
      </c>
      <c r="K121" s="22">
        <f>B3</f>
        <v>56579.17</v>
      </c>
      <c r="L121" s="36">
        <v>28629.17</v>
      </c>
      <c r="M121" s="22">
        <f>D3</f>
        <v>0</v>
      </c>
      <c r="N121" s="36">
        <f>M121</f>
        <v>0</v>
      </c>
      <c r="O121" s="22">
        <f>F3</f>
        <v>833.33</v>
      </c>
      <c r="P121" s="36">
        <f>O121</f>
        <v>833.33</v>
      </c>
      <c r="Q121" s="101">
        <f>H3</f>
        <v>0</v>
      </c>
      <c r="S121" s="22" t="s">
        <v>160</v>
      </c>
      <c r="T121" s="22">
        <f>B3</f>
        <v>56579.17</v>
      </c>
      <c r="U121" s="36">
        <f>T121</f>
        <v>56579.17</v>
      </c>
      <c r="V121" s="22">
        <f>D3</f>
        <v>0</v>
      </c>
      <c r="W121" s="36">
        <f>V121</f>
        <v>0</v>
      </c>
      <c r="X121" s="22">
        <f>F3</f>
        <v>833.33</v>
      </c>
      <c r="Y121" s="36">
        <f>X121</f>
        <v>833.33</v>
      </c>
      <c r="Z121" s="101">
        <f>H3</f>
        <v>0</v>
      </c>
      <c r="AB121" s="22" t="s">
        <v>160</v>
      </c>
      <c r="AC121" s="22">
        <f>B3</f>
        <v>56579.17</v>
      </c>
      <c r="AD121" s="36">
        <f>AC121</f>
        <v>56579.17</v>
      </c>
      <c r="AE121" s="22">
        <f>D3</f>
        <v>0</v>
      </c>
      <c r="AF121" s="36">
        <f>AE121</f>
        <v>0</v>
      </c>
      <c r="AG121" s="22">
        <f>F3</f>
        <v>833.33</v>
      </c>
      <c r="AH121" s="36">
        <f>AG121</f>
        <v>833.33</v>
      </c>
      <c r="AI121" s="101">
        <f>H3</f>
        <v>0</v>
      </c>
    </row>
    <row r="122" spans="1:35">
      <c r="A122" s="27" t="s">
        <v>161</v>
      </c>
      <c r="B122" s="102">
        <f>B4</f>
        <v>2</v>
      </c>
      <c r="C122" s="103">
        <v>1</v>
      </c>
      <c r="D122" s="102">
        <f>D4</f>
        <v>0</v>
      </c>
      <c r="E122" s="103">
        <v>0</v>
      </c>
      <c r="F122" s="102">
        <f>F4</f>
        <v>2</v>
      </c>
      <c r="G122" s="296">
        <v>1</v>
      </c>
      <c r="H122" s="105"/>
      <c r="J122" s="27" t="s">
        <v>161</v>
      </c>
      <c r="K122" s="102">
        <f>B4</f>
        <v>2</v>
      </c>
      <c r="L122" s="103">
        <v>0</v>
      </c>
      <c r="M122" s="102">
        <f>D4</f>
        <v>0</v>
      </c>
      <c r="N122" s="103">
        <f>M122</f>
        <v>0</v>
      </c>
      <c r="O122" s="102">
        <f>F4</f>
        <v>2</v>
      </c>
      <c r="P122" s="296">
        <f>O122</f>
        <v>2</v>
      </c>
      <c r="Q122" s="105"/>
      <c r="S122" s="27" t="s">
        <v>161</v>
      </c>
      <c r="T122" s="102">
        <f>B4</f>
        <v>2</v>
      </c>
      <c r="U122" s="103">
        <v>0.25</v>
      </c>
      <c r="V122" s="102">
        <f>D4</f>
        <v>0</v>
      </c>
      <c r="W122" s="103">
        <f>V122</f>
        <v>0</v>
      </c>
      <c r="X122" s="102">
        <f>F4</f>
        <v>2</v>
      </c>
      <c r="Y122" s="296">
        <f>X122</f>
        <v>2</v>
      </c>
      <c r="Z122" s="105"/>
      <c r="AB122" s="27" t="s">
        <v>161</v>
      </c>
      <c r="AC122" s="102">
        <f>B4</f>
        <v>2</v>
      </c>
      <c r="AD122" s="103">
        <v>0.25</v>
      </c>
      <c r="AE122" s="102">
        <f>D4</f>
        <v>0</v>
      </c>
      <c r="AF122" s="103">
        <f>AE122</f>
        <v>0</v>
      </c>
      <c r="AG122" s="102">
        <f>F4</f>
        <v>2</v>
      </c>
      <c r="AH122" s="296">
        <f>AG122</f>
        <v>2</v>
      </c>
      <c r="AI122" s="105"/>
    </row>
    <row r="123" spans="1:35">
      <c r="A123" s="27" t="s">
        <v>162</v>
      </c>
      <c r="B123" s="27">
        <f>B5</f>
        <v>0</v>
      </c>
      <c r="C123" s="36">
        <v>-10825.39</v>
      </c>
      <c r="D123" s="27">
        <f>D5</f>
        <v>0</v>
      </c>
      <c r="E123" s="36">
        <v>0</v>
      </c>
      <c r="F123" s="27">
        <f>F5</f>
        <v>0</v>
      </c>
      <c r="G123" s="36">
        <v>0</v>
      </c>
      <c r="H123" s="29"/>
      <c r="J123" s="27" t="s">
        <v>162</v>
      </c>
      <c r="K123" s="27">
        <f>B5</f>
        <v>0</v>
      </c>
      <c r="L123" s="36">
        <v>0</v>
      </c>
      <c r="M123" s="27">
        <f>D5</f>
        <v>0</v>
      </c>
      <c r="N123" s="36">
        <f>M123</f>
        <v>0</v>
      </c>
      <c r="O123" s="27">
        <f>F5</f>
        <v>0</v>
      </c>
      <c r="P123" s="36">
        <f>O123</f>
        <v>0</v>
      </c>
      <c r="Q123" s="29"/>
      <c r="S123" s="27" t="s">
        <v>162</v>
      </c>
      <c r="T123" s="27">
        <f>B5</f>
        <v>0</v>
      </c>
      <c r="U123" s="36">
        <v>0</v>
      </c>
      <c r="V123" s="27">
        <f>D5</f>
        <v>0</v>
      </c>
      <c r="W123" s="36">
        <f>V123</f>
        <v>0</v>
      </c>
      <c r="X123" s="27">
        <f>F5</f>
        <v>0</v>
      </c>
      <c r="Y123" s="36">
        <f>X123</f>
        <v>0</v>
      </c>
      <c r="Z123" s="29"/>
      <c r="AB123" s="27" t="s">
        <v>162</v>
      </c>
      <c r="AC123" s="27">
        <f>B5</f>
        <v>0</v>
      </c>
      <c r="AD123" s="36">
        <v>0</v>
      </c>
      <c r="AE123" s="27">
        <f>D5</f>
        <v>0</v>
      </c>
      <c r="AF123" s="36">
        <f>AE123</f>
        <v>0</v>
      </c>
      <c r="AG123" s="27">
        <f>F5</f>
        <v>0</v>
      </c>
      <c r="AH123" s="36">
        <f>AG123</f>
        <v>0</v>
      </c>
      <c r="AI123" s="29"/>
    </row>
    <row r="124" spans="1:35">
      <c r="A124" s="27" t="s">
        <v>163</v>
      </c>
      <c r="B124" s="27">
        <f>(B121*B122)+B123</f>
        <v>113158.34</v>
      </c>
      <c r="C124" s="24">
        <f>(C121*C122/100)+C123</f>
        <v>-10259.5983</v>
      </c>
      <c r="D124" s="27">
        <f>(D121*D122)+D123</f>
        <v>0</v>
      </c>
      <c r="E124" s="24">
        <f>(E121*E122/100)+E123</f>
        <v>0</v>
      </c>
      <c r="F124" s="27">
        <f>(F121*F122)+F123</f>
        <v>1666.66</v>
      </c>
      <c r="G124" s="24">
        <f>(G121*G122/100)+G123</f>
        <v>8.3333000000000013</v>
      </c>
      <c r="H124" s="29"/>
      <c r="J124" s="27" t="s">
        <v>163</v>
      </c>
      <c r="K124" s="27">
        <f t="shared" ref="K124:P124" si="0">(K121*K122)+K123</f>
        <v>113158.34</v>
      </c>
      <c r="L124" s="24">
        <f t="shared" si="0"/>
        <v>0</v>
      </c>
      <c r="M124" s="27">
        <f t="shared" si="0"/>
        <v>0</v>
      </c>
      <c r="N124" s="24">
        <f t="shared" si="0"/>
        <v>0</v>
      </c>
      <c r="O124" s="27">
        <f t="shared" si="0"/>
        <v>1666.66</v>
      </c>
      <c r="P124" s="24">
        <f t="shared" si="0"/>
        <v>1666.66</v>
      </c>
      <c r="Q124" s="29"/>
      <c r="S124" s="27" t="s">
        <v>163</v>
      </c>
      <c r="T124" s="27">
        <f t="shared" ref="T124:Y124" si="1">(T121*T122)+T123</f>
        <v>113158.34</v>
      </c>
      <c r="U124" s="24">
        <f t="shared" si="1"/>
        <v>14144.7925</v>
      </c>
      <c r="V124" s="27">
        <f t="shared" si="1"/>
        <v>0</v>
      </c>
      <c r="W124" s="24">
        <f t="shared" si="1"/>
        <v>0</v>
      </c>
      <c r="X124" s="27">
        <f t="shared" si="1"/>
        <v>1666.66</v>
      </c>
      <c r="Y124" s="24">
        <f t="shared" si="1"/>
        <v>1666.66</v>
      </c>
      <c r="Z124" s="29"/>
      <c r="AB124" s="27" t="s">
        <v>163</v>
      </c>
      <c r="AC124" s="27">
        <f t="shared" ref="AC124:AH124" si="2">(AC121*AC122)+AC123</f>
        <v>113158.34</v>
      </c>
      <c r="AD124" s="24">
        <f t="shared" si="2"/>
        <v>14144.7925</v>
      </c>
      <c r="AE124" s="27">
        <f t="shared" si="2"/>
        <v>0</v>
      </c>
      <c r="AF124" s="24">
        <f t="shared" si="2"/>
        <v>0</v>
      </c>
      <c r="AG124" s="27">
        <f t="shared" si="2"/>
        <v>1666.66</v>
      </c>
      <c r="AH124" s="24">
        <f t="shared" si="2"/>
        <v>1666.66</v>
      </c>
      <c r="AI124" s="29"/>
    </row>
    <row r="125" spans="1:35">
      <c r="A125" s="49" t="s">
        <v>164</v>
      </c>
      <c r="B125" s="49">
        <f t="shared" ref="B125:G125" si="3">B121-B124</f>
        <v>-56579.17</v>
      </c>
      <c r="C125" s="57">
        <f t="shared" si="3"/>
        <v>66838.768299999996</v>
      </c>
      <c r="D125" s="49">
        <f t="shared" si="3"/>
        <v>0</v>
      </c>
      <c r="E125" s="57">
        <f t="shared" si="3"/>
        <v>0</v>
      </c>
      <c r="F125" s="49">
        <f t="shared" si="3"/>
        <v>-833.33</v>
      </c>
      <c r="G125" s="57">
        <f t="shared" si="3"/>
        <v>824.99670000000003</v>
      </c>
      <c r="H125" s="57"/>
      <c r="J125" s="49" t="s">
        <v>164</v>
      </c>
      <c r="K125" s="49">
        <f t="shared" ref="K125:P125" si="4">K121-K124</f>
        <v>-56579.17</v>
      </c>
      <c r="L125" s="57">
        <f t="shared" si="4"/>
        <v>28629.17</v>
      </c>
      <c r="M125" s="49">
        <f t="shared" si="4"/>
        <v>0</v>
      </c>
      <c r="N125" s="57">
        <f t="shared" si="4"/>
        <v>0</v>
      </c>
      <c r="O125" s="49">
        <f t="shared" si="4"/>
        <v>-833.33</v>
      </c>
      <c r="P125" s="57">
        <f t="shared" si="4"/>
        <v>-833.33</v>
      </c>
      <c r="Q125" s="57"/>
      <c r="S125" s="49" t="s">
        <v>164</v>
      </c>
      <c r="T125" s="49">
        <f t="shared" ref="T125:Y125" si="5">T121-T124</f>
        <v>-56579.17</v>
      </c>
      <c r="U125" s="57">
        <f t="shared" si="5"/>
        <v>42434.377500000002</v>
      </c>
      <c r="V125" s="49">
        <f t="shared" si="5"/>
        <v>0</v>
      </c>
      <c r="W125" s="57">
        <f t="shared" si="5"/>
        <v>0</v>
      </c>
      <c r="X125" s="49">
        <f t="shared" si="5"/>
        <v>-833.33</v>
      </c>
      <c r="Y125" s="57">
        <f t="shared" si="5"/>
        <v>-833.33</v>
      </c>
      <c r="Z125" s="57"/>
      <c r="AB125" s="49" t="s">
        <v>164</v>
      </c>
      <c r="AC125" s="49">
        <f t="shared" ref="AC125:AH125" si="6">AC121-AC124</f>
        <v>-56579.17</v>
      </c>
      <c r="AD125" s="57">
        <f t="shared" si="6"/>
        <v>42434.377500000002</v>
      </c>
      <c r="AE125" s="49">
        <f t="shared" si="6"/>
        <v>0</v>
      </c>
      <c r="AF125" s="57">
        <f t="shared" si="6"/>
        <v>0</v>
      </c>
      <c r="AG125" s="49">
        <f t="shared" si="6"/>
        <v>-833.33</v>
      </c>
      <c r="AH125" s="57">
        <f t="shared" si="6"/>
        <v>-833.33</v>
      </c>
      <c r="AI125" s="57"/>
    </row>
    <row r="126" spans="1:35">
      <c r="A126" s="27"/>
      <c r="B126" s="28"/>
      <c r="C126" s="28"/>
      <c r="D126" s="28"/>
      <c r="E126" s="28"/>
      <c r="F126" s="28"/>
      <c r="G126" s="28"/>
      <c r="H126" s="29"/>
      <c r="J126" s="27"/>
      <c r="K126" s="28"/>
      <c r="L126" s="28"/>
      <c r="M126" s="28"/>
      <c r="N126" s="28"/>
      <c r="O126" s="28"/>
      <c r="P126" s="28"/>
      <c r="Q126" s="29"/>
      <c r="S126" s="27"/>
      <c r="T126" s="28"/>
      <c r="U126" s="28"/>
      <c r="V126" s="28"/>
      <c r="W126" s="28"/>
      <c r="X126" s="28"/>
      <c r="Y126" s="28"/>
      <c r="Z126" s="29"/>
      <c r="AB126" s="27"/>
      <c r="AC126" s="28"/>
      <c r="AD126" s="28"/>
      <c r="AE126" s="28"/>
      <c r="AF126" s="28"/>
      <c r="AG126" s="28"/>
      <c r="AH126" s="28"/>
      <c r="AI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  <c r="J127" s="107"/>
      <c r="K127" s="108"/>
      <c r="L127" s="108"/>
      <c r="M127" s="108"/>
      <c r="N127" s="108"/>
      <c r="O127" s="108"/>
      <c r="P127" s="109" t="s">
        <v>158</v>
      </c>
      <c r="Q127" s="110" t="s">
        <v>159</v>
      </c>
      <c r="S127" s="107"/>
      <c r="T127" s="108"/>
      <c r="U127" s="108"/>
      <c r="V127" s="108"/>
      <c r="W127" s="108"/>
      <c r="X127" s="108"/>
      <c r="Y127" s="109" t="s">
        <v>158</v>
      </c>
      <c r="Z127" s="110" t="s">
        <v>159</v>
      </c>
      <c r="AB127" s="107"/>
      <c r="AC127" s="108"/>
      <c r="AD127" s="108"/>
      <c r="AE127" s="108"/>
      <c r="AF127" s="108"/>
      <c r="AG127" s="108"/>
      <c r="AH127" s="109" t="s">
        <v>158</v>
      </c>
      <c r="AI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  <c r="J128" s="111" t="s">
        <v>165</v>
      </c>
      <c r="K128" s="112"/>
      <c r="L128" s="112"/>
      <c r="M128" s="112"/>
      <c r="N128" s="112"/>
      <c r="O128" s="112"/>
      <c r="P128" s="113">
        <f>Q121</f>
        <v>0</v>
      </c>
      <c r="Q128" s="114">
        <f>SUM(Q131:Q133)</f>
        <v>0</v>
      </c>
      <c r="S128" s="111" t="s">
        <v>165</v>
      </c>
      <c r="T128" s="112"/>
      <c r="U128" s="112"/>
      <c r="V128" s="112"/>
      <c r="W128" s="112"/>
      <c r="X128" s="112"/>
      <c r="Y128" s="113">
        <f>Z121</f>
        <v>0</v>
      </c>
      <c r="Z128" s="114">
        <f>SUM(Z131:Z133)</f>
        <v>0</v>
      </c>
      <c r="AB128" s="111" t="s">
        <v>165</v>
      </c>
      <c r="AC128" s="112"/>
      <c r="AD128" s="112"/>
      <c r="AE128" s="112"/>
      <c r="AF128" s="112"/>
      <c r="AG128" s="112"/>
      <c r="AH128" s="113">
        <f>AI121</f>
        <v>0</v>
      </c>
      <c r="AI128" s="114">
        <f>SUM(AI131:AI133)</f>
        <v>0</v>
      </c>
    </row>
    <row r="129" spans="1:35">
      <c r="A129" s="27"/>
      <c r="B129" s="28"/>
      <c r="C129" s="28"/>
      <c r="D129" s="28"/>
      <c r="E129" s="28"/>
      <c r="F129" s="28"/>
      <c r="G129" s="115"/>
      <c r="H129" s="116"/>
      <c r="J129" s="27"/>
      <c r="K129" s="28"/>
      <c r="L129" s="28"/>
      <c r="M129" s="28"/>
      <c r="N129" s="28"/>
      <c r="O129" s="28"/>
      <c r="P129" s="115"/>
      <c r="Q129" s="116"/>
      <c r="S129" s="27"/>
      <c r="T129" s="28"/>
      <c r="U129" s="28"/>
      <c r="V129" s="28"/>
      <c r="W129" s="28"/>
      <c r="X129" s="28"/>
      <c r="Y129" s="115"/>
      <c r="Z129" s="116"/>
      <c r="AB129" s="27"/>
      <c r="AC129" s="28"/>
      <c r="AD129" s="28"/>
      <c r="AE129" s="28"/>
      <c r="AF129" s="28"/>
      <c r="AG129" s="28"/>
      <c r="AH129" s="115"/>
      <c r="AI129" s="116"/>
    </row>
    <row r="130" spans="1:35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J130" s="117" t="s">
        <v>166</v>
      </c>
      <c r="K130" s="352" t="s">
        <v>167</v>
      </c>
      <c r="L130" s="352"/>
      <c r="M130" s="352" t="s">
        <v>168</v>
      </c>
      <c r="N130" s="352"/>
      <c r="O130" s="352" t="s">
        <v>162</v>
      </c>
      <c r="P130" s="352"/>
      <c r="Q130" s="116" t="s">
        <v>159</v>
      </c>
      <c r="S130" s="117" t="s">
        <v>166</v>
      </c>
      <c r="T130" s="352" t="s">
        <v>167</v>
      </c>
      <c r="U130" s="352"/>
      <c r="V130" s="352" t="s">
        <v>168</v>
      </c>
      <c r="W130" s="352"/>
      <c r="X130" s="352" t="s">
        <v>162</v>
      </c>
      <c r="Y130" s="352"/>
      <c r="Z130" s="116" t="s">
        <v>159</v>
      </c>
      <c r="AB130" s="117" t="s">
        <v>166</v>
      </c>
      <c r="AC130" s="352" t="s">
        <v>167</v>
      </c>
      <c r="AD130" s="352"/>
      <c r="AE130" s="352" t="s">
        <v>168</v>
      </c>
      <c r="AF130" s="352"/>
      <c r="AG130" s="352" t="s">
        <v>162</v>
      </c>
      <c r="AH130" s="352"/>
      <c r="AI130" s="116" t="s">
        <v>159</v>
      </c>
    </row>
    <row r="131" spans="1:35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J131" s="27" t="s">
        <v>169</v>
      </c>
      <c r="K131" s="354">
        <f>P128</f>
        <v>0</v>
      </c>
      <c r="L131" s="354"/>
      <c r="M131" s="355">
        <v>0</v>
      </c>
      <c r="N131" s="355"/>
      <c r="O131" s="354">
        <v>0</v>
      </c>
      <c r="P131" s="354"/>
      <c r="Q131" s="119">
        <f>(K131-(K131*M131))-O131</f>
        <v>0</v>
      </c>
      <c r="S131" s="27" t="s">
        <v>169</v>
      </c>
      <c r="T131" s="354">
        <f>Y128</f>
        <v>0</v>
      </c>
      <c r="U131" s="354"/>
      <c r="V131" s="355">
        <v>0</v>
      </c>
      <c r="W131" s="355"/>
      <c r="X131" s="354">
        <v>0</v>
      </c>
      <c r="Y131" s="354"/>
      <c r="Z131" s="119">
        <f>(T131-(T131*V131))-X131</f>
        <v>0</v>
      </c>
      <c r="AB131" s="27" t="s">
        <v>169</v>
      </c>
      <c r="AC131" s="354">
        <f>AH128</f>
        <v>0</v>
      </c>
      <c r="AD131" s="354"/>
      <c r="AE131" s="355">
        <v>0</v>
      </c>
      <c r="AF131" s="355"/>
      <c r="AG131" s="354">
        <v>0</v>
      </c>
      <c r="AH131" s="354"/>
      <c r="AI131" s="119">
        <f>(AC131-(AC131*AE131))-AG131</f>
        <v>0</v>
      </c>
    </row>
    <row r="132" spans="1:35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J132" s="27" t="s">
        <v>170</v>
      </c>
      <c r="K132" s="354">
        <v>0</v>
      </c>
      <c r="L132" s="354"/>
      <c r="M132" s="355">
        <v>0</v>
      </c>
      <c r="N132" s="355"/>
      <c r="O132" s="354">
        <v>0</v>
      </c>
      <c r="P132" s="354"/>
      <c r="Q132" s="119">
        <f>(K132-(K132*M132))-O132</f>
        <v>0</v>
      </c>
      <c r="S132" s="27" t="s">
        <v>170</v>
      </c>
      <c r="T132" s="354">
        <v>0</v>
      </c>
      <c r="U132" s="354"/>
      <c r="V132" s="355">
        <v>0</v>
      </c>
      <c r="W132" s="355"/>
      <c r="X132" s="354">
        <v>0</v>
      </c>
      <c r="Y132" s="354"/>
      <c r="Z132" s="119">
        <f>(T132-(T132*V132))-X132</f>
        <v>0</v>
      </c>
      <c r="AB132" s="27" t="s">
        <v>170</v>
      </c>
      <c r="AC132" s="354">
        <v>0</v>
      </c>
      <c r="AD132" s="354"/>
      <c r="AE132" s="355">
        <v>0</v>
      </c>
      <c r="AF132" s="355"/>
      <c r="AG132" s="354">
        <v>0</v>
      </c>
      <c r="AH132" s="354"/>
      <c r="AI132" s="119">
        <f>(AC132-(AC132*AE132))-AG132</f>
        <v>0</v>
      </c>
    </row>
    <row r="133" spans="1:35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J133" s="27" t="s">
        <v>171</v>
      </c>
      <c r="K133" s="354">
        <v>0</v>
      </c>
      <c r="L133" s="354"/>
      <c r="M133" s="355">
        <v>0</v>
      </c>
      <c r="N133" s="355"/>
      <c r="O133" s="354">
        <v>0</v>
      </c>
      <c r="P133" s="354"/>
      <c r="Q133" s="119">
        <f>(K133-(K133*M133))-O133</f>
        <v>0</v>
      </c>
      <c r="S133" s="27" t="s">
        <v>171</v>
      </c>
      <c r="T133" s="354">
        <v>0</v>
      </c>
      <c r="U133" s="354"/>
      <c r="V133" s="355">
        <v>0</v>
      </c>
      <c r="W133" s="355"/>
      <c r="X133" s="354">
        <v>0</v>
      </c>
      <c r="Y133" s="354"/>
      <c r="Z133" s="119">
        <f>(T133-(T133*V133))-X133</f>
        <v>0</v>
      </c>
      <c r="AB133" s="27" t="s">
        <v>171</v>
      </c>
      <c r="AC133" s="354">
        <v>0</v>
      </c>
      <c r="AD133" s="354"/>
      <c r="AE133" s="355">
        <v>0</v>
      </c>
      <c r="AF133" s="355"/>
      <c r="AG133" s="354">
        <v>0</v>
      </c>
      <c r="AH133" s="354"/>
      <c r="AI133" s="119">
        <f>(AC133-(AC133*AE133))-AG133</f>
        <v>0</v>
      </c>
    </row>
    <row r="134" spans="1:35">
      <c r="A134" s="27"/>
      <c r="B134" s="28"/>
      <c r="C134" s="28"/>
      <c r="D134" s="28"/>
      <c r="E134" s="28"/>
      <c r="F134" s="28"/>
      <c r="G134" s="115"/>
      <c r="H134" s="116"/>
      <c r="J134" s="27"/>
      <c r="K134" s="28"/>
      <c r="L134" s="28"/>
      <c r="M134" s="28"/>
      <c r="N134" s="28"/>
      <c r="O134" s="28"/>
      <c r="P134" s="115"/>
      <c r="Q134" s="116"/>
      <c r="S134" s="27"/>
      <c r="T134" s="28"/>
      <c r="U134" s="28"/>
      <c r="V134" s="28"/>
      <c r="W134" s="28"/>
      <c r="X134" s="28"/>
      <c r="Y134" s="115"/>
      <c r="Z134" s="116"/>
      <c r="AB134" s="27"/>
      <c r="AC134" s="28"/>
      <c r="AD134" s="28"/>
      <c r="AE134" s="28"/>
      <c r="AF134" s="28"/>
      <c r="AG134" s="28"/>
      <c r="AH134" s="115"/>
      <c r="AI134" s="116"/>
    </row>
    <row r="135" spans="1:35" ht="21">
      <c r="A135" s="356" t="s">
        <v>172</v>
      </c>
      <c r="B135" s="356"/>
      <c r="C135" s="356"/>
      <c r="D135" s="356"/>
      <c r="E135" s="356"/>
      <c r="F135" s="356"/>
      <c r="G135" s="109">
        <f t="shared" ref="G135:G142" si="7">H9</f>
        <v>56264.249999999993</v>
      </c>
      <c r="H135" s="120">
        <f>C125+E125+G125+H128</f>
        <v>67663.764999999999</v>
      </c>
      <c r="J135" s="356" t="s">
        <v>172</v>
      </c>
      <c r="K135" s="356"/>
      <c r="L135" s="356"/>
      <c r="M135" s="356"/>
      <c r="N135" s="356"/>
      <c r="O135" s="356"/>
      <c r="P135" s="109">
        <f t="shared" ref="P135:P142" si="8">H9</f>
        <v>56264.249999999993</v>
      </c>
      <c r="Q135" s="120">
        <f>L125+N125+P125+Q128</f>
        <v>27795.839999999997</v>
      </c>
      <c r="S135" s="356" t="s">
        <v>172</v>
      </c>
      <c r="T135" s="356"/>
      <c r="U135" s="356"/>
      <c r="V135" s="356"/>
      <c r="W135" s="356"/>
      <c r="X135" s="356"/>
      <c r="Y135" s="109">
        <f t="shared" ref="Y135:Y142" si="9">H9</f>
        <v>56264.249999999993</v>
      </c>
      <c r="Z135" s="120">
        <f>U125+W125+Y125+Z128</f>
        <v>41601.047500000001</v>
      </c>
      <c r="AB135" s="356" t="s">
        <v>172</v>
      </c>
      <c r="AC135" s="356"/>
      <c r="AD135" s="356"/>
      <c r="AE135" s="356"/>
      <c r="AF135" s="356"/>
      <c r="AG135" s="356"/>
      <c r="AH135" s="109">
        <f t="shared" ref="AH135:AH142" si="10">H9</f>
        <v>56264.249999999993</v>
      </c>
      <c r="AI135" s="120">
        <f>AD125+AF125+AH125+AI128</f>
        <v>41601.047500000001</v>
      </c>
    </row>
    <row r="136" spans="1:35">
      <c r="A136" s="357" t="s">
        <v>173</v>
      </c>
      <c r="B136" s="357"/>
      <c r="C136" s="357"/>
      <c r="D136" s="357"/>
      <c r="E136" s="357"/>
      <c r="F136" s="357"/>
      <c r="G136" s="121">
        <f t="shared" si="7"/>
        <v>150</v>
      </c>
      <c r="H136" s="29">
        <f>G136</f>
        <v>150</v>
      </c>
      <c r="J136" s="357" t="s">
        <v>173</v>
      </c>
      <c r="K136" s="357"/>
      <c r="L136" s="357"/>
      <c r="M136" s="357"/>
      <c r="N136" s="357"/>
      <c r="O136" s="357"/>
      <c r="P136" s="121">
        <f t="shared" si="8"/>
        <v>150</v>
      </c>
      <c r="Q136" s="29">
        <f>P136</f>
        <v>150</v>
      </c>
      <c r="S136" s="357" t="s">
        <v>173</v>
      </c>
      <c r="T136" s="357"/>
      <c r="U136" s="357"/>
      <c r="V136" s="357"/>
      <c r="W136" s="357"/>
      <c r="X136" s="357"/>
      <c r="Y136" s="121">
        <f t="shared" si="9"/>
        <v>150</v>
      </c>
      <c r="Z136" s="29">
        <f>Y136</f>
        <v>150</v>
      </c>
      <c r="AB136" s="357" t="s">
        <v>173</v>
      </c>
      <c r="AC136" s="357"/>
      <c r="AD136" s="357"/>
      <c r="AE136" s="357"/>
      <c r="AF136" s="357"/>
      <c r="AG136" s="357"/>
      <c r="AH136" s="121">
        <f t="shared" si="10"/>
        <v>150</v>
      </c>
      <c r="AI136" s="29">
        <f>AH136</f>
        <v>150</v>
      </c>
    </row>
    <row r="137" spans="1:35">
      <c r="A137" s="357" t="s">
        <v>174</v>
      </c>
      <c r="B137" s="357"/>
      <c r="C137" s="357"/>
      <c r="D137" s="357"/>
      <c r="E137" s="357"/>
      <c r="F137" s="357"/>
      <c r="G137" s="121">
        <f t="shared" si="7"/>
        <v>11282.849999999999</v>
      </c>
      <c r="H137" s="29">
        <f>(H135+H136)*20%</f>
        <v>13562.753000000001</v>
      </c>
      <c r="J137" s="357" t="s">
        <v>174</v>
      </c>
      <c r="K137" s="357"/>
      <c r="L137" s="357"/>
      <c r="M137" s="357"/>
      <c r="N137" s="357"/>
      <c r="O137" s="357"/>
      <c r="P137" s="121">
        <f t="shared" si="8"/>
        <v>11282.849999999999</v>
      </c>
      <c r="Q137" s="29">
        <f>(Q135+Q136)*20%</f>
        <v>5589.1679999999997</v>
      </c>
      <c r="S137" s="357" t="s">
        <v>174</v>
      </c>
      <c r="T137" s="357"/>
      <c r="U137" s="357"/>
      <c r="V137" s="357"/>
      <c r="W137" s="357"/>
      <c r="X137" s="357"/>
      <c r="Y137" s="121">
        <f t="shared" si="9"/>
        <v>11282.849999999999</v>
      </c>
      <c r="Z137" s="29">
        <f>(Z135+Z136)*20%</f>
        <v>8350.2095000000008</v>
      </c>
      <c r="AB137" s="357" t="s">
        <v>174</v>
      </c>
      <c r="AC137" s="357"/>
      <c r="AD137" s="357"/>
      <c r="AE137" s="357"/>
      <c r="AF137" s="357"/>
      <c r="AG137" s="357"/>
      <c r="AH137" s="121">
        <f t="shared" si="10"/>
        <v>11282.849999999999</v>
      </c>
      <c r="AI137" s="29">
        <f>(AI135+AI136)*20%</f>
        <v>8350.2095000000008</v>
      </c>
    </row>
    <row r="138" spans="1:35">
      <c r="A138" s="357" t="s">
        <v>175</v>
      </c>
      <c r="B138" s="357"/>
      <c r="C138" s="357"/>
      <c r="D138" s="357"/>
      <c r="E138" s="357"/>
      <c r="F138" s="357"/>
      <c r="G138" s="121">
        <f t="shared" si="7"/>
        <v>0</v>
      </c>
      <c r="H138" s="29">
        <v>0</v>
      </c>
      <c r="J138" s="357" t="s">
        <v>175</v>
      </c>
      <c r="K138" s="357"/>
      <c r="L138" s="357"/>
      <c r="M138" s="357"/>
      <c r="N138" s="357"/>
      <c r="O138" s="357"/>
      <c r="P138" s="121">
        <f t="shared" si="8"/>
        <v>0</v>
      </c>
      <c r="Q138" s="29">
        <f>P138</f>
        <v>0</v>
      </c>
      <c r="S138" s="357" t="s">
        <v>175</v>
      </c>
      <c r="T138" s="357"/>
      <c r="U138" s="357"/>
      <c r="V138" s="357"/>
      <c r="W138" s="357"/>
      <c r="X138" s="357"/>
      <c r="Y138" s="121">
        <f t="shared" si="9"/>
        <v>0</v>
      </c>
      <c r="Z138" s="29">
        <f>Y138</f>
        <v>0</v>
      </c>
      <c r="AB138" s="357" t="s">
        <v>175</v>
      </c>
      <c r="AC138" s="357"/>
      <c r="AD138" s="357"/>
      <c r="AE138" s="357"/>
      <c r="AF138" s="357"/>
      <c r="AG138" s="357"/>
      <c r="AH138" s="121">
        <f t="shared" si="10"/>
        <v>0</v>
      </c>
      <c r="AI138" s="29">
        <f>AH138</f>
        <v>0</v>
      </c>
    </row>
    <row r="139" spans="1:35">
      <c r="A139" s="357" t="s">
        <v>176</v>
      </c>
      <c r="B139" s="357"/>
      <c r="C139" s="357"/>
      <c r="D139" s="357"/>
      <c r="E139" s="357"/>
      <c r="F139" s="357"/>
      <c r="G139" s="121">
        <f t="shared" si="7"/>
        <v>645</v>
      </c>
      <c r="H139" s="29">
        <f>G139</f>
        <v>645</v>
      </c>
      <c r="J139" s="357" t="s">
        <v>176</v>
      </c>
      <c r="K139" s="357"/>
      <c r="L139" s="357"/>
      <c r="M139" s="357"/>
      <c r="N139" s="357"/>
      <c r="O139" s="357"/>
      <c r="P139" s="121">
        <f t="shared" si="8"/>
        <v>645</v>
      </c>
      <c r="Q139" s="29">
        <f>P139</f>
        <v>645</v>
      </c>
      <c r="S139" s="357" t="s">
        <v>176</v>
      </c>
      <c r="T139" s="357"/>
      <c r="U139" s="357"/>
      <c r="V139" s="357"/>
      <c r="W139" s="357"/>
      <c r="X139" s="357"/>
      <c r="Y139" s="121">
        <f t="shared" si="9"/>
        <v>645</v>
      </c>
      <c r="Z139" s="29">
        <f>Y139</f>
        <v>645</v>
      </c>
      <c r="AB139" s="357" t="s">
        <v>176</v>
      </c>
      <c r="AC139" s="357"/>
      <c r="AD139" s="357"/>
      <c r="AE139" s="357"/>
      <c r="AF139" s="357"/>
      <c r="AG139" s="357"/>
      <c r="AH139" s="121">
        <f t="shared" si="10"/>
        <v>645</v>
      </c>
      <c r="AI139" s="29">
        <f>AH139</f>
        <v>645</v>
      </c>
    </row>
    <row r="140" spans="1:35">
      <c r="A140" s="357" t="s">
        <v>177</v>
      </c>
      <c r="B140" s="357"/>
      <c r="C140" s="357"/>
      <c r="D140" s="357"/>
      <c r="E140" s="357"/>
      <c r="F140" s="357"/>
      <c r="G140" s="121">
        <f t="shared" si="7"/>
        <v>55</v>
      </c>
      <c r="H140" s="29">
        <f>G140</f>
        <v>55</v>
      </c>
      <c r="J140" s="357" t="s">
        <v>177</v>
      </c>
      <c r="K140" s="357"/>
      <c r="L140" s="357"/>
      <c r="M140" s="357"/>
      <c r="N140" s="357"/>
      <c r="O140" s="357"/>
      <c r="P140" s="121">
        <f t="shared" si="8"/>
        <v>55</v>
      </c>
      <c r="Q140" s="29">
        <v>55</v>
      </c>
      <c r="S140" s="357" t="s">
        <v>177</v>
      </c>
      <c r="T140" s="357"/>
      <c r="U140" s="357"/>
      <c r="V140" s="357"/>
      <c r="W140" s="357"/>
      <c r="X140" s="357"/>
      <c r="Y140" s="121">
        <f t="shared" si="9"/>
        <v>55</v>
      </c>
      <c r="Z140" s="29">
        <v>55</v>
      </c>
      <c r="AB140" s="357" t="s">
        <v>177</v>
      </c>
      <c r="AC140" s="357"/>
      <c r="AD140" s="357"/>
      <c r="AE140" s="357"/>
      <c r="AF140" s="357"/>
      <c r="AG140" s="357"/>
      <c r="AH140" s="121">
        <f t="shared" si="10"/>
        <v>55</v>
      </c>
      <c r="AI140" s="29">
        <v>55</v>
      </c>
    </row>
    <row r="141" spans="1:35" ht="21">
      <c r="A141" s="357" t="s">
        <v>178</v>
      </c>
      <c r="B141" s="357"/>
      <c r="C141" s="357"/>
      <c r="D141" s="357"/>
      <c r="E141" s="357"/>
      <c r="F141" s="357"/>
      <c r="G141" s="123">
        <f t="shared" si="7"/>
        <v>68397.099999999991</v>
      </c>
      <c r="H141" s="122">
        <f>(H135+H136+H139+H140+H137)-H138</f>
        <v>82076.517999999996</v>
      </c>
      <c r="J141" s="357" t="s">
        <v>178</v>
      </c>
      <c r="K141" s="357"/>
      <c r="L141" s="357"/>
      <c r="M141" s="357"/>
      <c r="N141" s="357"/>
      <c r="O141" s="357"/>
      <c r="P141" s="123">
        <f t="shared" si="8"/>
        <v>68397.099999999991</v>
      </c>
      <c r="Q141" s="122">
        <f>(Q135+Q136+Q139+Q140+Q137)-Q138</f>
        <v>34235.007999999994</v>
      </c>
      <c r="S141" s="357" t="s">
        <v>178</v>
      </c>
      <c r="T141" s="357"/>
      <c r="U141" s="357"/>
      <c r="V141" s="357"/>
      <c r="W141" s="357"/>
      <c r="X141" s="357"/>
      <c r="Y141" s="123">
        <f t="shared" si="9"/>
        <v>68397.099999999991</v>
      </c>
      <c r="Z141" s="122">
        <f>(Z135+Z136+Z139+Z140+Z137)-Z138</f>
        <v>50801.256999999998</v>
      </c>
      <c r="AB141" s="357" t="s">
        <v>178</v>
      </c>
      <c r="AC141" s="357"/>
      <c r="AD141" s="357"/>
      <c r="AE141" s="357"/>
      <c r="AF141" s="357"/>
      <c r="AG141" s="357"/>
      <c r="AH141" s="123">
        <f t="shared" si="10"/>
        <v>68397.099999999991</v>
      </c>
      <c r="AI141" s="122">
        <f>(AI135+AI136+AI139+AI140+AI137)-AI138</f>
        <v>50801.256999999998</v>
      </c>
    </row>
    <row r="142" spans="1:35">
      <c r="A142" s="357" t="s">
        <v>179</v>
      </c>
      <c r="B142" s="357"/>
      <c r="C142" s="357"/>
      <c r="D142" s="357"/>
      <c r="E142" s="357"/>
      <c r="F142" s="357"/>
      <c r="G142" s="121">
        <f t="shared" si="7"/>
        <v>0</v>
      </c>
      <c r="H142" s="36">
        <f>G142</f>
        <v>0</v>
      </c>
      <c r="J142" s="357" t="s">
        <v>179</v>
      </c>
      <c r="K142" s="357"/>
      <c r="L142" s="357"/>
      <c r="M142" s="357"/>
      <c r="N142" s="357"/>
      <c r="O142" s="357"/>
      <c r="P142" s="121">
        <f t="shared" si="8"/>
        <v>0</v>
      </c>
      <c r="Q142" s="36">
        <f>P142</f>
        <v>0</v>
      </c>
      <c r="S142" s="357" t="s">
        <v>179</v>
      </c>
      <c r="T142" s="357"/>
      <c r="U142" s="357"/>
      <c r="V142" s="357"/>
      <c r="W142" s="357"/>
      <c r="X142" s="357"/>
      <c r="Y142" s="121">
        <f t="shared" si="9"/>
        <v>0</v>
      </c>
      <c r="Z142" s="36">
        <f>Y142</f>
        <v>0</v>
      </c>
      <c r="AB142" s="357" t="s">
        <v>179</v>
      </c>
      <c r="AC142" s="357"/>
      <c r="AD142" s="357"/>
      <c r="AE142" s="357"/>
      <c r="AF142" s="357"/>
      <c r="AG142" s="357"/>
      <c r="AH142" s="121">
        <f t="shared" si="10"/>
        <v>0</v>
      </c>
      <c r="AI142" s="36">
        <f>AH142</f>
        <v>0</v>
      </c>
    </row>
    <row r="143" spans="1:35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58" t="s">
        <v>180</v>
      </c>
      <c r="K143" s="358"/>
      <c r="L143" s="358"/>
      <c r="M143" s="358"/>
      <c r="N143" s="358"/>
      <c r="O143" s="358"/>
      <c r="P143" s="34"/>
      <c r="Q143" s="29"/>
      <c r="S143" s="358" t="s">
        <v>180</v>
      </c>
      <c r="T143" s="358"/>
      <c r="U143" s="358"/>
      <c r="V143" s="358"/>
      <c r="W143" s="358"/>
      <c r="X143" s="358"/>
      <c r="Y143" s="34"/>
      <c r="Z143" s="29"/>
      <c r="AB143" s="358" t="s">
        <v>180</v>
      </c>
      <c r="AC143" s="358"/>
      <c r="AD143" s="358"/>
      <c r="AE143" s="358"/>
      <c r="AF143" s="358"/>
      <c r="AG143" s="358"/>
      <c r="AH143" s="34"/>
      <c r="AI143" s="29"/>
    </row>
    <row r="144" spans="1:35">
      <c r="A144" s="124" t="s">
        <v>26</v>
      </c>
      <c r="B144" s="360">
        <v>0</v>
      </c>
      <c r="C144" s="360"/>
      <c r="D144" s="360"/>
      <c r="E144" s="360"/>
      <c r="F144" s="360"/>
      <c r="G144" s="121">
        <f>H18</f>
        <v>0</v>
      </c>
      <c r="H144" s="36">
        <v>0</v>
      </c>
      <c r="J144" s="124" t="s">
        <v>26</v>
      </c>
      <c r="K144" s="360" t="s">
        <v>181</v>
      </c>
      <c r="L144" s="360"/>
      <c r="M144" s="360"/>
      <c r="N144" s="360"/>
      <c r="O144" s="360"/>
      <c r="P144" s="121">
        <f>H18</f>
        <v>0</v>
      </c>
      <c r="Q144" s="36">
        <f>P144</f>
        <v>0</v>
      </c>
      <c r="S144" s="124" t="s">
        <v>26</v>
      </c>
      <c r="T144" s="360" t="s">
        <v>181</v>
      </c>
      <c r="U144" s="360"/>
      <c r="V144" s="360"/>
      <c r="W144" s="360"/>
      <c r="X144" s="360"/>
      <c r="Y144" s="121">
        <f>H18</f>
        <v>0</v>
      </c>
      <c r="Z144" s="36">
        <f>Y144</f>
        <v>0</v>
      </c>
      <c r="AB144" s="124" t="s">
        <v>26</v>
      </c>
      <c r="AC144" s="360" t="s">
        <v>181</v>
      </c>
      <c r="AD144" s="360"/>
      <c r="AE144" s="360"/>
      <c r="AF144" s="360"/>
      <c r="AG144" s="360"/>
      <c r="AH144" s="121">
        <f>H18</f>
        <v>0</v>
      </c>
      <c r="AI144" s="36">
        <f>AH144</f>
        <v>0</v>
      </c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v>0</v>
      </c>
      <c r="I145" s="4">
        <f>(G142+G145+G146+G144)</f>
        <v>0</v>
      </c>
      <c r="J145" s="124" t="s">
        <v>28</v>
      </c>
      <c r="K145" s="360" t="s">
        <v>181</v>
      </c>
      <c r="L145" s="360"/>
      <c r="M145" s="360"/>
      <c r="N145" s="360"/>
      <c r="O145" s="360"/>
      <c r="P145" s="121">
        <f>H19</f>
        <v>0</v>
      </c>
      <c r="Q145" s="36">
        <f>P145</f>
        <v>0</v>
      </c>
      <c r="S145" s="124" t="s">
        <v>28</v>
      </c>
      <c r="T145" s="360" t="s">
        <v>181</v>
      </c>
      <c r="U145" s="360"/>
      <c r="V145" s="360"/>
      <c r="W145" s="360"/>
      <c r="X145" s="360"/>
      <c r="Y145" s="121">
        <f>H19</f>
        <v>0</v>
      </c>
      <c r="Z145" s="36">
        <f>Y145</f>
        <v>0</v>
      </c>
      <c r="AB145" s="124" t="s">
        <v>28</v>
      </c>
      <c r="AC145" s="360" t="s">
        <v>181</v>
      </c>
      <c r="AD145" s="360"/>
      <c r="AE145" s="360"/>
      <c r="AF145" s="360"/>
      <c r="AG145" s="360"/>
      <c r="AH145" s="121">
        <f>H19</f>
        <v>0</v>
      </c>
      <c r="AI145" s="36">
        <f>AH145</f>
        <v>0</v>
      </c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v>0</v>
      </c>
      <c r="I146" s="4">
        <f>(H142+H144+H145+H146)</f>
        <v>0</v>
      </c>
      <c r="J146" s="125" t="s">
        <v>29</v>
      </c>
      <c r="K146" s="361" t="s">
        <v>181</v>
      </c>
      <c r="L146" s="361"/>
      <c r="M146" s="361"/>
      <c r="N146" s="361"/>
      <c r="O146" s="361"/>
      <c r="P146" s="121">
        <f>H20</f>
        <v>0</v>
      </c>
      <c r="Q146" s="36">
        <f>P146</f>
        <v>0</v>
      </c>
      <c r="S146" s="125" t="s">
        <v>29</v>
      </c>
      <c r="T146" s="361" t="s">
        <v>181</v>
      </c>
      <c r="U146" s="361"/>
      <c r="V146" s="361"/>
      <c r="W146" s="361"/>
      <c r="X146" s="361"/>
      <c r="Y146" s="121">
        <f>H20</f>
        <v>0</v>
      </c>
      <c r="Z146" s="36">
        <f>Y146</f>
        <v>0</v>
      </c>
      <c r="AB146" s="125" t="s">
        <v>29</v>
      </c>
      <c r="AC146" s="361" t="s">
        <v>181</v>
      </c>
      <c r="AD146" s="361"/>
      <c r="AE146" s="361"/>
      <c r="AF146" s="361"/>
      <c r="AG146" s="361"/>
      <c r="AH146" s="121">
        <f>H20</f>
        <v>0</v>
      </c>
      <c r="AI146" s="36">
        <f>AH146</f>
        <v>0</v>
      </c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68397.099999999991</v>
      </c>
      <c r="H147" s="126">
        <f>H141-((H144*1.2)+(H145*1.2)+(H146*1.2)+(H142*1.2))</f>
        <v>82076.517999999996</v>
      </c>
      <c r="J147" s="357" t="s">
        <v>182</v>
      </c>
      <c r="K147" s="357"/>
      <c r="L147" s="357"/>
      <c r="M147" s="357"/>
      <c r="N147" s="357"/>
      <c r="O147" s="357"/>
      <c r="P147" s="123">
        <f>P141-((P144*1.2)+(P145*1.2)+(P146*1.2)+(P142*1.2))</f>
        <v>68397.099999999991</v>
      </c>
      <c r="Q147" s="126">
        <f>Q141-((Q144*1.2)+(Q145*1.2)+(Q146*1.2)+(Q142*1.2))</f>
        <v>34235.007999999994</v>
      </c>
      <c r="S147" s="357" t="s">
        <v>182</v>
      </c>
      <c r="T147" s="357"/>
      <c r="U147" s="357"/>
      <c r="V147" s="357"/>
      <c r="W147" s="357"/>
      <c r="X147" s="357"/>
      <c r="Y147" s="123">
        <f>Y141-((Y144*1.2)+(Y145*1.2)+(Y146*1.2)+(Y142*1.2))</f>
        <v>68397.099999999991</v>
      </c>
      <c r="Z147" s="126">
        <f>Z141-((Z144*1.2)+(Z145*1.2)+(Z146*1.2)+(Z142*1.2))</f>
        <v>50801.256999999998</v>
      </c>
      <c r="AB147" s="357" t="s">
        <v>182</v>
      </c>
      <c r="AC147" s="357"/>
      <c r="AD147" s="357"/>
      <c r="AE147" s="357"/>
      <c r="AF147" s="357"/>
      <c r="AG147" s="357"/>
      <c r="AH147" s="123">
        <f>AH141-((AH144*1.2)+(AH145*1.2)+(AH146*1.2)+(AH142*1.2))</f>
        <v>68397.099999999991</v>
      </c>
      <c r="AI147" s="126">
        <f>AI141-((AI144*1.2)+(AI145*1.2)+(AI146*1.2)+(AI142*1.2))</f>
        <v>50801.256999999998</v>
      </c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11399.515000000003</v>
      </c>
      <c r="I148" s="4">
        <f>(H148-G81)/1.2</f>
        <v>-51397.502500000002</v>
      </c>
      <c r="J148" s="357" t="s">
        <v>183</v>
      </c>
      <c r="K148" s="357"/>
      <c r="L148" s="357"/>
      <c r="M148" s="357"/>
      <c r="N148" s="357"/>
      <c r="O148" s="357"/>
      <c r="P148" s="121"/>
      <c r="Q148" s="36">
        <f>Q147-P147</f>
        <v>-34162.091999999997</v>
      </c>
      <c r="S148" s="357" t="s">
        <v>183</v>
      </c>
      <c r="T148" s="357"/>
      <c r="U148" s="357"/>
      <c r="V148" s="357"/>
      <c r="W148" s="357"/>
      <c r="X148" s="357"/>
      <c r="Y148" s="121"/>
      <c r="Z148" s="36">
        <f>Z147-Y147</f>
        <v>-17595.842999999993</v>
      </c>
      <c r="AB148" s="357" t="s">
        <v>183</v>
      </c>
      <c r="AC148" s="357"/>
      <c r="AD148" s="357"/>
      <c r="AE148" s="357"/>
      <c r="AF148" s="357"/>
      <c r="AG148" s="357"/>
      <c r="AH148" s="121"/>
      <c r="AI148" s="36">
        <f>AI147-AH147</f>
        <v>-17595.842999999993</v>
      </c>
    </row>
    <row r="149" spans="1:35">
      <c r="A149" s="27"/>
      <c r="B149" s="28"/>
      <c r="C149" s="28"/>
      <c r="D149" s="28"/>
      <c r="E149" s="21"/>
      <c r="F149" s="21"/>
      <c r="G149" s="21"/>
      <c r="H149" s="29"/>
      <c r="J149" s="27"/>
      <c r="K149" s="28"/>
      <c r="L149" s="28"/>
      <c r="M149" s="28"/>
      <c r="N149" s="21"/>
      <c r="O149" s="21"/>
      <c r="P149" s="21"/>
      <c r="Q149" s="29"/>
      <c r="S149" s="27"/>
      <c r="T149" s="28"/>
      <c r="U149" s="28"/>
      <c r="V149" s="28"/>
      <c r="W149" s="21"/>
      <c r="X149" s="21"/>
      <c r="Y149" s="21"/>
      <c r="Z149" s="29"/>
      <c r="AB149" s="27"/>
      <c r="AC149" s="28"/>
      <c r="AD149" s="28"/>
      <c r="AE149" s="28"/>
      <c r="AF149" s="21"/>
      <c r="AG149" s="21"/>
      <c r="AH149" s="21"/>
      <c r="AI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35" t="s">
        <v>184</v>
      </c>
      <c r="K150" s="335"/>
      <c r="L150" s="335"/>
      <c r="M150" s="335"/>
      <c r="N150" s="335"/>
      <c r="O150" s="335"/>
      <c r="P150" s="335"/>
      <c r="Q150" s="335"/>
      <c r="S150" s="335" t="s">
        <v>184</v>
      </c>
      <c r="T150" s="335"/>
      <c r="U150" s="335"/>
      <c r="V150" s="335"/>
      <c r="W150" s="335"/>
      <c r="X150" s="335"/>
      <c r="Y150" s="335"/>
      <c r="Z150" s="335"/>
      <c r="AB150" s="335" t="s">
        <v>184</v>
      </c>
      <c r="AC150" s="335"/>
      <c r="AD150" s="335"/>
      <c r="AE150" s="335"/>
      <c r="AF150" s="335"/>
      <c r="AG150" s="335"/>
      <c r="AH150" s="335"/>
      <c r="AI150" s="335"/>
    </row>
    <row r="151" spans="1:35">
      <c r="A151" s="27"/>
      <c r="B151" s="28"/>
      <c r="C151" s="28"/>
      <c r="D151" s="28"/>
      <c r="E151" s="21"/>
      <c r="F151" s="21"/>
      <c r="G151" s="21"/>
      <c r="H151" s="29"/>
      <c r="J151" s="27"/>
      <c r="K151" s="28"/>
      <c r="L151" s="28"/>
      <c r="M151" s="28"/>
      <c r="N151" s="21"/>
      <c r="O151" s="21"/>
      <c r="P151" s="21"/>
      <c r="Q151" s="29"/>
      <c r="S151" s="27"/>
      <c r="T151" s="28"/>
      <c r="U151" s="28"/>
      <c r="V151" s="28"/>
      <c r="W151" s="21"/>
      <c r="X151" s="21"/>
      <c r="Y151" s="21"/>
      <c r="Z151" s="29"/>
      <c r="AB151" s="27"/>
      <c r="AC151" s="28"/>
      <c r="AD151" s="28"/>
      <c r="AE151" s="28"/>
      <c r="AF151" s="21"/>
      <c r="AG151" s="21"/>
      <c r="AH151" s="21"/>
      <c r="AI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J152" s="27" t="s">
        <v>185</v>
      </c>
      <c r="K152" s="28"/>
      <c r="L152" s="28"/>
      <c r="M152" s="21"/>
      <c r="N152" s="348">
        <v>10000</v>
      </c>
      <c r="O152" s="348"/>
      <c r="P152" s="348">
        <v>5000</v>
      </c>
      <c r="Q152" s="348"/>
      <c r="S152" s="27" t="s">
        <v>185</v>
      </c>
      <c r="T152" s="28"/>
      <c r="U152" s="28"/>
      <c r="V152" s="21"/>
      <c r="W152" s="348">
        <v>10000</v>
      </c>
      <c r="X152" s="348"/>
      <c r="Y152" s="348">
        <v>5000</v>
      </c>
      <c r="Z152" s="348"/>
      <c r="AB152" s="27" t="s">
        <v>185</v>
      </c>
      <c r="AC152" s="28"/>
      <c r="AD152" s="28"/>
      <c r="AE152" s="21"/>
      <c r="AF152" s="348">
        <v>10000</v>
      </c>
      <c r="AG152" s="348"/>
      <c r="AH152" s="348">
        <v>5000</v>
      </c>
      <c r="AI152" s="348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J153" s="27" t="s">
        <v>186</v>
      </c>
      <c r="K153" s="28"/>
      <c r="L153" s="28"/>
      <c r="M153" s="21"/>
      <c r="N153" s="363">
        <f>P153</f>
        <v>7000</v>
      </c>
      <c r="O153" s="363"/>
      <c r="P153" s="348">
        <v>7000</v>
      </c>
      <c r="Q153" s="348"/>
      <c r="S153" s="27" t="s">
        <v>186</v>
      </c>
      <c r="T153" s="28"/>
      <c r="U153" s="28"/>
      <c r="V153" s="21"/>
      <c r="W153" s="363">
        <f>Y153</f>
        <v>7000</v>
      </c>
      <c r="X153" s="363"/>
      <c r="Y153" s="348">
        <v>7000</v>
      </c>
      <c r="Z153" s="348"/>
      <c r="AB153" s="27" t="s">
        <v>186</v>
      </c>
      <c r="AC153" s="28"/>
      <c r="AD153" s="28"/>
      <c r="AE153" s="21"/>
      <c r="AF153" s="363">
        <f>AH153</f>
        <v>7000</v>
      </c>
      <c r="AG153" s="363"/>
      <c r="AH153" s="348">
        <v>7000</v>
      </c>
      <c r="AI153" s="348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J154" s="27" t="s">
        <v>187</v>
      </c>
      <c r="K154" s="28"/>
      <c r="L154" s="28"/>
      <c r="M154" s="21"/>
      <c r="N154" s="363">
        <f>N152-N153</f>
        <v>3000</v>
      </c>
      <c r="O154" s="363"/>
      <c r="P154" s="364">
        <f>P152-P153</f>
        <v>-2000</v>
      </c>
      <c r="Q154" s="364"/>
      <c r="S154" s="27" t="s">
        <v>187</v>
      </c>
      <c r="T154" s="28"/>
      <c r="U154" s="28"/>
      <c r="V154" s="21"/>
      <c r="W154" s="363">
        <f>W152-W153</f>
        <v>3000</v>
      </c>
      <c r="X154" s="363"/>
      <c r="Y154" s="364">
        <f>Y152-Y153</f>
        <v>-2000</v>
      </c>
      <c r="Z154" s="364"/>
      <c r="AB154" s="27" t="s">
        <v>187</v>
      </c>
      <c r="AC154" s="28"/>
      <c r="AD154" s="28"/>
      <c r="AE154" s="21"/>
      <c r="AF154" s="363">
        <f>AF152-AF153</f>
        <v>3000</v>
      </c>
      <c r="AG154" s="363"/>
      <c r="AH154" s="364">
        <f>AH152-AH153</f>
        <v>-2000</v>
      </c>
      <c r="AI154" s="364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J155" s="27" t="s">
        <v>188</v>
      </c>
      <c r="K155" s="28"/>
      <c r="L155" s="28"/>
      <c r="M155" s="21"/>
      <c r="N155" s="363">
        <f>N154-P154</f>
        <v>5000</v>
      </c>
      <c r="O155" s="363"/>
      <c r="P155" s="21"/>
      <c r="Q155" s="29"/>
      <c r="S155" s="27" t="s">
        <v>188</v>
      </c>
      <c r="T155" s="28"/>
      <c r="U155" s="28"/>
      <c r="V155" s="21"/>
      <c r="W155" s="363">
        <f>W154-Y154</f>
        <v>5000</v>
      </c>
      <c r="X155" s="363"/>
      <c r="Y155" s="21"/>
      <c r="Z155" s="29"/>
      <c r="AB155" s="27" t="s">
        <v>188</v>
      </c>
      <c r="AC155" s="28"/>
      <c r="AD155" s="28"/>
      <c r="AE155" s="21"/>
      <c r="AF155" s="363">
        <f>AF154-AH154</f>
        <v>5000</v>
      </c>
      <c r="AG155" s="363"/>
      <c r="AH155" s="21"/>
      <c r="AI155" s="29"/>
    </row>
    <row r="156" spans="1:35">
      <c r="A156" s="22" t="s">
        <v>189</v>
      </c>
      <c r="B156" s="23"/>
      <c r="C156" s="23"/>
      <c r="D156" s="63"/>
      <c r="E156" s="23"/>
      <c r="F156" s="63"/>
      <c r="G156" s="128" t="s">
        <v>10</v>
      </c>
      <c r="H156" s="36">
        <v>0</v>
      </c>
      <c r="J156" s="27"/>
      <c r="K156" s="28"/>
      <c r="L156" s="28"/>
      <c r="M156" s="21"/>
      <c r="N156" s="28"/>
      <c r="O156" s="21"/>
      <c r="P156" s="21"/>
      <c r="Q156" s="29"/>
      <c r="S156" s="27"/>
      <c r="T156" s="28"/>
      <c r="U156" s="28"/>
      <c r="V156" s="21"/>
      <c r="W156" s="28"/>
      <c r="X156" s="21"/>
      <c r="Y156" s="21"/>
      <c r="Z156" s="29"/>
      <c r="AB156" s="27"/>
      <c r="AC156" s="28"/>
      <c r="AD156" s="28"/>
      <c r="AE156" s="21"/>
      <c r="AF156" s="28"/>
      <c r="AG156" s="21"/>
      <c r="AH156" s="21"/>
      <c r="AI156" s="29"/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9000</v>
      </c>
      <c r="H157" s="365"/>
      <c r="J157" s="22" t="s">
        <v>190</v>
      </c>
      <c r="K157" s="23"/>
      <c r="L157" s="23"/>
      <c r="M157" s="63"/>
      <c r="N157" s="23"/>
      <c r="O157" s="63"/>
      <c r="P157" s="365">
        <f>J114</f>
        <v>1000</v>
      </c>
      <c r="Q157" s="365"/>
      <c r="S157" s="22" t="s">
        <v>190</v>
      </c>
      <c r="T157" s="23"/>
      <c r="U157" s="23"/>
      <c r="V157" s="63"/>
      <c r="W157" s="23"/>
      <c r="X157" s="63"/>
      <c r="Y157" s="365">
        <f>S114</f>
        <v>1000</v>
      </c>
      <c r="Z157" s="365"/>
      <c r="AB157" s="22" t="s">
        <v>190</v>
      </c>
      <c r="AC157" s="23"/>
      <c r="AD157" s="23"/>
      <c r="AE157" s="63"/>
      <c r="AF157" s="23"/>
      <c r="AG157" s="63"/>
      <c r="AH157" s="365">
        <f>AB114</f>
        <v>1000</v>
      </c>
      <c r="AI157" s="365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73076.517999999996</v>
      </c>
      <c r="H158" s="366"/>
      <c r="J158" s="129" t="s">
        <v>191</v>
      </c>
      <c r="K158" s="28"/>
      <c r="L158" s="28"/>
      <c r="M158" s="21"/>
      <c r="N158" s="28"/>
      <c r="O158" s="21"/>
      <c r="P158" s="366">
        <f>Q147-P154-P157</f>
        <v>35235.007999999994</v>
      </c>
      <c r="Q158" s="366"/>
      <c r="S158" s="129" t="s">
        <v>191</v>
      </c>
      <c r="T158" s="28"/>
      <c r="U158" s="28"/>
      <c r="V158" s="21"/>
      <c r="W158" s="28"/>
      <c r="X158" s="21"/>
      <c r="Y158" s="366">
        <f>Z147-Y154-Y157</f>
        <v>51801.256999999998</v>
      </c>
      <c r="Z158" s="366"/>
      <c r="AB158" s="129" t="s">
        <v>191</v>
      </c>
      <c r="AC158" s="28"/>
      <c r="AD158" s="28"/>
      <c r="AE158" s="21"/>
      <c r="AF158" s="28"/>
      <c r="AG158" s="21"/>
      <c r="AH158" s="366">
        <f>AI147-AH154-AH157</f>
        <v>51801.256999999998</v>
      </c>
      <c r="AI158" s="366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199.99166666666667</v>
      </c>
      <c r="H159" s="367"/>
      <c r="J159" s="49" t="s">
        <v>66</v>
      </c>
      <c r="K159" s="50"/>
      <c r="L159" s="50"/>
      <c r="M159" s="85"/>
      <c r="N159" s="50"/>
      <c r="O159" s="85"/>
      <c r="P159" s="367">
        <f>K114</f>
        <v>239.99</v>
      </c>
      <c r="Q159" s="367"/>
      <c r="S159" s="49" t="s">
        <v>66</v>
      </c>
      <c r="T159" s="50"/>
      <c r="U159" s="50"/>
      <c r="V159" s="85"/>
      <c r="W159" s="50"/>
      <c r="X159" s="85"/>
      <c r="Y159" s="367">
        <f>T114</f>
        <v>199.99</v>
      </c>
      <c r="Z159" s="367"/>
      <c r="AB159" s="49" t="s">
        <v>66</v>
      </c>
      <c r="AC159" s="50"/>
      <c r="AD159" s="50"/>
      <c r="AE159" s="85"/>
      <c r="AF159" s="50"/>
      <c r="AG159" s="85"/>
      <c r="AH159" s="367">
        <f>AC114</f>
        <v>239.99</v>
      </c>
      <c r="AI159" s="367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/>
      <c r="B161" s="28"/>
      <c r="C161" s="28"/>
      <c r="D161" s="28"/>
      <c r="E161" s="21"/>
      <c r="F161" s="21"/>
      <c r="G161" s="21"/>
      <c r="H161" s="29"/>
      <c r="J161" s="27"/>
      <c r="K161" s="28"/>
      <c r="L161" s="28"/>
      <c r="M161" s="28"/>
      <c r="N161" s="21"/>
      <c r="O161" s="21"/>
      <c r="P161" s="21"/>
      <c r="Q161" s="29"/>
      <c r="S161" s="27"/>
      <c r="T161" s="28"/>
      <c r="U161" s="28"/>
      <c r="V161" s="28"/>
      <c r="W161" s="21"/>
      <c r="X161" s="21"/>
      <c r="Y161" s="21"/>
      <c r="Z161" s="29"/>
      <c r="AB161" s="27"/>
      <c r="AC161" s="28"/>
      <c r="AD161" s="28"/>
      <c r="AE161" s="28"/>
      <c r="AF161" s="21"/>
      <c r="AG161" s="21"/>
      <c r="AH161" s="21"/>
      <c r="AI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35" t="s">
        <v>192</v>
      </c>
      <c r="K162" s="335"/>
      <c r="L162" s="335"/>
      <c r="M162" s="335"/>
      <c r="N162" s="335"/>
      <c r="O162" s="335"/>
      <c r="P162" s="335"/>
      <c r="Q162" s="335"/>
      <c r="S162" s="335" t="s">
        <v>192</v>
      </c>
      <c r="T162" s="335"/>
      <c r="U162" s="335"/>
      <c r="V162" s="335"/>
      <c r="W162" s="335"/>
      <c r="X162" s="335"/>
      <c r="Y162" s="335"/>
      <c r="Z162" s="335"/>
      <c r="AB162" s="335" t="s">
        <v>192</v>
      </c>
      <c r="AC162" s="335"/>
      <c r="AD162" s="335"/>
      <c r="AE162" s="335"/>
      <c r="AF162" s="335"/>
      <c r="AG162" s="335"/>
      <c r="AH162" s="335"/>
      <c r="AI162" s="335"/>
    </row>
    <row r="163" spans="1:35">
      <c r="A163" s="27"/>
      <c r="B163" s="28"/>
      <c r="C163" s="28"/>
      <c r="D163" s="28"/>
      <c r="E163" s="21"/>
      <c r="F163" s="21"/>
      <c r="G163" s="21"/>
      <c r="H163" s="29"/>
      <c r="J163" s="27"/>
      <c r="K163" s="28"/>
      <c r="L163" s="28"/>
      <c r="M163" s="28"/>
      <c r="N163" s="21"/>
      <c r="O163" s="21"/>
      <c r="P163" s="21"/>
      <c r="Q163" s="29"/>
      <c r="S163" s="27"/>
      <c r="T163" s="28"/>
      <c r="U163" s="28"/>
      <c r="V163" s="28"/>
      <c r="W163" s="21"/>
      <c r="X163" s="21"/>
      <c r="Y163" s="21"/>
      <c r="Z163" s="29"/>
      <c r="AB163" s="27"/>
      <c r="AC163" s="28"/>
      <c r="AD163" s="28"/>
      <c r="AE163" s="28"/>
      <c r="AF163" s="21"/>
      <c r="AG163" s="21"/>
      <c r="AH163" s="21"/>
      <c r="AI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J164" s="27" t="s">
        <v>193</v>
      </c>
      <c r="K164" s="368">
        <v>0</v>
      </c>
      <c r="L164" s="368"/>
      <c r="M164" s="28"/>
      <c r="N164" s="21"/>
      <c r="O164" s="21"/>
      <c r="P164" s="21"/>
      <c r="Q164" s="29"/>
      <c r="S164" s="27" t="s">
        <v>193</v>
      </c>
      <c r="T164" s="368">
        <v>0</v>
      </c>
      <c r="U164" s="368"/>
      <c r="V164" s="28"/>
      <c r="W164" s="21"/>
      <c r="X164" s="21"/>
      <c r="Y164" s="21"/>
      <c r="Z164" s="29"/>
      <c r="AB164" s="27" t="s">
        <v>193</v>
      </c>
      <c r="AC164" s="368">
        <v>0</v>
      </c>
      <c r="AD164" s="368"/>
      <c r="AE164" s="28"/>
      <c r="AF164" s="21"/>
      <c r="AG164" s="21"/>
      <c r="AH164" s="21"/>
      <c r="AI164" s="29"/>
    </row>
    <row r="165" spans="1:35">
      <c r="A165" s="27"/>
      <c r="B165" s="28"/>
      <c r="C165" s="28"/>
      <c r="D165" s="28"/>
      <c r="E165" s="21"/>
      <c r="F165" s="21"/>
      <c r="G165" s="21"/>
      <c r="H165" s="29"/>
      <c r="J165" s="27"/>
      <c r="K165" s="28"/>
      <c r="L165" s="28"/>
      <c r="M165" s="28"/>
      <c r="N165" s="21"/>
      <c r="O165" s="21"/>
      <c r="P165" s="21"/>
      <c r="Q165" s="29"/>
      <c r="S165" s="27"/>
      <c r="T165" s="28"/>
      <c r="U165" s="28"/>
      <c r="V165" s="28"/>
      <c r="W165" s="21"/>
      <c r="X165" s="21"/>
      <c r="Y165" s="21"/>
      <c r="Z165" s="29"/>
      <c r="AB165" s="27"/>
      <c r="AC165" s="28"/>
      <c r="AD165" s="28"/>
      <c r="AE165" s="28"/>
      <c r="AF165" s="21"/>
      <c r="AG165" s="21"/>
      <c r="AH165" s="21"/>
      <c r="AI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  <c r="J166" s="130" t="s">
        <v>194</v>
      </c>
      <c r="K166" s="131" t="s">
        <v>195</v>
      </c>
      <c r="L166" s="131"/>
      <c r="M166" s="131"/>
      <c r="N166" s="131" t="s">
        <v>196</v>
      </c>
      <c r="O166" s="21"/>
      <c r="P166" s="21"/>
      <c r="Q166" s="29"/>
      <c r="S166" s="130" t="s">
        <v>194</v>
      </c>
      <c r="T166" s="131" t="s">
        <v>195</v>
      </c>
      <c r="U166" s="131"/>
      <c r="V166" s="131"/>
      <c r="W166" s="131" t="s">
        <v>196</v>
      </c>
      <c r="X166" s="21"/>
      <c r="Y166" s="21"/>
      <c r="Z166" s="29"/>
      <c r="AB166" s="130" t="s">
        <v>194</v>
      </c>
      <c r="AC166" s="131" t="s">
        <v>195</v>
      </c>
      <c r="AD166" s="131"/>
      <c r="AE166" s="131"/>
      <c r="AF166" s="131" t="s">
        <v>196</v>
      </c>
      <c r="AG166" s="21"/>
      <c r="AH166" s="21"/>
      <c r="AI166" s="29"/>
    </row>
    <row r="167" spans="1:35">
      <c r="A167" s="189">
        <f>B95</f>
        <v>2316.336901384057</v>
      </c>
      <c r="B167" s="133">
        <f>B94</f>
        <v>219.90705882352941</v>
      </c>
      <c r="C167" s="131"/>
      <c r="D167" s="131"/>
      <c r="E167" s="133">
        <f>B96</f>
        <v>2536.2439602075865</v>
      </c>
      <c r="F167" s="21"/>
      <c r="G167" s="21">
        <f>ROUND(G95,2)</f>
        <v>2128.08</v>
      </c>
      <c r="H167" s="29"/>
      <c r="J167" s="132">
        <f>K95</f>
        <v>1409.4781608537546</v>
      </c>
      <c r="K167" s="133">
        <f>K94</f>
        <v>277.71119999999996</v>
      </c>
      <c r="L167" s="131"/>
      <c r="M167" s="131"/>
      <c r="N167" s="133">
        <f>K96</f>
        <v>1687.1893608537546</v>
      </c>
      <c r="O167" s="21"/>
      <c r="P167" s="21"/>
      <c r="Q167" s="29"/>
      <c r="S167" s="132">
        <f>T95</f>
        <v>1606.1480309327933</v>
      </c>
      <c r="T167" s="133">
        <f>T94</f>
        <v>219.90705882352941</v>
      </c>
      <c r="U167" s="131"/>
      <c r="V167" s="131"/>
      <c r="W167" s="133">
        <f>T96</f>
        <v>1826.0550897563228</v>
      </c>
      <c r="X167" s="21"/>
      <c r="Y167" s="21"/>
      <c r="Z167" s="29"/>
      <c r="AB167" s="132">
        <f>AC95</f>
        <v>1606.1480309327933</v>
      </c>
      <c r="AC167" s="133">
        <f>AC94</f>
        <v>263.88847058823529</v>
      </c>
      <c r="AD167" s="131"/>
      <c r="AE167" s="131"/>
      <c r="AF167" s="133">
        <f>AC96</f>
        <v>1870.0365015210286</v>
      </c>
      <c r="AG167" s="21"/>
      <c r="AH167" s="21"/>
      <c r="AI167" s="29"/>
    </row>
    <row r="168" spans="1:35">
      <c r="A168" s="27"/>
      <c r="B168" s="28"/>
      <c r="C168" s="28"/>
      <c r="D168" s="28"/>
      <c r="E168" s="21"/>
      <c r="F168" s="21"/>
      <c r="G168" s="21"/>
      <c r="H168" s="29"/>
      <c r="J168" s="27"/>
      <c r="K168" s="28"/>
      <c r="L168" s="28"/>
      <c r="M168" s="28"/>
      <c r="N168" s="21"/>
      <c r="O168" s="21"/>
      <c r="P168" s="21"/>
      <c r="Q168" s="29"/>
      <c r="S168" s="27"/>
      <c r="T168" s="28"/>
      <c r="U168" s="28"/>
      <c r="V168" s="28"/>
      <c r="W168" s="21"/>
      <c r="X168" s="21"/>
      <c r="Y168" s="21"/>
      <c r="Z168" s="29"/>
      <c r="AB168" s="27"/>
      <c r="AC168" s="28"/>
      <c r="AD168" s="28"/>
      <c r="AE168" s="28"/>
      <c r="AF168" s="21"/>
      <c r="AG168" s="21"/>
      <c r="AH168" s="21"/>
      <c r="AI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  <c r="J169" s="27" t="s">
        <v>94</v>
      </c>
      <c r="K169" s="28" t="s">
        <v>95</v>
      </c>
      <c r="L169" s="28"/>
      <c r="M169" s="21"/>
      <c r="N169" s="28" t="s">
        <v>198</v>
      </c>
      <c r="O169" s="21"/>
      <c r="P169" s="21"/>
      <c r="Q169" s="29"/>
      <c r="S169" s="27" t="s">
        <v>94</v>
      </c>
      <c r="T169" s="28" t="s">
        <v>95</v>
      </c>
      <c r="U169" s="28"/>
      <c r="V169" s="21"/>
      <c r="W169" s="28" t="s">
        <v>198</v>
      </c>
      <c r="X169" s="21"/>
      <c r="Y169" s="21"/>
      <c r="Z169" s="29"/>
      <c r="AB169" s="27" t="s">
        <v>94</v>
      </c>
      <c r="AC169" s="28" t="s">
        <v>95</v>
      </c>
      <c r="AD169" s="28"/>
      <c r="AE169" s="21"/>
      <c r="AF169" s="28" t="s">
        <v>198</v>
      </c>
      <c r="AG169" s="21"/>
      <c r="AH169" s="21"/>
      <c r="AI169" s="29"/>
    </row>
    <row r="170" spans="1:35">
      <c r="A170" s="134">
        <f>K29</f>
        <v>35</v>
      </c>
      <c r="B170" s="170">
        <f>K30</f>
        <v>35000</v>
      </c>
      <c r="C170" s="136"/>
      <c r="D170" s="21"/>
      <c r="E170" s="137">
        <f>IF(A111="YES",A40,0)</f>
        <v>9337.5</v>
      </c>
      <c r="F170" s="21"/>
      <c r="G170" s="21"/>
      <c r="H170" s="29"/>
      <c r="J170" s="134">
        <f>K29</f>
        <v>35</v>
      </c>
      <c r="K170" s="135">
        <f>K30</f>
        <v>35000</v>
      </c>
      <c r="L170" s="136"/>
      <c r="M170" s="21"/>
      <c r="N170" s="137">
        <f>IF(A111="YES",A40,0)</f>
        <v>9337.5</v>
      </c>
      <c r="O170" s="21"/>
      <c r="P170" s="21"/>
      <c r="Q170" s="29"/>
      <c r="S170" s="134">
        <f>K29</f>
        <v>35</v>
      </c>
      <c r="T170" s="135">
        <f>K30</f>
        <v>35000</v>
      </c>
      <c r="U170" s="136"/>
      <c r="V170" s="21"/>
      <c r="W170" s="137">
        <f>IF(A111="YES",A40,0)</f>
        <v>9337.5</v>
      </c>
      <c r="X170" s="21"/>
      <c r="Y170" s="21"/>
      <c r="Z170" s="29"/>
      <c r="AB170" s="134">
        <f>K29</f>
        <v>35</v>
      </c>
      <c r="AC170" s="135">
        <f>K30</f>
        <v>35000</v>
      </c>
      <c r="AD170" s="136"/>
      <c r="AE170" s="21"/>
      <c r="AF170" s="137">
        <f>IF(A111="YES",A40,0)</f>
        <v>9337.5</v>
      </c>
      <c r="AG170" s="21"/>
      <c r="AH170" s="21"/>
      <c r="AI170" s="29"/>
    </row>
    <row r="171" spans="1:35">
      <c r="A171" s="27"/>
      <c r="B171" s="28"/>
      <c r="C171" s="28"/>
      <c r="D171" s="21"/>
      <c r="E171" s="28"/>
      <c r="F171" s="21"/>
      <c r="G171" s="21"/>
      <c r="H171" s="29"/>
      <c r="J171" s="27"/>
      <c r="K171" s="28"/>
      <c r="L171" s="28"/>
      <c r="M171" s="21"/>
      <c r="N171" s="28"/>
      <c r="O171" s="21"/>
      <c r="P171" s="21"/>
      <c r="Q171" s="29"/>
      <c r="S171" s="27"/>
      <c r="T171" s="28"/>
      <c r="U171" s="28"/>
      <c r="V171" s="21"/>
      <c r="W171" s="28"/>
      <c r="X171" s="21"/>
      <c r="Y171" s="21"/>
      <c r="Z171" s="29"/>
      <c r="AB171" s="27"/>
      <c r="AC171" s="28"/>
      <c r="AD171" s="28"/>
      <c r="AE171" s="21"/>
      <c r="AF171" s="28"/>
      <c r="AG171" s="21"/>
      <c r="AH171" s="21"/>
      <c r="AI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  <c r="J172" s="27" t="s">
        <v>199</v>
      </c>
      <c r="K172" s="28" t="s">
        <v>200</v>
      </c>
      <c r="L172" s="28"/>
      <c r="M172" s="21"/>
      <c r="N172" s="28" t="s">
        <v>201</v>
      </c>
      <c r="O172" s="21"/>
      <c r="P172" s="21"/>
      <c r="Q172" s="29"/>
      <c r="S172" s="27" t="s">
        <v>199</v>
      </c>
      <c r="T172" s="28" t="s">
        <v>200</v>
      </c>
      <c r="U172" s="28"/>
      <c r="V172" s="21"/>
      <c r="W172" s="28" t="s">
        <v>201</v>
      </c>
      <c r="X172" s="21"/>
      <c r="Y172" s="21"/>
      <c r="Z172" s="29"/>
      <c r="AB172" s="27" t="s">
        <v>199</v>
      </c>
      <c r="AC172" s="28" t="s">
        <v>200</v>
      </c>
      <c r="AD172" s="28"/>
      <c r="AE172" s="21"/>
      <c r="AF172" s="28" t="s">
        <v>201</v>
      </c>
      <c r="AG172" s="21"/>
      <c r="AH172" s="21"/>
      <c r="AI172" s="29"/>
    </row>
    <row r="173" spans="1:35">
      <c r="A173" s="138">
        <f>H141-H137-H139-H140</f>
        <v>67813.764999999999</v>
      </c>
      <c r="B173" s="34">
        <f>H137</f>
        <v>13562.753000000001</v>
      </c>
      <c r="C173" s="38"/>
      <c r="D173" s="21"/>
      <c r="E173" s="137">
        <f>H139+H140</f>
        <v>700</v>
      </c>
      <c r="F173" s="21"/>
      <c r="G173" s="21"/>
      <c r="H173" s="29"/>
      <c r="J173" s="138">
        <f>Q141-Q137-Q139-Q140</f>
        <v>27945.839999999997</v>
      </c>
      <c r="K173" s="34">
        <f>Q137</f>
        <v>5589.1679999999997</v>
      </c>
      <c r="L173" s="38"/>
      <c r="M173" s="21"/>
      <c r="N173" s="137">
        <f>Q139+Q140</f>
        <v>700</v>
      </c>
      <c r="O173" s="21"/>
      <c r="P173" s="21"/>
      <c r="Q173" s="29"/>
      <c r="S173" s="138">
        <f>Z141-Z137-Z139-Z140</f>
        <v>41751.047500000001</v>
      </c>
      <c r="T173" s="34">
        <f>Z137</f>
        <v>8350.2095000000008</v>
      </c>
      <c r="U173" s="38"/>
      <c r="V173" s="21"/>
      <c r="W173" s="137">
        <f>Z139+Z140</f>
        <v>700</v>
      </c>
      <c r="X173" s="21"/>
      <c r="Y173" s="21"/>
      <c r="Z173" s="29"/>
      <c r="AB173" s="138">
        <f>AI141-AI137-AI139-AI140</f>
        <v>41751.047500000001</v>
      </c>
      <c r="AC173" s="34">
        <f>AI137</f>
        <v>8350.2095000000008</v>
      </c>
      <c r="AD173" s="38"/>
      <c r="AE173" s="21"/>
      <c r="AF173" s="137">
        <f>AI139+AI140</f>
        <v>700</v>
      </c>
      <c r="AG173" s="21"/>
      <c r="AH173" s="21"/>
      <c r="AI173" s="29"/>
    </row>
    <row r="174" spans="1:35">
      <c r="A174" s="27"/>
      <c r="B174" s="28"/>
      <c r="C174" s="28"/>
      <c r="D174" s="21"/>
      <c r="E174" s="28"/>
      <c r="F174" s="21"/>
      <c r="G174" s="21"/>
      <c r="H174" s="29"/>
      <c r="J174" s="27"/>
      <c r="K174" s="28"/>
      <c r="L174" s="28"/>
      <c r="M174" s="21"/>
      <c r="N174" s="28"/>
      <c r="O174" s="21"/>
      <c r="P174" s="21"/>
      <c r="Q174" s="29"/>
      <c r="S174" s="27"/>
      <c r="T174" s="28"/>
      <c r="U174" s="28"/>
      <c r="V174" s="21"/>
      <c r="W174" s="28"/>
      <c r="X174" s="21"/>
      <c r="Y174" s="21"/>
      <c r="Z174" s="29"/>
      <c r="AB174" s="27"/>
      <c r="AC174" s="28"/>
      <c r="AD174" s="28"/>
      <c r="AE174" s="21"/>
      <c r="AF174" s="28"/>
      <c r="AG174" s="21"/>
      <c r="AH174" s="21"/>
      <c r="AI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  <c r="J175" s="27" t="s">
        <v>202</v>
      </c>
      <c r="K175" s="28" t="s">
        <v>148</v>
      </c>
      <c r="L175" s="28"/>
      <c r="M175" s="21"/>
      <c r="N175" s="28" t="s">
        <v>149</v>
      </c>
      <c r="O175" s="21"/>
      <c r="P175" s="21"/>
      <c r="Q175" s="29"/>
      <c r="S175" s="27" t="s">
        <v>202</v>
      </c>
      <c r="T175" s="28" t="s">
        <v>148</v>
      </c>
      <c r="U175" s="28"/>
      <c r="V175" s="21"/>
      <c r="W175" s="28" t="s">
        <v>149</v>
      </c>
      <c r="X175" s="21"/>
      <c r="Y175" s="21"/>
      <c r="Z175" s="29"/>
      <c r="AB175" s="27" t="s">
        <v>202</v>
      </c>
      <c r="AC175" s="28" t="s">
        <v>148</v>
      </c>
      <c r="AD175" s="28"/>
      <c r="AE175" s="21"/>
      <c r="AF175" s="28" t="s">
        <v>149</v>
      </c>
      <c r="AG175" s="21"/>
      <c r="AH175" s="21"/>
      <c r="AI175" s="29"/>
    </row>
    <row r="176" spans="1:35">
      <c r="A176" s="138">
        <f>H147</f>
        <v>82076.517999999996</v>
      </c>
      <c r="B176" s="34">
        <f>B111</f>
        <v>5000</v>
      </c>
      <c r="C176" s="34"/>
      <c r="D176" s="21"/>
      <c r="E176" s="34">
        <f>E111</f>
        <v>4000</v>
      </c>
      <c r="F176" s="21"/>
      <c r="G176" s="21"/>
      <c r="H176" s="90"/>
      <c r="J176" s="138">
        <f>Q141</f>
        <v>34235.007999999994</v>
      </c>
      <c r="K176" s="34">
        <f>K111</f>
        <v>1000</v>
      </c>
      <c r="L176" s="34"/>
      <c r="M176" s="21"/>
      <c r="N176" s="34">
        <f>N111</f>
        <v>0</v>
      </c>
      <c r="O176" s="21"/>
      <c r="P176" s="21"/>
      <c r="Q176" s="90"/>
      <c r="S176" s="138">
        <f>Z141</f>
        <v>50801.256999999998</v>
      </c>
      <c r="T176" s="34">
        <f>T111</f>
        <v>1000</v>
      </c>
      <c r="U176" s="34"/>
      <c r="V176" s="21"/>
      <c r="W176" s="34">
        <f>W111</f>
        <v>0</v>
      </c>
      <c r="X176" s="21"/>
      <c r="Y176" s="21"/>
      <c r="Z176" s="90"/>
      <c r="AB176" s="138">
        <f>AI141</f>
        <v>50801.256999999998</v>
      </c>
      <c r="AC176" s="34">
        <f>AC111</f>
        <v>1000</v>
      </c>
      <c r="AD176" s="34"/>
      <c r="AE176" s="21"/>
      <c r="AF176" s="34">
        <f>AF111</f>
        <v>0</v>
      </c>
      <c r="AG176" s="21"/>
      <c r="AH176" s="21"/>
      <c r="AI176" s="90"/>
    </row>
    <row r="177" spans="1:35">
      <c r="A177" s="27"/>
      <c r="B177" s="28"/>
      <c r="C177" s="28"/>
      <c r="D177" s="21"/>
      <c r="E177" s="28"/>
      <c r="F177" s="21"/>
      <c r="G177" s="21"/>
      <c r="H177" s="29"/>
      <c r="J177" s="27"/>
      <c r="K177" s="28"/>
      <c r="L177" s="28"/>
      <c r="M177" s="21"/>
      <c r="N177" s="28"/>
      <c r="O177" s="21"/>
      <c r="P177" s="21"/>
      <c r="Q177" s="29"/>
      <c r="S177" s="27"/>
      <c r="T177" s="28"/>
      <c r="U177" s="28"/>
      <c r="V177" s="21"/>
      <c r="W177" s="28"/>
      <c r="X177" s="21"/>
      <c r="Y177" s="21"/>
      <c r="Z177" s="29"/>
      <c r="AB177" s="27"/>
      <c r="AC177" s="28"/>
      <c r="AD177" s="28"/>
      <c r="AE177" s="21"/>
      <c r="AF177" s="28"/>
      <c r="AG177" s="21"/>
      <c r="AH177" s="21"/>
      <c r="AI177" s="29"/>
    </row>
    <row r="178" spans="1:35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  <c r="J178" s="27" t="s">
        <v>150</v>
      </c>
      <c r="K178" s="28" t="s">
        <v>185</v>
      </c>
      <c r="L178" s="28"/>
      <c r="M178" s="21"/>
      <c r="N178" s="28" t="s">
        <v>191</v>
      </c>
      <c r="O178" s="21"/>
      <c r="P178" s="21"/>
      <c r="Q178" s="29"/>
      <c r="S178" s="27" t="s">
        <v>150</v>
      </c>
      <c r="T178" s="28" t="s">
        <v>185</v>
      </c>
      <c r="U178" s="28"/>
      <c r="V178" s="21"/>
      <c r="W178" s="28" t="s">
        <v>191</v>
      </c>
      <c r="X178" s="21"/>
      <c r="Y178" s="21"/>
      <c r="Z178" s="29"/>
      <c r="AB178" s="27" t="s">
        <v>150</v>
      </c>
      <c r="AC178" s="28" t="s">
        <v>185</v>
      </c>
      <c r="AD178" s="28"/>
      <c r="AE178" s="21"/>
      <c r="AF178" s="28" t="s">
        <v>191</v>
      </c>
      <c r="AG178" s="21"/>
      <c r="AH178" s="21"/>
      <c r="AI178" s="29"/>
    </row>
    <row r="179" spans="1:35">
      <c r="A179" s="94">
        <f>B176+E176</f>
        <v>9000</v>
      </c>
      <c r="B179" s="34">
        <f>G154</f>
        <v>0</v>
      </c>
      <c r="C179" s="34"/>
      <c r="D179" s="21"/>
      <c r="E179" s="34">
        <f>G158</f>
        <v>73076.517999999996</v>
      </c>
      <c r="F179" s="21"/>
      <c r="G179" s="21"/>
      <c r="H179" s="90"/>
      <c r="J179" s="94">
        <f>K176+N176</f>
        <v>1000</v>
      </c>
      <c r="K179" s="34">
        <f>P154</f>
        <v>-2000</v>
      </c>
      <c r="L179" s="34"/>
      <c r="M179" s="21"/>
      <c r="N179" s="34">
        <f>J176-J179-K179</f>
        <v>35235.007999999994</v>
      </c>
      <c r="O179" s="21"/>
      <c r="P179" s="21"/>
      <c r="Q179" s="90"/>
      <c r="S179" s="94">
        <f>T176+W176</f>
        <v>1000</v>
      </c>
      <c r="T179" s="34">
        <f>Y154</f>
        <v>-2000</v>
      </c>
      <c r="U179" s="34"/>
      <c r="V179" s="21"/>
      <c r="W179" s="34">
        <f>S176-S179-T179</f>
        <v>51801.256999999998</v>
      </c>
      <c r="X179" s="21"/>
      <c r="Y179" s="21"/>
      <c r="Z179" s="90"/>
      <c r="AB179" s="94">
        <f>AC176+AF176</f>
        <v>1000</v>
      </c>
      <c r="AC179" s="34">
        <f>AH154</f>
        <v>-2000</v>
      </c>
      <c r="AD179" s="34"/>
      <c r="AE179" s="21"/>
      <c r="AF179" s="34">
        <f>AB176-AB179-AC179</f>
        <v>51801.256999999998</v>
      </c>
      <c r="AG179" s="21"/>
      <c r="AH179" s="21"/>
      <c r="AI179" s="90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  <c r="J181" s="27" t="s">
        <v>203</v>
      </c>
      <c r="K181" s="28" t="s">
        <v>66</v>
      </c>
      <c r="L181" s="28"/>
      <c r="M181" s="21"/>
      <c r="N181" s="28" t="s">
        <v>204</v>
      </c>
      <c r="O181" s="21"/>
      <c r="P181" s="21"/>
      <c r="Q181" s="29"/>
      <c r="S181" s="27" t="s">
        <v>203</v>
      </c>
      <c r="T181" s="28" t="s">
        <v>66</v>
      </c>
      <c r="U181" s="28"/>
      <c r="V181" s="21"/>
      <c r="W181" s="28" t="s">
        <v>204</v>
      </c>
      <c r="X181" s="21"/>
      <c r="Y181" s="21"/>
      <c r="Z181" s="29"/>
      <c r="AB181" s="27" t="s">
        <v>203</v>
      </c>
      <c r="AC181" s="28" t="s">
        <v>66</v>
      </c>
      <c r="AD181" s="28"/>
      <c r="AE181" s="21"/>
      <c r="AF181" s="28" t="s">
        <v>204</v>
      </c>
      <c r="AG181" s="21"/>
      <c r="AH181" s="21"/>
      <c r="AI181" s="29"/>
    </row>
    <row r="182" spans="1:35">
      <c r="A182" s="94">
        <f>(ROUND(A167, 2)*B59)+ROUND(E185, 2)-ROUND(E179, 2)-ROUND(A185,2)</f>
        <v>15016.539999999994</v>
      </c>
      <c r="B182" s="34">
        <f>B114</f>
        <v>199.99166666666667</v>
      </c>
      <c r="C182" s="34"/>
      <c r="D182" s="21"/>
      <c r="E182" s="34">
        <f>ROUND(E179, 2)+ROUND(A182, 2)+(ROUND(B182, 2)*1.2)+ROUND(A185, 2)</f>
        <v>88343.047999999995</v>
      </c>
      <c r="F182" s="21"/>
      <c r="G182" s="21"/>
      <c r="H182" s="90"/>
      <c r="J182" s="94">
        <f>(J167*K59)+N185-N179-J185</f>
        <v>22024.749469027665</v>
      </c>
      <c r="K182" s="34">
        <f>K114</f>
        <v>239.99</v>
      </c>
      <c r="L182" s="34"/>
      <c r="M182" s="21"/>
      <c r="N182" s="34">
        <f>N179+J182+K182+J185</f>
        <v>57519.747469027658</v>
      </c>
      <c r="O182" s="21"/>
      <c r="P182" s="21"/>
      <c r="Q182" s="90"/>
      <c r="S182" s="94">
        <f>(S167*T59)+W185-W179-S185</f>
        <v>12145.276051714973</v>
      </c>
      <c r="T182" s="34">
        <f>T114</f>
        <v>199.99</v>
      </c>
      <c r="U182" s="34"/>
      <c r="V182" s="21"/>
      <c r="W182" s="34">
        <f>W179+S182+T182+S185</f>
        <v>64156.523051714968</v>
      </c>
      <c r="X182" s="21"/>
      <c r="Y182" s="21"/>
      <c r="Z182" s="90"/>
      <c r="AB182" s="94">
        <f>(AB167*AC59)+AF185-AF179-AB185</f>
        <v>12145.276051714973</v>
      </c>
      <c r="AC182" s="34">
        <f>AC114</f>
        <v>239.99</v>
      </c>
      <c r="AD182" s="34"/>
      <c r="AE182" s="21"/>
      <c r="AF182" s="34">
        <f>AF179+AB182+AC182+AB185</f>
        <v>64196.523051714968</v>
      </c>
      <c r="AG182" s="21"/>
      <c r="AH182" s="21"/>
      <c r="AI182" s="90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  <c r="J184" s="27" t="s">
        <v>205</v>
      </c>
      <c r="K184" s="28" t="s">
        <v>206</v>
      </c>
      <c r="L184" s="28"/>
      <c r="M184" s="21"/>
      <c r="N184" s="28" t="s">
        <v>207</v>
      </c>
      <c r="O184" s="21"/>
      <c r="P184" s="21"/>
      <c r="Q184" s="29"/>
      <c r="S184" s="27" t="s">
        <v>205</v>
      </c>
      <c r="T184" s="28" t="s">
        <v>206</v>
      </c>
      <c r="U184" s="28"/>
      <c r="V184" s="21"/>
      <c r="W184" s="28" t="s">
        <v>207</v>
      </c>
      <c r="X184" s="21"/>
      <c r="Y184" s="21"/>
      <c r="Z184" s="29"/>
      <c r="AB184" s="27" t="s">
        <v>205</v>
      </c>
      <c r="AC184" s="28" t="s">
        <v>206</v>
      </c>
      <c r="AD184" s="28"/>
      <c r="AE184" s="21"/>
      <c r="AF184" s="28" t="s">
        <v>207</v>
      </c>
      <c r="AG184" s="21"/>
      <c r="AH184" s="21"/>
      <c r="AI184" s="29"/>
    </row>
    <row r="185" spans="1:35">
      <c r="A185" s="94">
        <f>B60</f>
        <v>10</v>
      </c>
      <c r="B185" s="34">
        <f>A179+(B182*1.2)</f>
        <v>9239.99</v>
      </c>
      <c r="C185" s="34"/>
      <c r="D185" s="21"/>
      <c r="E185" s="34">
        <f>IF( E170=0, A185+E167, E170+A185)</f>
        <v>9347.5</v>
      </c>
      <c r="F185" s="21"/>
      <c r="G185" s="21"/>
      <c r="H185" s="90"/>
      <c r="J185" s="94">
        <f>K60</f>
        <v>20</v>
      </c>
      <c r="K185" s="34">
        <f>J179+K182</f>
        <v>1239.99</v>
      </c>
      <c r="L185" s="34"/>
      <c r="M185" s="21"/>
      <c r="N185" s="34">
        <f>N170+J185</f>
        <v>9357.5</v>
      </c>
      <c r="O185" s="21"/>
      <c r="P185" s="21"/>
      <c r="Q185" s="90"/>
      <c r="S185" s="94">
        <f>T60</f>
        <v>10</v>
      </c>
      <c r="T185" s="34">
        <f>S179+T182</f>
        <v>1199.99</v>
      </c>
      <c r="U185" s="34"/>
      <c r="V185" s="21"/>
      <c r="W185" s="34">
        <f>W170+S185</f>
        <v>9347.5</v>
      </c>
      <c r="X185" s="21"/>
      <c r="Y185" s="21"/>
      <c r="Z185" s="90"/>
      <c r="AB185" s="94">
        <f>AC60</f>
        <v>10</v>
      </c>
      <c r="AC185" s="34">
        <f>AB179+AC182</f>
        <v>1239.99</v>
      </c>
      <c r="AD185" s="34"/>
      <c r="AE185" s="21"/>
      <c r="AF185" s="34">
        <f>AF170+AB185</f>
        <v>9347.5</v>
      </c>
      <c r="AG185" s="21"/>
      <c r="AH185" s="21"/>
      <c r="AI185" s="90"/>
    </row>
    <row r="186" spans="1:35">
      <c r="A186" s="27"/>
      <c r="B186" s="28"/>
      <c r="C186" s="28"/>
      <c r="D186" s="28"/>
      <c r="E186" s="21"/>
      <c r="F186" s="21"/>
      <c r="G186" s="21"/>
      <c r="H186" s="29"/>
      <c r="J186" s="27"/>
      <c r="K186" s="28"/>
      <c r="L186" s="28"/>
      <c r="M186" s="28"/>
      <c r="N186" s="21"/>
      <c r="O186" s="21"/>
      <c r="P186" s="21"/>
      <c r="Q186" s="29"/>
      <c r="S186" s="27"/>
      <c r="T186" s="28"/>
      <c r="U186" s="28"/>
      <c r="V186" s="28"/>
      <c r="W186" s="21"/>
      <c r="X186" s="28"/>
      <c r="Y186" s="28"/>
      <c r="Z186" s="29"/>
      <c r="AB186" s="27"/>
      <c r="AC186" s="28"/>
      <c r="AD186" s="28"/>
      <c r="AE186" s="28"/>
      <c r="AF186" s="21"/>
      <c r="AG186" s="21"/>
      <c r="AH186" s="21"/>
      <c r="AI186" s="29"/>
    </row>
    <row r="187" spans="1:35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  <c r="J187" s="27" t="s">
        <v>208</v>
      </c>
      <c r="K187" s="28" t="s">
        <v>209</v>
      </c>
      <c r="L187" s="28"/>
      <c r="M187" s="28"/>
      <c r="N187" s="35" t="s">
        <v>210</v>
      </c>
      <c r="O187" s="21"/>
      <c r="P187" s="21"/>
      <c r="Q187" s="29"/>
      <c r="S187" s="27" t="s">
        <v>208</v>
      </c>
      <c r="T187" s="28" t="s">
        <v>209</v>
      </c>
      <c r="U187" s="28"/>
      <c r="V187" s="28"/>
      <c r="W187" s="35" t="s">
        <v>210</v>
      </c>
      <c r="X187" s="28"/>
      <c r="Y187" s="28"/>
      <c r="Z187" s="29"/>
      <c r="AB187" s="27" t="s">
        <v>208</v>
      </c>
      <c r="AC187" s="28" t="s">
        <v>209</v>
      </c>
      <c r="AD187" s="28"/>
      <c r="AE187" s="28"/>
      <c r="AF187" s="35" t="s">
        <v>210</v>
      </c>
      <c r="AG187" s="28"/>
      <c r="AH187" s="28"/>
      <c r="AI187" s="29"/>
    </row>
    <row r="188" spans="1:35">
      <c r="A188" s="94">
        <f>IF(E105="YES",J18*0.000002,0)*100</f>
        <v>13.815</v>
      </c>
      <c r="B188" s="34">
        <f>(G158*B67)</f>
        <v>548.0738849999999</v>
      </c>
      <c r="C188" s="28"/>
      <c r="D188" s="28"/>
      <c r="E188" s="34">
        <f>(E40*A108)*0.1*(C45/100)</f>
        <v>124.61400000000002</v>
      </c>
      <c r="F188" s="21"/>
      <c r="G188" s="21"/>
      <c r="H188" s="29"/>
      <c r="J188" s="94">
        <f>IF(N105="YES",H15*0.000002,0)</f>
        <v>0.13679419999999998</v>
      </c>
      <c r="K188" s="34">
        <f>(P158*K67)/1.2</f>
        <v>2171.6020555555556</v>
      </c>
      <c r="L188" s="28"/>
      <c r="M188" s="28"/>
      <c r="N188" s="34">
        <f>(E40*J108)*0.1</f>
        <v>186.92099999999999</v>
      </c>
      <c r="O188" s="21"/>
      <c r="P188" s="21"/>
      <c r="Q188" s="29"/>
      <c r="S188" s="94">
        <f>IF(W105="YES",Z15*0.000002,0)</f>
        <v>0</v>
      </c>
      <c r="T188" s="34">
        <f>(Y158*T67)/1.2</f>
        <v>422.68386788194442</v>
      </c>
      <c r="U188" s="28"/>
      <c r="V188" s="28"/>
      <c r="W188" s="34">
        <f>(E40*S108)*0.1</f>
        <v>124.61400000000002</v>
      </c>
      <c r="X188" s="28"/>
      <c r="Y188" s="28"/>
      <c r="Z188" s="29"/>
      <c r="AB188" s="94">
        <f>IF(AF105="YES",AI15*0.000002,0)</f>
        <v>0</v>
      </c>
      <c r="AC188" s="34">
        <f>(AH158*AC67)/1.2</f>
        <v>422.68386788194442</v>
      </c>
      <c r="AD188" s="28"/>
      <c r="AE188" s="28"/>
      <c r="AF188" s="34">
        <f>(E40*AB108)*0.1</f>
        <v>124.61400000000002</v>
      </c>
      <c r="AG188" s="28"/>
      <c r="AH188" s="28"/>
      <c r="AI188" s="29"/>
    </row>
    <row r="189" spans="1:35">
      <c r="A189" s="94"/>
      <c r="B189" s="34"/>
      <c r="C189" s="28"/>
      <c r="D189" s="28"/>
      <c r="E189" s="21"/>
      <c r="F189" s="21"/>
      <c r="G189" s="21"/>
      <c r="H189" s="29"/>
      <c r="J189" s="94"/>
      <c r="K189" s="34"/>
      <c r="L189" s="28"/>
      <c r="M189" s="28"/>
      <c r="N189" s="21"/>
      <c r="O189" s="21"/>
      <c r="P189" s="21"/>
      <c r="Q189" s="29"/>
      <c r="S189" s="94"/>
      <c r="T189" s="34"/>
      <c r="U189" s="28"/>
      <c r="V189" s="28"/>
      <c r="W189" s="21"/>
      <c r="X189" s="28"/>
      <c r="Y189" s="28"/>
      <c r="Z189" s="29"/>
      <c r="AB189" s="94"/>
      <c r="AC189" s="34"/>
      <c r="AD189" s="28"/>
      <c r="AE189" s="28"/>
      <c r="AF189" s="21"/>
      <c r="AG189" s="28"/>
      <c r="AH189" s="28"/>
      <c r="AI189" s="29"/>
    </row>
    <row r="190" spans="1:35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  <c r="J190" s="53" t="s">
        <v>211</v>
      </c>
      <c r="K190" s="35" t="s">
        <v>212</v>
      </c>
      <c r="L190" s="28"/>
      <c r="M190" s="28"/>
      <c r="N190" s="35" t="s">
        <v>213</v>
      </c>
      <c r="O190" s="21"/>
      <c r="P190" s="21"/>
      <c r="Q190" s="29"/>
      <c r="S190" s="53" t="s">
        <v>211</v>
      </c>
      <c r="T190" s="35" t="s">
        <v>212</v>
      </c>
      <c r="U190" s="28"/>
      <c r="V190" s="28"/>
      <c r="W190" s="35" t="s">
        <v>213</v>
      </c>
      <c r="X190" s="28"/>
      <c r="Y190" s="28"/>
      <c r="Z190" s="29"/>
      <c r="AB190" s="53" t="s">
        <v>211</v>
      </c>
      <c r="AC190" s="35" t="s">
        <v>212</v>
      </c>
      <c r="AD190" s="28"/>
      <c r="AE190" s="28"/>
      <c r="AF190" s="35" t="s">
        <v>213</v>
      </c>
      <c r="AG190" s="28"/>
      <c r="AH190" s="28"/>
      <c r="AI190" s="29"/>
    </row>
    <row r="191" spans="1:35">
      <c r="A191" s="94">
        <v>20</v>
      </c>
      <c r="B191" s="34">
        <f>B188+E188+A191</f>
        <v>692.68788499999994</v>
      </c>
      <c r="C191" s="28"/>
      <c r="D191" s="28"/>
      <c r="E191" s="34">
        <f>H148</f>
        <v>11399.515000000003</v>
      </c>
      <c r="F191" s="21"/>
      <c r="G191" s="21"/>
      <c r="H191" s="29"/>
      <c r="J191" s="94">
        <f>K185-100</f>
        <v>1139.99</v>
      </c>
      <c r="K191" s="34">
        <f>K188+N188+J191</f>
        <v>3498.5130555555552</v>
      </c>
      <c r="L191" s="28"/>
      <c r="M191" s="28"/>
      <c r="N191" s="34">
        <f>Q148</f>
        <v>-34162.091999999997</v>
      </c>
      <c r="O191" s="21"/>
      <c r="P191" s="21"/>
      <c r="Q191" s="29"/>
      <c r="S191" s="94">
        <f>T185-100</f>
        <v>1099.99</v>
      </c>
      <c r="T191" s="34">
        <f>T188+W188+S191</f>
        <v>1647.2878678819443</v>
      </c>
      <c r="U191" s="28"/>
      <c r="V191" s="28"/>
      <c r="W191" s="34">
        <f>Z148</f>
        <v>-17595.842999999993</v>
      </c>
      <c r="X191" s="28"/>
      <c r="Y191" s="28"/>
      <c r="Z191" s="29"/>
      <c r="AB191" s="94">
        <f>AC185-100</f>
        <v>1139.99</v>
      </c>
      <c r="AC191" s="34">
        <f>AC188+AF188+AB191</f>
        <v>1687.2878678819443</v>
      </c>
      <c r="AD191" s="28"/>
      <c r="AE191" s="28"/>
      <c r="AF191" s="34">
        <f>AI148</f>
        <v>-17595.842999999993</v>
      </c>
      <c r="AG191" s="28"/>
      <c r="AH191" s="28"/>
      <c r="AI191" s="29"/>
    </row>
    <row r="192" spans="1:35">
      <c r="A192" s="27"/>
      <c r="B192" s="28"/>
      <c r="C192" s="28"/>
      <c r="D192" s="28"/>
      <c r="E192" s="21"/>
      <c r="F192" s="21"/>
      <c r="G192" s="21"/>
      <c r="H192" s="29"/>
      <c r="J192" s="27"/>
      <c r="K192" s="28"/>
      <c r="L192" s="28"/>
      <c r="M192" s="28"/>
      <c r="N192" s="21"/>
      <c r="O192" s="21"/>
      <c r="P192" s="21"/>
      <c r="Q192" s="29"/>
      <c r="S192" s="27"/>
      <c r="T192" s="28"/>
      <c r="U192" s="28"/>
      <c r="V192" s="28"/>
      <c r="W192" s="21"/>
      <c r="X192" s="21"/>
      <c r="Y192" s="21"/>
      <c r="Z192" s="29"/>
      <c r="AB192" s="27"/>
      <c r="AC192" s="28"/>
      <c r="AD192" s="28"/>
      <c r="AE192" s="28"/>
      <c r="AF192" s="21"/>
      <c r="AG192" s="21"/>
      <c r="AH192" s="21"/>
      <c r="AI192" s="29"/>
    </row>
    <row r="193" spans="1:35">
      <c r="A193" s="58" t="s">
        <v>214</v>
      </c>
      <c r="B193" s="28"/>
      <c r="C193" s="28"/>
      <c r="D193" s="59"/>
      <c r="E193" s="59"/>
      <c r="F193" s="59"/>
      <c r="G193" s="59"/>
      <c r="H193" s="60"/>
      <c r="J193" s="58" t="s">
        <v>214</v>
      </c>
      <c r="K193" s="28"/>
      <c r="L193" s="28"/>
      <c r="M193" s="59"/>
      <c r="N193" s="59"/>
      <c r="O193" s="59"/>
      <c r="P193" s="59"/>
      <c r="Q193" s="60"/>
      <c r="S193" s="58" t="s">
        <v>214</v>
      </c>
      <c r="T193" s="28"/>
      <c r="U193" s="28"/>
      <c r="V193" s="59"/>
      <c r="W193" s="59"/>
      <c r="X193" s="59"/>
      <c r="Y193" s="59"/>
      <c r="Z193" s="60"/>
      <c r="AB193" s="58" t="s">
        <v>214</v>
      </c>
      <c r="AC193" s="28"/>
      <c r="AD193" s="28"/>
      <c r="AE193" s="59"/>
      <c r="AF193" s="59"/>
      <c r="AG193" s="59"/>
      <c r="AH193" s="59"/>
      <c r="AI193" s="60"/>
    </row>
    <row r="194" spans="1:35">
      <c r="A194" s="27"/>
      <c r="B194" s="61"/>
      <c r="C194" s="61"/>
      <c r="D194" s="28"/>
      <c r="E194" s="21"/>
      <c r="F194" s="21"/>
      <c r="G194" s="21"/>
      <c r="H194" s="29"/>
      <c r="J194" s="27"/>
      <c r="K194" s="61"/>
      <c r="L194" s="61"/>
      <c r="M194" s="28"/>
      <c r="N194" s="21"/>
      <c r="O194" s="21"/>
      <c r="P194" s="21"/>
      <c r="Q194" s="29"/>
      <c r="S194" s="27"/>
      <c r="T194" s="61"/>
      <c r="U194" s="61"/>
      <c r="V194" s="28"/>
      <c r="W194" s="21"/>
      <c r="X194" s="21"/>
      <c r="Y194" s="21"/>
      <c r="Z194" s="29"/>
      <c r="AB194" s="27"/>
      <c r="AC194" s="61"/>
      <c r="AD194" s="61"/>
      <c r="AE194" s="28"/>
      <c r="AF194" s="21"/>
      <c r="AG194" s="21"/>
      <c r="AH194" s="21"/>
      <c r="AI194" s="29"/>
    </row>
    <row r="195" spans="1:35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69" t="s">
        <v>94</v>
      </c>
      <c r="K195" s="341" t="s">
        <v>95</v>
      </c>
      <c r="L195" s="341"/>
      <c r="M195" s="341"/>
      <c r="N195" s="21"/>
      <c r="O195" s="21"/>
      <c r="P195" s="21"/>
      <c r="Q195" s="29"/>
      <c r="S195" s="369" t="s">
        <v>94</v>
      </c>
      <c r="T195" s="341" t="s">
        <v>95</v>
      </c>
      <c r="U195" s="341"/>
      <c r="V195" s="341"/>
      <c r="W195" s="21"/>
      <c r="X195" s="21"/>
      <c r="Y195" s="21"/>
      <c r="Z195" s="29"/>
      <c r="AB195" s="369" t="s">
        <v>94</v>
      </c>
      <c r="AC195" s="341" t="s">
        <v>95</v>
      </c>
      <c r="AD195" s="341"/>
      <c r="AE195" s="341"/>
      <c r="AF195" s="21"/>
      <c r="AG195" s="21"/>
      <c r="AH195" s="21"/>
      <c r="AI195" s="29"/>
    </row>
    <row r="196" spans="1:35" ht="19.5" customHeight="1">
      <c r="A196" s="369"/>
      <c r="B196" s="342">
        <f>K30</f>
        <v>35000</v>
      </c>
      <c r="C196" s="342"/>
      <c r="D196" s="342"/>
      <c r="E196" s="21"/>
      <c r="F196" s="21"/>
      <c r="G196" s="21"/>
      <c r="H196" s="29"/>
      <c r="J196" s="369"/>
      <c r="K196" s="342">
        <f>K30</f>
        <v>35000</v>
      </c>
      <c r="L196" s="342"/>
      <c r="M196" s="342"/>
      <c r="N196" s="21"/>
      <c r="O196" s="21"/>
      <c r="P196" s="21"/>
      <c r="Q196" s="29"/>
      <c r="S196" s="369"/>
      <c r="T196" s="342">
        <f>K30</f>
        <v>35000</v>
      </c>
      <c r="U196" s="342"/>
      <c r="V196" s="342"/>
      <c r="W196" s="21"/>
      <c r="X196" s="21"/>
      <c r="Y196" s="21"/>
      <c r="Z196" s="29"/>
      <c r="AB196" s="369"/>
      <c r="AC196" s="342">
        <f>K30</f>
        <v>35000</v>
      </c>
      <c r="AD196" s="342"/>
      <c r="AE196" s="342"/>
      <c r="AF196" s="21"/>
      <c r="AG196" s="21"/>
      <c r="AH196" s="21"/>
      <c r="AI196" s="29"/>
    </row>
    <row r="197" spans="1:35">
      <c r="A197" s="62">
        <f>K29</f>
        <v>35</v>
      </c>
      <c r="B197" s="343">
        <f>B96</f>
        <v>2536.2439602075865</v>
      </c>
      <c r="C197" s="343"/>
      <c r="D197" s="343"/>
      <c r="E197" s="21"/>
      <c r="F197" s="21"/>
      <c r="G197" s="21"/>
      <c r="H197" s="29"/>
      <c r="J197" s="62">
        <f>K29</f>
        <v>35</v>
      </c>
      <c r="K197" s="343">
        <f>K96</f>
        <v>1687.1893608537546</v>
      </c>
      <c r="L197" s="343"/>
      <c r="M197" s="343"/>
      <c r="N197" s="21"/>
      <c r="O197" s="21"/>
      <c r="P197" s="21"/>
      <c r="Q197" s="29"/>
      <c r="S197" s="62">
        <f>K29</f>
        <v>35</v>
      </c>
      <c r="T197" s="343">
        <f>T96</f>
        <v>1826.0550897563228</v>
      </c>
      <c r="U197" s="343"/>
      <c r="V197" s="343"/>
      <c r="W197" s="21"/>
      <c r="X197" s="21"/>
      <c r="Y197" s="21"/>
      <c r="Z197" s="29"/>
      <c r="AB197" s="62">
        <f>K29</f>
        <v>35</v>
      </c>
      <c r="AC197" s="343">
        <f>AC96</f>
        <v>1870.0365015210286</v>
      </c>
      <c r="AD197" s="343"/>
      <c r="AE197" s="343"/>
      <c r="AF197" s="21"/>
      <c r="AG197" s="21"/>
      <c r="AH197" s="21"/>
      <c r="AI197" s="29"/>
    </row>
    <row r="198" spans="1:35">
      <c r="A198" s="27"/>
      <c r="B198" s="28"/>
      <c r="C198" s="28"/>
      <c r="D198" s="28"/>
      <c r="E198" s="21"/>
      <c r="F198" s="21"/>
      <c r="G198" s="21"/>
      <c r="H198" s="29"/>
      <c r="J198" s="27"/>
      <c r="K198" s="28"/>
      <c r="L198" s="28"/>
      <c r="M198" s="28"/>
      <c r="N198" s="21"/>
      <c r="O198" s="21"/>
      <c r="P198" s="21"/>
      <c r="Q198" s="29"/>
      <c r="S198" s="27"/>
      <c r="T198" s="28"/>
      <c r="U198" s="28"/>
      <c r="V198" s="28"/>
      <c r="W198" s="21"/>
      <c r="X198" s="21"/>
      <c r="Y198" s="21"/>
      <c r="Z198" s="29"/>
      <c r="AB198" s="27"/>
      <c r="AC198" s="28"/>
      <c r="AD198" s="28"/>
      <c r="AE198" s="28"/>
      <c r="AF198" s="21"/>
      <c r="AG198" s="21"/>
      <c r="AH198" s="21"/>
      <c r="AI198" s="29"/>
    </row>
    <row r="199" spans="1:35">
      <c r="A199" s="27"/>
      <c r="B199" s="28"/>
      <c r="C199" s="28"/>
      <c r="D199" s="28"/>
      <c r="E199" s="21"/>
      <c r="F199" s="21"/>
      <c r="G199" s="21"/>
      <c r="H199" s="29"/>
      <c r="J199" s="27"/>
      <c r="K199" s="28"/>
      <c r="L199" s="28"/>
      <c r="M199" s="28"/>
      <c r="N199" s="21"/>
      <c r="O199" s="21"/>
      <c r="P199" s="21"/>
      <c r="Q199" s="29"/>
      <c r="S199" s="27"/>
      <c r="T199" s="28"/>
      <c r="U199" s="28"/>
      <c r="V199" s="28"/>
      <c r="W199" s="21"/>
      <c r="X199" s="21"/>
      <c r="Y199" s="21"/>
      <c r="Z199" s="29"/>
      <c r="AB199" s="27"/>
      <c r="AC199" s="28"/>
      <c r="AD199" s="28"/>
      <c r="AE199" s="28"/>
      <c r="AF199" s="21"/>
      <c r="AG199" s="21"/>
      <c r="AH199" s="21"/>
      <c r="AI199" s="29"/>
    </row>
    <row r="200" spans="1:35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  <c r="J200" s="27"/>
      <c r="K200" s="28"/>
      <c r="L200" s="28"/>
      <c r="M200" s="28"/>
      <c r="N200" s="21"/>
      <c r="O200" s="21"/>
      <c r="P200" s="21"/>
      <c r="Q200" s="29"/>
      <c r="S200" s="27"/>
      <c r="T200" s="28"/>
      <c r="U200" s="28"/>
      <c r="V200" s="28"/>
      <c r="W200" s="21"/>
      <c r="X200" s="21"/>
      <c r="Y200" s="21"/>
      <c r="Z200" s="29"/>
      <c r="AB200" s="27"/>
      <c r="AC200" s="28"/>
      <c r="AD200" s="28"/>
      <c r="AE200" s="28"/>
      <c r="AF200" s="21"/>
      <c r="AG200" s="21"/>
      <c r="AH200" s="21"/>
      <c r="AI200" s="29"/>
    </row>
    <row r="201" spans="1:35">
      <c r="A201" s="32">
        <f>IF(A40=0,((G167*(B59+1))-E179),((G167*B59)+E185-E179-A185))</f>
        <v>8615.7020000000048</v>
      </c>
      <c r="B201" s="38">
        <f>E179+A201+(B182*1.2)+A185</f>
        <v>81942.210000000006</v>
      </c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49"/>
      <c r="B202" s="50"/>
      <c r="C202" s="50"/>
      <c r="D202" s="50"/>
      <c r="E202" s="50"/>
      <c r="F202" s="50"/>
      <c r="G202" s="50"/>
      <c r="H202" s="57"/>
      <c r="J202" s="49"/>
      <c r="K202" s="50"/>
      <c r="L202" s="50"/>
      <c r="M202" s="50"/>
      <c r="N202" s="50"/>
      <c r="O202" s="50"/>
      <c r="P202" s="50"/>
      <c r="Q202" s="57"/>
      <c r="S202" s="49"/>
      <c r="T202" s="50"/>
      <c r="U202" s="50"/>
      <c r="V202" s="50"/>
      <c r="W202" s="50"/>
      <c r="X202" s="50"/>
      <c r="Y202" s="50"/>
      <c r="Z202" s="57"/>
      <c r="AB202" s="49"/>
      <c r="AC202" s="50"/>
      <c r="AD202" s="50"/>
      <c r="AE202" s="50"/>
      <c r="AF202" s="50"/>
      <c r="AG202" s="50"/>
      <c r="AH202" s="50"/>
      <c r="AI202" s="57"/>
    </row>
    <row r="206" spans="1:35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5">
      <c r="A207" s="27"/>
      <c r="B207" s="28"/>
      <c r="C207" s="28"/>
      <c r="D207" s="28"/>
      <c r="E207" s="21"/>
      <c r="F207" s="21"/>
      <c r="G207" s="21"/>
      <c r="H207" s="29"/>
    </row>
    <row r="208" spans="1:35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30" t="s">
        <v>279</v>
      </c>
      <c r="B209" s="131">
        <f>A197</f>
        <v>35</v>
      </c>
      <c r="C209" s="131"/>
      <c r="D209" s="131"/>
      <c r="E209" s="131">
        <f>B196</f>
        <v>35000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2316.336901384057</v>
      </c>
      <c r="B212" s="133">
        <f>B167</f>
        <v>219.90705882352941</v>
      </c>
      <c r="C212" s="131"/>
      <c r="D212" s="131"/>
      <c r="E212" s="133">
        <f>E167</f>
        <v>2536.2439602075865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67813.764999999999</v>
      </c>
      <c r="B215" s="34">
        <f>B173</f>
        <v>13562.753000000001</v>
      </c>
      <c r="C215" s="38"/>
      <c r="D215" s="21"/>
      <c r="E215" s="137">
        <f>E173</f>
        <v>700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82076.517999999996</v>
      </c>
      <c r="B218" s="34">
        <f>B176</f>
        <v>5000</v>
      </c>
      <c r="C218" s="34"/>
      <c r="D218" s="21"/>
      <c r="E218" s="34">
        <f>E176</f>
        <v>4000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9000</v>
      </c>
      <c r="B221" s="34">
        <f>B179</f>
        <v>0</v>
      </c>
      <c r="C221" s="34"/>
      <c r="D221" s="21"/>
      <c r="E221" s="34">
        <f>E179</f>
        <v>73076.517999999996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15016.539999999994</v>
      </c>
      <c r="B224" s="34">
        <f>B182</f>
        <v>199.99166666666667</v>
      </c>
      <c r="C224" s="34"/>
      <c r="D224" s="21"/>
      <c r="E224" s="34">
        <f>E182</f>
        <v>88343.047999999995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9239.99</v>
      </c>
      <c r="C227" s="34"/>
      <c r="D227" s="21"/>
      <c r="E227" s="34">
        <f>B59</f>
        <v>34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2316.336901384057</v>
      </c>
      <c r="B230" s="34">
        <f>B167</f>
        <v>219.90705882352941</v>
      </c>
      <c r="C230" s="38"/>
      <c r="D230" s="38"/>
      <c r="E230" s="34">
        <f>E167</f>
        <v>2536.2439602075865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198</v>
      </c>
      <c r="B232" s="28" t="s">
        <v>220</v>
      </c>
      <c r="C232" s="28"/>
      <c r="D232" s="28"/>
      <c r="E232" s="28" t="s">
        <v>221</v>
      </c>
      <c r="F232" s="21"/>
      <c r="G232" s="21"/>
      <c r="H232" s="29"/>
    </row>
    <row r="233" spans="1:8">
      <c r="A233" s="94">
        <f>E170</f>
        <v>9337.5</v>
      </c>
      <c r="B233" s="34">
        <f>E185</f>
        <v>9347.5</v>
      </c>
      <c r="C233" s="28"/>
      <c r="D233" s="28"/>
      <c r="E233" s="34">
        <f>A188</f>
        <v>13.815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142</v>
      </c>
      <c r="B235" s="34"/>
      <c r="C235" s="28"/>
      <c r="D235" s="28"/>
      <c r="E235" s="34"/>
      <c r="F235" s="21"/>
      <c r="G235" s="21"/>
      <c r="H235" s="29"/>
    </row>
    <row r="236" spans="1:8">
      <c r="A236" s="94"/>
      <c r="B236" s="34"/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11399.515000000003</v>
      </c>
      <c r="B240" s="34">
        <f>B68</f>
        <v>548.0738849999999</v>
      </c>
      <c r="C240" s="28"/>
      <c r="D240" s="28"/>
      <c r="E240" s="34">
        <f>E188</f>
        <v>124.61400000000002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20</v>
      </c>
      <c r="B243" s="34">
        <f>B240+E240+A243+A240-H156</f>
        <v>12092.202885000002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K35</f>
        <v>7.0000000000000007E-2</v>
      </c>
      <c r="C253" s="144"/>
      <c r="D253" s="374" t="s">
        <v>226</v>
      </c>
      <c r="E253" s="374"/>
      <c r="F253" s="143">
        <f>B83</f>
        <v>0.12000000000000001</v>
      </c>
      <c r="G253" s="21"/>
      <c r="H253" s="29"/>
    </row>
    <row r="254" spans="1:8">
      <c r="A254" s="139" t="s">
        <v>227</v>
      </c>
      <c r="B254" s="145">
        <f>(E182-B182)-(B201-B182-A185)</f>
        <v>6410.8379999999888</v>
      </c>
      <c r="C254" s="144"/>
      <c r="D254" s="374" t="s">
        <v>228</v>
      </c>
      <c r="E254" s="374"/>
      <c r="F254" s="146">
        <f>F261+F267+F269+B270+B271</f>
        <v>548.0738849999999</v>
      </c>
      <c r="G254" s="21"/>
      <c r="H254" s="29"/>
    </row>
    <row r="255" spans="1:8">
      <c r="A255" s="139" t="s">
        <v>229</v>
      </c>
      <c r="B255" s="146">
        <f>F262+B263</f>
        <v>1266.1400000000001</v>
      </c>
      <c r="C255" s="144"/>
      <c r="D255" s="374" t="s">
        <v>230</v>
      </c>
      <c r="E255" s="374"/>
      <c r="F255" s="146">
        <f>(B254-F254)+B255</f>
        <v>7128.9041149999894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10">
      <c r="A257" s="27" t="s">
        <v>225</v>
      </c>
      <c r="B257" s="151">
        <f>B253</f>
        <v>7.0000000000000007E-2</v>
      </c>
      <c r="C257" s="144"/>
      <c r="D257" s="144"/>
      <c r="E257" s="144"/>
      <c r="F257" s="144"/>
      <c r="G257" s="21"/>
      <c r="H257" s="29"/>
    </row>
    <row r="258" spans="1:10">
      <c r="A258" s="152"/>
      <c r="B258" s="153"/>
      <c r="C258" s="154"/>
      <c r="D258" s="154"/>
      <c r="E258" s="149"/>
      <c r="F258" s="149"/>
      <c r="G258" s="149"/>
      <c r="H258" s="150"/>
    </row>
    <row r="259" spans="1:10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10">
      <c r="A260" s="93" t="s">
        <v>226</v>
      </c>
      <c r="B260" s="155">
        <f>B83</f>
        <v>0.12000000000000001</v>
      </c>
      <c r="C260" s="38"/>
      <c r="D260" s="363" t="s">
        <v>227</v>
      </c>
      <c r="E260" s="363"/>
      <c r="F260" s="115">
        <f>B254</f>
        <v>6410.8379999999888</v>
      </c>
      <c r="G260" s="21"/>
      <c r="H260" s="29"/>
    </row>
    <row r="261" spans="1:10">
      <c r="A261" s="27" t="s">
        <v>233</v>
      </c>
      <c r="B261" s="155">
        <f>B67</f>
        <v>7.4999999999999997E-3</v>
      </c>
      <c r="C261" s="28"/>
      <c r="D261" s="363" t="s">
        <v>233</v>
      </c>
      <c r="E261" s="363"/>
      <c r="F261" s="119">
        <f>B68</f>
        <v>548.0738849999999</v>
      </c>
      <c r="G261" s="21"/>
      <c r="H261" s="29"/>
    </row>
    <row r="262" spans="1:10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1246.1400000000001</v>
      </c>
      <c r="G262" s="21"/>
      <c r="H262" s="29"/>
    </row>
    <row r="263" spans="1:10">
      <c r="A263" s="27" t="s">
        <v>235</v>
      </c>
      <c r="B263" s="115">
        <f>A243</f>
        <v>20</v>
      </c>
      <c r="C263" s="28"/>
      <c r="D263" s="35" t="s">
        <v>230</v>
      </c>
      <c r="E263" s="35"/>
      <c r="F263" s="115">
        <f>(B254-F254)+B255</f>
        <v>7128.9041149999894</v>
      </c>
      <c r="G263" s="21"/>
      <c r="H263" s="29"/>
    </row>
    <row r="264" spans="1:10">
      <c r="A264" s="94"/>
      <c r="B264" s="34"/>
      <c r="C264" s="28"/>
      <c r="D264" s="28"/>
      <c r="E264" s="34"/>
      <c r="F264" s="21"/>
      <c r="G264" s="21"/>
      <c r="H264" s="29"/>
    </row>
    <row r="265" spans="1:10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10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10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10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10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10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10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  <c r="J271" s="4">
        <v>4</v>
      </c>
    </row>
    <row r="272" spans="1:10">
      <c r="A272" s="49"/>
      <c r="B272" s="50"/>
      <c r="C272" s="50"/>
      <c r="D272" s="50"/>
      <c r="E272" s="50"/>
      <c r="F272" s="50"/>
      <c r="G272" s="50"/>
      <c r="H272" s="57"/>
    </row>
  </sheetData>
  <mergeCells count="287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J38:K38"/>
    <mergeCell ref="B40:D40"/>
    <mergeCell ref="C45:E45"/>
    <mergeCell ref="A50:A51"/>
    <mergeCell ref="B50:D50"/>
    <mergeCell ref="B51:D51"/>
    <mergeCell ref="B52:D52"/>
    <mergeCell ref="A100:H100"/>
    <mergeCell ref="J100:Q100"/>
    <mergeCell ref="B18:F18"/>
    <mergeCell ref="B19:F19"/>
    <mergeCell ref="B20:F20"/>
    <mergeCell ref="A21:F21"/>
    <mergeCell ref="A24:H24"/>
    <mergeCell ref="A28:H28"/>
    <mergeCell ref="B30:D30"/>
    <mergeCell ref="E33:G33"/>
    <mergeCell ref="E36:G36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A1:H1"/>
    <mergeCell ref="B2:C2"/>
    <mergeCell ref="D2:E2"/>
    <mergeCell ref="F2:G2"/>
    <mergeCell ref="B3:C3"/>
    <mergeCell ref="D3:E3"/>
    <mergeCell ref="F3:G3"/>
    <mergeCell ref="B4:C4"/>
    <mergeCell ref="D4:E4"/>
    <mergeCell ref="F4:G4"/>
  </mergeCells>
  <dataValidations count="3">
    <dataValidation type="list" allowBlank="1" showInputMessage="1" showErrorMessage="1" sqref="A18:A20 B105 K105 N105 T105 W105 AC105 AF105 B108:D108 K108:M108 T108:V108 AC108:AE108 J111 S111 AB111 A144:A146 J144:J146 S144:S146 AB144:AB146" xr:uid="{00000000-0002-0000-3E00-000000000000}">
      <formula1>#REF!</formula1>
      <formula2>0</formula2>
    </dataValidation>
    <dataValidation type="list" allowBlank="1" showInputMessage="1" showErrorMessage="1" sqref="B26 E105 A111" xr:uid="{00000000-0002-0000-3E00-000001000000}">
      <formula1>$K$9:$K$10</formula1>
      <formula2>0</formula2>
    </dataValidation>
    <dataValidation type="list" allowBlank="1" showErrorMessage="1" sqref="B70" xr:uid="{00000000-0002-0000-3E00-000002000000}">
      <formula1>$K$9:$K$10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AP272"/>
  <sheetViews>
    <sheetView topLeftCell="A246" zoomScale="110" zoomScaleNormal="110" workbookViewId="0">
      <selection activeCell="F262" sqref="F262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44" t="s">
        <v>382</v>
      </c>
      <c r="B1" s="344"/>
      <c r="C1" s="344"/>
      <c r="D1" s="344"/>
      <c r="E1" s="344"/>
      <c r="F1" s="344"/>
      <c r="G1" s="344"/>
      <c r="H1" s="344"/>
      <c r="I1" s="5"/>
      <c r="J1" s="5"/>
    </row>
    <row r="2" spans="1:25" ht="21">
      <c r="A2" s="68"/>
      <c r="B2" s="413" t="s">
        <v>154</v>
      </c>
      <c r="C2" s="413"/>
      <c r="D2" s="413" t="s">
        <v>155</v>
      </c>
      <c r="E2" s="413"/>
      <c r="F2" s="413" t="s">
        <v>156</v>
      </c>
      <c r="G2" s="413"/>
      <c r="H2" s="287" t="s">
        <v>157</v>
      </c>
      <c r="I2" s="5"/>
      <c r="J2" s="5"/>
    </row>
    <row r="3" spans="1:25">
      <c r="A3" s="27" t="s">
        <v>160</v>
      </c>
      <c r="B3" s="414">
        <v>20255</v>
      </c>
      <c r="C3" s="414">
        <v>0</v>
      </c>
      <c r="D3" s="414">
        <v>0</v>
      </c>
      <c r="E3" s="414"/>
      <c r="F3" s="414">
        <v>0</v>
      </c>
      <c r="G3" s="414"/>
      <c r="H3" s="289">
        <v>0</v>
      </c>
      <c r="I3" s="5"/>
      <c r="J3" s="5"/>
    </row>
    <row r="4" spans="1:25">
      <c r="A4" s="27" t="s">
        <v>161</v>
      </c>
      <c r="B4" s="418">
        <v>0</v>
      </c>
      <c r="C4" s="418">
        <v>0</v>
      </c>
      <c r="D4" s="418">
        <v>0</v>
      </c>
      <c r="E4" s="418"/>
      <c r="F4" s="418">
        <v>0</v>
      </c>
      <c r="G4" s="418"/>
      <c r="H4" s="105"/>
      <c r="I4" s="5"/>
      <c r="J4" s="5"/>
    </row>
    <row r="5" spans="1:25">
      <c r="A5" s="27" t="s">
        <v>162</v>
      </c>
      <c r="B5" s="414">
        <v>0</v>
      </c>
      <c r="C5" s="414">
        <v>0</v>
      </c>
      <c r="D5" s="414">
        <v>0</v>
      </c>
      <c r="E5" s="414"/>
      <c r="F5" s="414">
        <v>0</v>
      </c>
      <c r="G5" s="414"/>
      <c r="H5" s="29"/>
      <c r="I5" s="5"/>
      <c r="J5" s="5"/>
    </row>
    <row r="6" spans="1:25">
      <c r="A6" s="27" t="s">
        <v>163</v>
      </c>
      <c r="B6" s="380">
        <f>(B3*B4/100)+B5</f>
        <v>0</v>
      </c>
      <c r="C6" s="380">
        <f>(C3*C4/100)+C5</f>
        <v>0</v>
      </c>
      <c r="D6" s="380">
        <f>(D3*D4/100)+D5</f>
        <v>0</v>
      </c>
      <c r="E6" s="380"/>
      <c r="F6" s="380">
        <f>(F3*F4/100)+F5</f>
        <v>0</v>
      </c>
      <c r="G6" s="380"/>
      <c r="H6" s="29"/>
      <c r="I6" s="5"/>
      <c r="J6" s="5"/>
    </row>
    <row r="7" spans="1:25">
      <c r="A7" s="27" t="s">
        <v>164</v>
      </c>
      <c r="B7" s="380">
        <f>B3-B6</f>
        <v>20255</v>
      </c>
      <c r="C7" s="380">
        <f>C3-C6</f>
        <v>0</v>
      </c>
      <c r="D7" s="380">
        <f>D3-D6</f>
        <v>0</v>
      </c>
      <c r="E7" s="380"/>
      <c r="F7" s="380">
        <f>F3-F6</f>
        <v>0</v>
      </c>
      <c r="G7" s="380"/>
      <c r="H7" s="29"/>
      <c r="I7" s="5"/>
      <c r="J7" s="5"/>
    </row>
    <row r="8" spans="1:25">
      <c r="A8" s="27"/>
      <c r="B8" s="28"/>
      <c r="C8" s="28"/>
      <c r="D8" s="28"/>
      <c r="E8" s="28"/>
      <c r="F8" s="28"/>
      <c r="G8" s="28"/>
      <c r="H8" s="29"/>
      <c r="I8" s="5"/>
      <c r="J8" s="5"/>
      <c r="L8" s="14" t="s">
        <v>17</v>
      </c>
      <c r="M8" s="11">
        <f>H13+H14</f>
        <v>340</v>
      </c>
    </row>
    <row r="9" spans="1:25" ht="21">
      <c r="A9" s="356" t="s">
        <v>172</v>
      </c>
      <c r="B9" s="356"/>
      <c r="C9" s="356"/>
      <c r="D9" s="356"/>
      <c r="E9" s="356">
        <f>(B7+C7+D7+E3)</f>
        <v>20255</v>
      </c>
      <c r="F9" s="356"/>
      <c r="G9" s="109"/>
      <c r="H9" s="290">
        <f>B7+D7+F7+H3</f>
        <v>20255</v>
      </c>
      <c r="I9" s="5"/>
      <c r="J9" s="5"/>
      <c r="L9" s="11"/>
      <c r="M9" s="11"/>
    </row>
    <row r="10" spans="1:25">
      <c r="A10" s="357" t="s">
        <v>173</v>
      </c>
      <c r="B10" s="357"/>
      <c r="C10" s="357"/>
      <c r="D10" s="357"/>
      <c r="E10" s="357">
        <v>50</v>
      </c>
      <c r="F10" s="357"/>
      <c r="G10" s="121"/>
      <c r="H10" s="289">
        <v>695</v>
      </c>
      <c r="I10" s="5"/>
      <c r="J10" s="5"/>
      <c r="L10" s="16" t="s">
        <v>15</v>
      </c>
      <c r="M10" s="11">
        <f>H15-H11-M8</f>
        <v>20950</v>
      </c>
    </row>
    <row r="11" spans="1:25">
      <c r="A11" s="357" t="s">
        <v>174</v>
      </c>
      <c r="B11" s="357"/>
      <c r="C11" s="357"/>
      <c r="D11" s="357"/>
      <c r="E11" s="357"/>
      <c r="F11" s="357"/>
      <c r="G11" s="121"/>
      <c r="H11" s="29">
        <f>(H9+H10)*20%</f>
        <v>4190</v>
      </c>
      <c r="I11" s="5"/>
      <c r="J11" s="5"/>
      <c r="L11" s="11"/>
      <c r="M11" s="11"/>
    </row>
    <row r="12" spans="1:25">
      <c r="A12" s="357" t="s">
        <v>175</v>
      </c>
      <c r="B12" s="357"/>
      <c r="C12" s="357"/>
      <c r="D12" s="357"/>
      <c r="E12" s="357"/>
      <c r="F12" s="357"/>
      <c r="G12" s="121"/>
      <c r="H12" s="289">
        <v>0</v>
      </c>
      <c r="I12" s="5"/>
      <c r="J12" s="5"/>
    </row>
    <row r="13" spans="1:25">
      <c r="A13" s="357" t="s">
        <v>176</v>
      </c>
      <c r="B13" s="357"/>
      <c r="C13" s="357"/>
      <c r="D13" s="357"/>
      <c r="E13" s="357">
        <v>585</v>
      </c>
      <c r="F13" s="357"/>
      <c r="G13" s="121"/>
      <c r="H13" s="289">
        <v>275</v>
      </c>
      <c r="I13" s="5"/>
      <c r="J13" s="5"/>
    </row>
    <row r="14" spans="1:25">
      <c r="A14" s="357" t="s">
        <v>177</v>
      </c>
      <c r="B14" s="357"/>
      <c r="C14" s="357"/>
      <c r="D14" s="357"/>
      <c r="E14" s="357">
        <v>55</v>
      </c>
      <c r="F14" s="357"/>
      <c r="G14" s="121"/>
      <c r="H14" s="289">
        <v>65</v>
      </c>
      <c r="I14" s="5"/>
      <c r="J14" s="5" t="s">
        <v>24</v>
      </c>
    </row>
    <row r="15" spans="1:25">
      <c r="A15" s="357" t="s">
        <v>178</v>
      </c>
      <c r="B15" s="357"/>
      <c r="C15" s="357"/>
      <c r="D15" s="357"/>
      <c r="E15" s="357"/>
      <c r="F15" s="357"/>
      <c r="G15" s="121"/>
      <c r="H15" s="291">
        <f>(H9+H10+H13+H14+H11)-H12</f>
        <v>25480</v>
      </c>
      <c r="I15" s="5"/>
      <c r="J15" s="17">
        <f>H15</f>
        <v>25480</v>
      </c>
    </row>
    <row r="16" spans="1:25">
      <c r="A16" s="357" t="s">
        <v>179</v>
      </c>
      <c r="B16" s="357"/>
      <c r="C16" s="357"/>
      <c r="D16" s="357"/>
      <c r="E16" s="357">
        <v>120</v>
      </c>
      <c r="F16" s="357"/>
      <c r="G16" s="121"/>
      <c r="H16" s="289">
        <v>0</v>
      </c>
      <c r="I16" s="5"/>
      <c r="J16" s="5"/>
      <c r="Y16" s="18" t="s">
        <v>26</v>
      </c>
    </row>
    <row r="17" spans="1:26">
      <c r="A17" s="358" t="s">
        <v>180</v>
      </c>
      <c r="B17" s="358"/>
      <c r="C17" s="358"/>
      <c r="D17" s="358"/>
      <c r="E17" s="358"/>
      <c r="F17" s="358"/>
      <c r="G17" s="34"/>
      <c r="H17" s="29"/>
      <c r="I17" s="5"/>
      <c r="J17" s="5" t="s">
        <v>27</v>
      </c>
      <c r="Y17" s="18" t="s">
        <v>28</v>
      </c>
    </row>
    <row r="18" spans="1:26">
      <c r="A18" s="124" t="s">
        <v>26</v>
      </c>
      <c r="B18" s="360" t="s">
        <v>181</v>
      </c>
      <c r="C18" s="360"/>
      <c r="D18" s="360"/>
      <c r="E18" s="360"/>
      <c r="F18" s="360"/>
      <c r="G18" s="35"/>
      <c r="H18" s="292">
        <v>0</v>
      </c>
      <c r="I18" s="5"/>
      <c r="J18" s="17">
        <f>(B3+D3+F3+H3+H10)*1.2</f>
        <v>25140</v>
      </c>
      <c r="Y18" s="18" t="s">
        <v>29</v>
      </c>
    </row>
    <row r="19" spans="1:26">
      <c r="A19" s="124" t="s">
        <v>28</v>
      </c>
      <c r="B19" s="360" t="s">
        <v>181</v>
      </c>
      <c r="C19" s="360"/>
      <c r="D19" s="360"/>
      <c r="E19" s="360"/>
      <c r="F19" s="360"/>
      <c r="G19" s="35"/>
      <c r="H19" s="292">
        <v>0</v>
      </c>
      <c r="I19" s="5"/>
      <c r="J19" s="5"/>
      <c r="Z19" s="5" t="s">
        <v>31</v>
      </c>
    </row>
    <row r="20" spans="1:26">
      <c r="A20" s="124" t="s">
        <v>29</v>
      </c>
      <c r="B20" s="360" t="s">
        <v>181</v>
      </c>
      <c r="C20" s="360"/>
      <c r="D20" s="360"/>
      <c r="E20" s="360"/>
      <c r="F20" s="360"/>
      <c r="G20" s="35"/>
      <c r="H20" s="292">
        <v>0</v>
      </c>
      <c r="I20" s="5"/>
      <c r="J20" s="5"/>
      <c r="Z20" s="5" t="s">
        <v>32</v>
      </c>
    </row>
    <row r="21" spans="1:26" ht="21">
      <c r="A21" s="417" t="s">
        <v>182</v>
      </c>
      <c r="B21" s="417"/>
      <c r="C21" s="417"/>
      <c r="D21" s="417"/>
      <c r="E21" s="417"/>
      <c r="F21" s="417"/>
      <c r="G21" s="293"/>
      <c r="H21" s="294">
        <f>H15-((H18*1.2)+(H19*1.2)+(H20*1.2)+(H16*1.2))</f>
        <v>25480</v>
      </c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354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>
      <c r="A26" s="32" t="s">
        <v>138</v>
      </c>
      <c r="B26" s="36" t="s">
        <v>385</v>
      </c>
      <c r="C26" s="28"/>
      <c r="D26" s="28"/>
      <c r="E26" s="28"/>
      <c r="F26" s="28"/>
      <c r="G26" s="28"/>
      <c r="H26" s="29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 ht="23.25">
      <c r="A28" s="335" t="s">
        <v>136</v>
      </c>
      <c r="B28" s="335"/>
      <c r="C28" s="335"/>
      <c r="D28" s="335"/>
      <c r="E28" s="335"/>
      <c r="F28" s="335"/>
      <c r="G28" s="335"/>
      <c r="H28" s="335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>
        <v>36</v>
      </c>
      <c r="I29" s="28"/>
      <c r="J29" s="25" t="s">
        <v>41</v>
      </c>
      <c r="K29" s="295">
        <v>35</v>
      </c>
    </row>
    <row r="30" spans="1:26">
      <c r="A30" s="27" t="s">
        <v>193</v>
      </c>
      <c r="B30" s="346" t="s">
        <v>387</v>
      </c>
      <c r="C30" s="346"/>
      <c r="D30" s="346"/>
      <c r="E30" s="28"/>
      <c r="F30" s="28"/>
      <c r="G30" s="28"/>
      <c r="H30" s="29">
        <v>10000</v>
      </c>
      <c r="I30" s="28"/>
      <c r="J30" s="25" t="s">
        <v>45</v>
      </c>
      <c r="K30" s="33">
        <v>35000</v>
      </c>
    </row>
    <row r="31" spans="1:26">
      <c r="A31" s="27"/>
      <c r="B31" s="28"/>
      <c r="C31" s="28"/>
      <c r="D31" s="28"/>
      <c r="E31" s="28"/>
      <c r="F31" s="28"/>
      <c r="G31" s="28"/>
      <c r="H31" s="29">
        <v>27500</v>
      </c>
      <c r="I31" s="28"/>
      <c r="J31" s="25" t="s">
        <v>48</v>
      </c>
      <c r="K31" s="37">
        <v>3705</v>
      </c>
    </row>
    <row r="32" spans="1:26" ht="36">
      <c r="A32" s="27" t="s">
        <v>94</v>
      </c>
      <c r="B32" s="28" t="s">
        <v>95</v>
      </c>
      <c r="C32" s="28"/>
      <c r="D32" s="28"/>
      <c r="E32" s="28" t="s">
        <v>355</v>
      </c>
      <c r="F32" s="28"/>
      <c r="G32" s="28"/>
      <c r="H32" s="29"/>
      <c r="I32" s="5">
        <v>0</v>
      </c>
      <c r="J32" s="25" t="s">
        <v>49</v>
      </c>
      <c r="K32" s="37">
        <v>2236.85</v>
      </c>
    </row>
    <row r="33" spans="1:16" ht="36">
      <c r="A33" s="134">
        <f>A52</f>
        <v>35</v>
      </c>
      <c r="B33" s="173">
        <f>B51</f>
        <v>35000</v>
      </c>
      <c r="C33" s="28"/>
      <c r="D33" s="28"/>
      <c r="E33" s="402">
        <f>K48</f>
        <v>658.86057384317724</v>
      </c>
      <c r="F33" s="402"/>
      <c r="G33" s="402"/>
      <c r="H33" s="42"/>
      <c r="I33" s="5"/>
      <c r="J33" s="30" t="s">
        <v>356</v>
      </c>
      <c r="K33" s="43">
        <f>H21-H11+(H16*20%)</f>
        <v>21290</v>
      </c>
      <c r="L33" s="4">
        <f>H21-H11+(H16*20%)</f>
        <v>21290</v>
      </c>
    </row>
    <row r="34" spans="1:16">
      <c r="A34" s="27"/>
      <c r="B34" s="28"/>
      <c r="C34" s="28"/>
      <c r="D34" s="28"/>
      <c r="E34" s="38"/>
      <c r="F34" s="38"/>
      <c r="G34" s="38"/>
      <c r="H34" s="42"/>
      <c r="I34" s="5"/>
      <c r="J34" s="5"/>
      <c r="K34" s="5"/>
    </row>
    <row r="35" spans="1:16">
      <c r="A35" s="27" t="s">
        <v>357</v>
      </c>
      <c r="B35" s="28" t="s">
        <v>358</v>
      </c>
      <c r="C35" s="28"/>
      <c r="E35" s="28" t="s">
        <v>359</v>
      </c>
      <c r="F35" s="38"/>
      <c r="G35" s="38"/>
      <c r="H35" s="42"/>
      <c r="I35" s="5"/>
      <c r="J35" s="45" t="s">
        <v>59</v>
      </c>
      <c r="K35" s="4">
        <v>7.0000000000000007E-2</v>
      </c>
    </row>
    <row r="36" spans="1:16">
      <c r="A36" s="138">
        <f>K47</f>
        <v>594.95057384317727</v>
      </c>
      <c r="B36" s="173">
        <f>IF(B26="YES",K42,"0.00")</f>
        <v>63.91</v>
      </c>
      <c r="C36" s="173"/>
      <c r="D36" s="173"/>
      <c r="E36" s="402">
        <f>K31</f>
        <v>3705</v>
      </c>
      <c r="F36" s="402"/>
      <c r="G36" s="402"/>
      <c r="H36" s="42"/>
      <c r="I36" s="5"/>
      <c r="J36" s="5" t="s">
        <v>63</v>
      </c>
      <c r="K36" s="5">
        <f>K29</f>
        <v>35</v>
      </c>
    </row>
    <row r="37" spans="1:16">
      <c r="A37" s="94"/>
      <c r="B37" s="34"/>
      <c r="C37" s="38"/>
      <c r="D37" s="38"/>
      <c r="E37" s="38"/>
      <c r="F37" s="38"/>
      <c r="G37" s="38"/>
      <c r="H37" s="42"/>
      <c r="I37" s="5"/>
      <c r="J37" s="5"/>
      <c r="K37" s="5"/>
    </row>
    <row r="38" spans="1:16">
      <c r="A38" s="27"/>
      <c r="B38" s="28"/>
      <c r="C38" s="38"/>
      <c r="D38" s="38"/>
      <c r="E38" s="38"/>
      <c r="F38" s="38"/>
      <c r="G38" s="38"/>
      <c r="H38" s="42"/>
      <c r="J38" s="337" t="s">
        <v>65</v>
      </c>
      <c r="K38" s="337"/>
      <c r="L38" s="5">
        <v>42030.76</v>
      </c>
      <c r="N38" s="4">
        <f>80.88*36</f>
        <v>2911.68</v>
      </c>
    </row>
    <row r="39" spans="1:16">
      <c r="A39" s="27" t="s">
        <v>360</v>
      </c>
      <c r="B39" s="28" t="s">
        <v>361</v>
      </c>
      <c r="C39" s="28"/>
      <c r="E39" s="28" t="s">
        <v>362</v>
      </c>
      <c r="F39" s="38"/>
      <c r="G39" s="38"/>
      <c r="H39" s="42"/>
      <c r="J39" s="5" t="s">
        <v>96</v>
      </c>
      <c r="K39" s="5">
        <f>K33</f>
        <v>21290</v>
      </c>
      <c r="L39" s="5">
        <f>(L47*K46)+K44</f>
        <v>25746.53178934141</v>
      </c>
      <c r="N39" s="4">
        <f>K39-L39</f>
        <v>-4456.5317893414103</v>
      </c>
    </row>
    <row r="40" spans="1:16">
      <c r="A40" s="92">
        <f>E36*A45/100</f>
        <v>3705</v>
      </c>
      <c r="B40" s="348">
        <f>IF(B26="YES",K42,"0.00")</f>
        <v>63.91</v>
      </c>
      <c r="C40" s="348"/>
      <c r="D40" s="348"/>
      <c r="E40" s="137">
        <f>K32</f>
        <v>2236.85</v>
      </c>
      <c r="F40" s="38"/>
      <c r="G40" s="38"/>
      <c r="H40" s="42"/>
      <c r="J40" s="5" t="s">
        <v>118</v>
      </c>
      <c r="K40" s="5">
        <f>(A40)/1.2</f>
        <v>3087.5</v>
      </c>
      <c r="L40" s="5">
        <f>K39-L39</f>
        <v>-4456.5317893414103</v>
      </c>
      <c r="N40" s="4">
        <f>N38-N39</f>
        <v>7368.2117893414106</v>
      </c>
    </row>
    <row r="41" spans="1:16">
      <c r="A41" s="27"/>
      <c r="B41" s="28"/>
      <c r="C41" s="28"/>
      <c r="D41" s="28"/>
      <c r="E41" s="28"/>
      <c r="F41" s="38"/>
      <c r="G41" s="38"/>
      <c r="H41" s="42"/>
      <c r="J41" s="5" t="s">
        <v>363</v>
      </c>
      <c r="K41" s="5">
        <f>K35/12</f>
        <v>5.8333333333333336E-3</v>
      </c>
      <c r="L41" s="5"/>
    </row>
    <row r="42" spans="1:16">
      <c r="A42" s="49"/>
      <c r="B42" s="50"/>
      <c r="C42" s="50"/>
      <c r="D42" s="50"/>
      <c r="E42" s="50"/>
      <c r="F42" s="50"/>
      <c r="G42" s="51"/>
      <c r="H42" s="52"/>
      <c r="J42" s="5" t="s">
        <v>364</v>
      </c>
      <c r="K42" s="5">
        <f>(K32/K36/100)*C45</f>
        <v>63.91</v>
      </c>
      <c r="L42" s="5"/>
    </row>
    <row r="43" spans="1:16">
      <c r="A43" s="22"/>
      <c r="B43" s="23"/>
      <c r="C43" s="23"/>
      <c r="D43" s="23"/>
      <c r="E43" s="23"/>
      <c r="F43" s="23"/>
      <c r="G43" s="23"/>
      <c r="H43" s="24"/>
      <c r="J43" s="5" t="s">
        <v>365</v>
      </c>
      <c r="K43" s="5"/>
      <c r="L43" s="5"/>
    </row>
    <row r="44" spans="1:16">
      <c r="A44" s="53" t="s">
        <v>89</v>
      </c>
      <c r="B44" s="28"/>
      <c r="C44" s="28" t="s">
        <v>90</v>
      </c>
      <c r="D44" s="28"/>
      <c r="E44" s="28"/>
      <c r="F44" s="28"/>
      <c r="G44" s="28"/>
      <c r="H44" s="29"/>
      <c r="J44" s="5" t="s">
        <v>366</v>
      </c>
      <c r="K44" s="5">
        <f>(K40/(1+K41)^(K36+1))</f>
        <v>2504.206280865898</v>
      </c>
      <c r="L44" s="5"/>
    </row>
    <row r="45" spans="1:16">
      <c r="A45" s="324">
        <v>100</v>
      </c>
      <c r="B45" s="28"/>
      <c r="C45" s="419">
        <v>100</v>
      </c>
      <c r="D45" s="419"/>
      <c r="E45" s="419"/>
      <c r="F45" s="28"/>
      <c r="G45" s="28"/>
      <c r="H45" s="29"/>
      <c r="J45" s="5" t="s">
        <v>367</v>
      </c>
      <c r="K45" s="5">
        <f>(K39-K44)</f>
        <v>18785.793719134101</v>
      </c>
      <c r="L45" s="5"/>
    </row>
    <row r="46" spans="1:16">
      <c r="A46" s="49"/>
      <c r="B46" s="50"/>
      <c r="C46" s="50"/>
      <c r="D46" s="50"/>
      <c r="E46" s="50"/>
      <c r="F46" s="50"/>
      <c r="G46" s="50"/>
      <c r="H46" s="57"/>
      <c r="J46" s="5" t="s">
        <v>368</v>
      </c>
      <c r="K46" s="5">
        <f>((1-(1/((1+K41)^K36)))/K41)</f>
        <v>31.575385494267696</v>
      </c>
      <c r="L46" s="5"/>
    </row>
    <row r="47" spans="1:16">
      <c r="A47" s="22"/>
      <c r="B47" s="23"/>
      <c r="C47" s="23"/>
      <c r="D47" s="23"/>
      <c r="E47" s="23"/>
      <c r="F47" s="23"/>
      <c r="G47" s="23"/>
      <c r="H47" s="24"/>
      <c r="J47" s="5" t="s">
        <v>369</v>
      </c>
      <c r="K47" s="5">
        <f>K45/K46</f>
        <v>594.95057384317727</v>
      </c>
      <c r="L47" s="5">
        <f>L49-K42</f>
        <v>736.09</v>
      </c>
      <c r="M47" s="4">
        <f>K47-L47</f>
        <v>-141.13942615682276</v>
      </c>
    </row>
    <row r="48" spans="1:16" ht="37.5">
      <c r="A48" s="58" t="s">
        <v>93</v>
      </c>
      <c r="B48" s="28"/>
      <c r="C48" s="28"/>
      <c r="D48" s="59"/>
      <c r="E48" s="59"/>
      <c r="F48" s="59"/>
      <c r="G48" s="59"/>
      <c r="H48" s="60"/>
      <c r="J48" s="48" t="s">
        <v>370</v>
      </c>
      <c r="K48" s="5">
        <f>IF(B26="YES",K47+K42,K47)</f>
        <v>658.86057384317724</v>
      </c>
      <c r="L48" s="5"/>
    </row>
    <row r="49" spans="1:35">
      <c r="A49" s="27"/>
      <c r="B49" s="61"/>
      <c r="C49" s="61"/>
      <c r="D49" s="28"/>
      <c r="E49" s="28"/>
      <c r="F49" s="28"/>
      <c r="G49" s="28"/>
      <c r="H49" s="29"/>
      <c r="J49" s="5" t="s">
        <v>371</v>
      </c>
      <c r="K49" s="5"/>
      <c r="L49" s="5">
        <v>800</v>
      </c>
    </row>
    <row r="50" spans="1:35" ht="21">
      <c r="A50" s="369" t="s">
        <v>94</v>
      </c>
      <c r="B50" s="341" t="s">
        <v>95</v>
      </c>
      <c r="C50" s="341"/>
      <c r="D50" s="341"/>
      <c r="E50" s="28"/>
      <c r="F50" s="28"/>
      <c r="G50" s="28"/>
      <c r="H50" s="29"/>
      <c r="I50" s="5"/>
      <c r="J50" s="5"/>
      <c r="K50" s="5"/>
    </row>
    <row r="51" spans="1:35" ht="19.5" customHeight="1">
      <c r="A51" s="369"/>
      <c r="B51" s="342">
        <f>K30</f>
        <v>35000</v>
      </c>
      <c r="C51" s="342"/>
      <c r="D51" s="342"/>
      <c r="E51" s="28"/>
      <c r="F51" s="28"/>
      <c r="G51" s="28"/>
      <c r="H51" s="29"/>
      <c r="I51" s="5"/>
      <c r="J51" s="5"/>
      <c r="K51" s="5"/>
    </row>
    <row r="52" spans="1:35">
      <c r="A52" s="62">
        <f>K29</f>
        <v>35</v>
      </c>
      <c r="B52" s="343">
        <f>K48</f>
        <v>658.86057384317724</v>
      </c>
      <c r="C52" s="343"/>
      <c r="D52" s="343"/>
      <c r="E52" s="28"/>
      <c r="F52" s="28"/>
      <c r="G52" s="28"/>
      <c r="H52" s="29"/>
      <c r="I52" s="5"/>
      <c r="J52" s="5"/>
      <c r="K52" s="5"/>
    </row>
    <row r="53" spans="1:35">
      <c r="A53" s="27"/>
      <c r="B53" s="28"/>
      <c r="C53" s="28"/>
      <c r="D53" s="28"/>
      <c r="E53" s="28"/>
      <c r="F53" s="28"/>
      <c r="G53" s="28"/>
      <c r="H53" s="29"/>
      <c r="I53" s="5"/>
      <c r="J53" s="5"/>
      <c r="K53" s="5"/>
    </row>
    <row r="54" spans="1:35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35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35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35">
      <c r="A57" s="22"/>
      <c r="B57" s="23"/>
      <c r="C57" s="23"/>
      <c r="D57" s="23"/>
      <c r="E57" s="63"/>
      <c r="F57" s="63"/>
      <c r="G57" s="63"/>
      <c r="H57" s="24"/>
      <c r="J57" s="22"/>
      <c r="K57" s="23"/>
      <c r="L57" s="23"/>
      <c r="M57" s="23"/>
      <c r="N57" s="63"/>
      <c r="O57" s="63"/>
      <c r="P57" s="63"/>
      <c r="Q57" s="24"/>
      <c r="S57" s="22"/>
      <c r="T57" s="23"/>
      <c r="U57" s="23"/>
      <c r="V57" s="23"/>
      <c r="W57" s="63"/>
      <c r="X57" s="63"/>
      <c r="Y57" s="63"/>
      <c r="Z57" s="24"/>
      <c r="AB57" s="22"/>
      <c r="AC57" s="23"/>
      <c r="AD57" s="23"/>
      <c r="AE57" s="23"/>
      <c r="AF57" s="63"/>
      <c r="AG57" s="63"/>
      <c r="AH57" s="63"/>
      <c r="AI57" s="24"/>
    </row>
    <row r="58" spans="1:35">
      <c r="A58" s="27" t="s">
        <v>96</v>
      </c>
      <c r="B58" s="28">
        <v>1</v>
      </c>
      <c r="C58" s="28"/>
      <c r="D58" s="28"/>
      <c r="E58" s="21"/>
      <c r="F58" s="21"/>
      <c r="G58" s="21"/>
      <c r="H58" s="29"/>
      <c r="J58" s="27" t="s">
        <v>96</v>
      </c>
      <c r="K58" s="28">
        <v>1</v>
      </c>
      <c r="L58" s="28"/>
      <c r="M58" s="28"/>
      <c r="N58" s="21"/>
      <c r="O58" s="21"/>
      <c r="P58" s="21"/>
      <c r="Q58" s="29"/>
      <c r="S58" s="27" t="s">
        <v>96</v>
      </c>
      <c r="T58" s="28">
        <v>1</v>
      </c>
      <c r="U58" s="28"/>
      <c r="V58" s="28"/>
      <c r="W58" s="21"/>
      <c r="X58" s="21"/>
      <c r="Y58" s="21"/>
      <c r="Z58" s="29"/>
      <c r="AB58" s="27" t="s">
        <v>96</v>
      </c>
      <c r="AC58" s="28">
        <v>1</v>
      </c>
      <c r="AD58" s="28"/>
      <c r="AE58" s="28"/>
      <c r="AF58" s="21"/>
      <c r="AG58" s="21"/>
      <c r="AH58" s="21"/>
      <c r="AI58" s="29"/>
    </row>
    <row r="59" spans="1:35">
      <c r="A59" s="27" t="s">
        <v>97</v>
      </c>
      <c r="B59" s="28">
        <f>K29-B58</f>
        <v>34</v>
      </c>
      <c r="C59" s="28"/>
      <c r="D59" s="28"/>
      <c r="E59" s="21"/>
      <c r="F59" s="21"/>
      <c r="G59" s="21"/>
      <c r="H59" s="29"/>
      <c r="J59" s="27" t="s">
        <v>97</v>
      </c>
      <c r="K59" s="28">
        <f>K29-K58</f>
        <v>34</v>
      </c>
      <c r="L59" s="28"/>
      <c r="M59" s="28"/>
      <c r="N59" s="21"/>
      <c r="O59" s="21"/>
      <c r="P59" s="21"/>
      <c r="Q59" s="29"/>
      <c r="S59" s="27" t="s">
        <v>97</v>
      </c>
      <c r="T59" s="28">
        <f>K29-T58</f>
        <v>34</v>
      </c>
      <c r="U59" s="28"/>
      <c r="V59" s="28"/>
      <c r="W59" s="21"/>
      <c r="X59" s="21"/>
      <c r="Y59" s="21"/>
      <c r="Z59" s="29"/>
      <c r="AB59" s="27" t="s">
        <v>97</v>
      </c>
      <c r="AC59" s="28">
        <f>K29-AC58</f>
        <v>34</v>
      </c>
      <c r="AD59" s="28"/>
      <c r="AE59" s="28"/>
      <c r="AF59" s="21"/>
      <c r="AG59" s="21"/>
      <c r="AH59" s="21"/>
      <c r="AI59" s="29"/>
    </row>
    <row r="60" spans="1:35">
      <c r="A60" s="64" t="s">
        <v>98</v>
      </c>
      <c r="B60" s="65">
        <v>10</v>
      </c>
      <c r="C60" s="28"/>
      <c r="D60" s="28"/>
      <c r="E60" s="21"/>
      <c r="F60" s="21"/>
      <c r="G60" s="21"/>
      <c r="H60" s="29"/>
      <c r="J60" s="64" t="s">
        <v>98</v>
      </c>
      <c r="K60" s="65">
        <v>20</v>
      </c>
      <c r="L60" s="28"/>
      <c r="M60" s="28"/>
      <c r="N60" s="21"/>
      <c r="O60" s="21"/>
      <c r="P60" s="21"/>
      <c r="Q60" s="29"/>
      <c r="S60" s="64" t="s">
        <v>98</v>
      </c>
      <c r="T60" s="65">
        <v>10</v>
      </c>
      <c r="U60" s="28"/>
      <c r="V60" s="28"/>
      <c r="W60" s="21"/>
      <c r="X60" s="21"/>
      <c r="Y60" s="21"/>
      <c r="Z60" s="29"/>
      <c r="AB60" s="64" t="s">
        <v>98</v>
      </c>
      <c r="AC60" s="65">
        <v>10</v>
      </c>
      <c r="AD60" s="28"/>
      <c r="AE60" s="28"/>
      <c r="AF60" s="21"/>
      <c r="AG60" s="21"/>
      <c r="AH60" s="21"/>
      <c r="AI60" s="29"/>
    </row>
    <row r="61" spans="1:35">
      <c r="A61" s="27" t="s">
        <v>27</v>
      </c>
      <c r="B61" s="28">
        <f>J18</f>
        <v>25140</v>
      </c>
      <c r="C61" s="28"/>
      <c r="D61" s="28"/>
      <c r="E61" s="21"/>
      <c r="F61" s="21"/>
      <c r="G61" s="21"/>
      <c r="H61" s="29"/>
      <c r="J61" s="27" t="s">
        <v>27</v>
      </c>
      <c r="K61" s="28">
        <f>J18</f>
        <v>25140</v>
      </c>
      <c r="L61" s="28"/>
      <c r="M61" s="28"/>
      <c r="N61" s="21"/>
      <c r="O61" s="21"/>
      <c r="P61" s="21"/>
      <c r="Q61" s="29"/>
      <c r="S61" s="27" t="s">
        <v>27</v>
      </c>
      <c r="T61" s="28">
        <f>J18</f>
        <v>25140</v>
      </c>
      <c r="U61" s="28"/>
      <c r="V61" s="28"/>
      <c r="W61" s="21"/>
      <c r="X61" s="21"/>
      <c r="Y61" s="21"/>
      <c r="Z61" s="29"/>
      <c r="AB61" s="27" t="s">
        <v>27</v>
      </c>
      <c r="AC61" s="28">
        <f>J18</f>
        <v>25140</v>
      </c>
      <c r="AD61" s="28"/>
      <c r="AE61" s="28"/>
      <c r="AF61" s="21"/>
      <c r="AG61" s="21"/>
      <c r="AH61" s="21"/>
      <c r="AI61" s="29"/>
    </row>
    <row r="62" spans="1:35">
      <c r="A62" s="66" t="s">
        <v>99</v>
      </c>
      <c r="B62" s="67">
        <v>0</v>
      </c>
      <c r="C62" s="28"/>
      <c r="D62" s="28"/>
      <c r="E62" s="21"/>
      <c r="F62" s="21"/>
      <c r="G62" s="21"/>
      <c r="H62" s="29"/>
      <c r="J62" s="66" t="s">
        <v>99</v>
      </c>
      <c r="K62" s="67">
        <v>0.06</v>
      </c>
      <c r="L62" s="28"/>
      <c r="M62" s="28"/>
      <c r="N62" s="21"/>
      <c r="O62" s="21"/>
      <c r="P62" s="21"/>
      <c r="Q62" s="29"/>
      <c r="S62" s="66" t="s">
        <v>99</v>
      </c>
      <c r="T62" s="67">
        <f>IF(AND(K29&gt;=12,K29&lt;=24),0.0105,IF(AND(K29&gt;=48),-0.0075,0))</f>
        <v>0</v>
      </c>
      <c r="U62" s="28"/>
      <c r="V62" s="28"/>
      <c r="W62" s="21"/>
      <c r="X62" s="21"/>
      <c r="Y62" s="21"/>
      <c r="Z62" s="29"/>
      <c r="AB62" s="66" t="s">
        <v>99</v>
      </c>
      <c r="AC62" s="67">
        <f>IF(AND(K29&gt;=12,K29&lt;=24),0.0105,IF(AND(K29&gt;=48),-0.0075,0))</f>
        <v>0</v>
      </c>
      <c r="AD62" s="28"/>
      <c r="AE62" s="28"/>
      <c r="AF62" s="21"/>
      <c r="AG62" s="21"/>
      <c r="AH62" s="21"/>
      <c r="AI62" s="29"/>
    </row>
    <row r="63" spans="1:35">
      <c r="A63" s="68" t="s">
        <v>100</v>
      </c>
      <c r="B63" s="69">
        <v>7.0000000000000007E-2</v>
      </c>
      <c r="C63" s="28"/>
      <c r="D63" s="28"/>
      <c r="E63" s="21"/>
      <c r="F63" s="21"/>
      <c r="G63" s="21"/>
      <c r="H63" s="29"/>
      <c r="J63" s="68" t="s">
        <v>100</v>
      </c>
      <c r="K63" s="69">
        <v>0.08</v>
      </c>
      <c r="L63" s="28"/>
      <c r="M63" s="28"/>
      <c r="N63" s="21"/>
      <c r="O63" s="21"/>
      <c r="P63" s="21"/>
      <c r="Q63" s="29"/>
      <c r="S63" s="68" t="s">
        <v>100</v>
      </c>
      <c r="T63" s="69">
        <v>5.8999999999999997E-2</v>
      </c>
      <c r="U63" s="28"/>
      <c r="V63" s="28"/>
      <c r="W63" s="21"/>
      <c r="X63" s="21"/>
      <c r="Y63" s="21"/>
      <c r="Z63" s="29"/>
      <c r="AB63" s="68" t="s">
        <v>100</v>
      </c>
      <c r="AC63" s="69">
        <v>5.8999999999999997E-2</v>
      </c>
      <c r="AD63" s="28"/>
      <c r="AE63" s="28"/>
      <c r="AF63" s="21"/>
      <c r="AG63" s="21"/>
      <c r="AH63" s="21"/>
      <c r="AI63" s="29"/>
    </row>
    <row r="64" spans="1:35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J64" s="70" t="s">
        <v>101</v>
      </c>
      <c r="K64" s="71">
        <v>0.1</v>
      </c>
      <c r="L64" s="28"/>
      <c r="M64" s="28"/>
      <c r="N64" s="21"/>
      <c r="O64" s="21"/>
      <c r="P64" s="21"/>
      <c r="Q64" s="29"/>
      <c r="S64" s="70" t="s">
        <v>101</v>
      </c>
      <c r="T64" s="71">
        <f>IF(T108=AP108,2.4%,7.2%)</f>
        <v>7.2000000000000008E-2</v>
      </c>
      <c r="U64" s="28"/>
      <c r="V64" s="28"/>
      <c r="W64" s="21"/>
      <c r="X64" s="21"/>
      <c r="Y64" s="21"/>
      <c r="Z64" s="29"/>
      <c r="AB64" s="70" t="s">
        <v>101</v>
      </c>
      <c r="AC64" s="71">
        <f>IF(AC108=AP108,2.4%,7.2%)</f>
        <v>7.2000000000000008E-2</v>
      </c>
      <c r="AD64" s="28"/>
      <c r="AE64" s="28"/>
      <c r="AF64" s="21"/>
      <c r="AG64" s="21"/>
      <c r="AH64" s="21"/>
      <c r="AI64" s="29"/>
    </row>
    <row r="65" spans="1:35">
      <c r="A65" s="49" t="s">
        <v>102</v>
      </c>
      <c r="B65" s="57">
        <f>(B89*B59)-(K47*K29)</f>
        <v>11610.655319910613</v>
      </c>
      <c r="C65" s="28"/>
      <c r="D65" s="28"/>
      <c r="E65" s="21"/>
      <c r="F65" s="21"/>
      <c r="G65" s="21"/>
      <c r="H65" s="29"/>
      <c r="J65" s="49" t="s">
        <v>102</v>
      </c>
      <c r="K65" s="57">
        <f>(K89*K59)-(K47*K29)</f>
        <v>28845.3183886474</v>
      </c>
      <c r="L65" s="28"/>
      <c r="M65" s="28"/>
      <c r="N65" s="21"/>
      <c r="O65" s="21"/>
      <c r="P65" s="21"/>
      <c r="Q65" s="29"/>
      <c r="S65" s="49" t="s">
        <v>102</v>
      </c>
      <c r="T65" s="57">
        <f>(T89*T59)-(K47*K29)</f>
        <v>7885.2803683629791</v>
      </c>
      <c r="U65" s="28"/>
      <c r="V65" s="28"/>
      <c r="W65" s="21"/>
      <c r="X65" s="21"/>
      <c r="Y65" s="21"/>
      <c r="Z65" s="29"/>
      <c r="AB65" s="49" t="s">
        <v>102</v>
      </c>
      <c r="AC65" s="57">
        <f>(AC89*AC59)-(K47*K29)</f>
        <v>651.81550896068075</v>
      </c>
      <c r="AD65" s="28"/>
      <c r="AE65" s="28"/>
      <c r="AF65" s="21"/>
      <c r="AG65" s="21"/>
      <c r="AH65" s="21"/>
      <c r="AI65" s="29"/>
    </row>
    <row r="66" spans="1:35">
      <c r="A66" s="66" t="s">
        <v>103</v>
      </c>
      <c r="B66" s="67">
        <v>0.05</v>
      </c>
      <c r="C66" s="28"/>
      <c r="D66" s="28"/>
      <c r="E66" s="21"/>
      <c r="F66" s="21"/>
      <c r="G66" s="21"/>
      <c r="H66" s="29"/>
      <c r="J66" s="66" t="s">
        <v>103</v>
      </c>
      <c r="K66" s="67">
        <v>0.05</v>
      </c>
      <c r="L66" s="28"/>
      <c r="M66" s="28"/>
      <c r="N66" s="21"/>
      <c r="O66" s="21"/>
      <c r="P66" s="21"/>
      <c r="Q66" s="29"/>
      <c r="S66" s="66" t="s">
        <v>103</v>
      </c>
      <c r="T66" s="67">
        <v>5.0000000000000001E-3</v>
      </c>
      <c r="U66" s="28"/>
      <c r="V66" s="28"/>
      <c r="W66" s="21"/>
      <c r="X66" s="21"/>
      <c r="Y66" s="21"/>
      <c r="Z66" s="29"/>
      <c r="AB66" s="66" t="s">
        <v>103</v>
      </c>
      <c r="AC66" s="67">
        <v>5.0000000000000001E-3</v>
      </c>
      <c r="AD66" s="28"/>
      <c r="AE66" s="28"/>
      <c r="AF66" s="21"/>
      <c r="AG66" s="21"/>
      <c r="AH66" s="21"/>
      <c r="AI66" s="29"/>
    </row>
    <row r="67" spans="1:35">
      <c r="A67" s="27"/>
      <c r="B67" s="72">
        <f>B66</f>
        <v>0.05</v>
      </c>
      <c r="C67" s="28"/>
      <c r="D67" s="28"/>
      <c r="E67" s="21"/>
      <c r="F67" s="21"/>
      <c r="G67" s="21"/>
      <c r="H67" s="29"/>
      <c r="J67" s="27" t="s">
        <v>104</v>
      </c>
      <c r="K67" s="72">
        <f>K66+(K66*0.25*(K29/12-1))</f>
        <v>7.3958333333333334E-2</v>
      </c>
      <c r="L67" s="28"/>
      <c r="M67" s="28"/>
      <c r="N67" s="21"/>
      <c r="O67" s="21"/>
      <c r="P67" s="21"/>
      <c r="Q67" s="29"/>
      <c r="S67" s="27" t="s">
        <v>104</v>
      </c>
      <c r="T67" s="72">
        <f>T66+(T66*0.5*(K29/12-1))</f>
        <v>9.7916666666666673E-3</v>
      </c>
      <c r="U67" s="28"/>
      <c r="V67" s="28"/>
      <c r="W67" s="21"/>
      <c r="X67" s="21"/>
      <c r="Y67" s="21"/>
      <c r="Z67" s="29"/>
      <c r="AB67" s="27" t="s">
        <v>104</v>
      </c>
      <c r="AC67" s="72">
        <f>AC66+(AC66*0.5*(K29/12-1))</f>
        <v>9.7916666666666673E-3</v>
      </c>
      <c r="AD67" s="28"/>
      <c r="AE67" s="28"/>
      <c r="AF67" s="21"/>
      <c r="AG67" s="21"/>
      <c r="AH67" s="21"/>
      <c r="AI67" s="29"/>
    </row>
    <row r="68" spans="1:35">
      <c r="A68" s="49" t="s">
        <v>105</v>
      </c>
      <c r="B68" s="57">
        <f>(G158*B67)</f>
        <v>1499.8001999999999</v>
      </c>
      <c r="C68" s="28"/>
      <c r="D68" s="28"/>
      <c r="E68" s="21"/>
      <c r="F68" s="21"/>
      <c r="G68" s="21"/>
      <c r="H68" s="29"/>
      <c r="J68" s="49" t="s">
        <v>105</v>
      </c>
      <c r="K68" s="57">
        <f>K61*K67</f>
        <v>1859.3125</v>
      </c>
      <c r="L68" s="28"/>
      <c r="M68" s="28"/>
      <c r="N68" s="21"/>
      <c r="O68" s="21"/>
      <c r="P68" s="21"/>
      <c r="Q68" s="29"/>
      <c r="S68" s="49" t="s">
        <v>105</v>
      </c>
      <c r="T68" s="57">
        <f>T61*T67</f>
        <v>246.16250000000002</v>
      </c>
      <c r="U68" s="28"/>
      <c r="V68" s="28"/>
      <c r="W68" s="21"/>
      <c r="X68" s="21"/>
      <c r="Y68" s="21"/>
      <c r="Z68" s="29"/>
      <c r="AB68" s="49" t="s">
        <v>105</v>
      </c>
      <c r="AC68" s="57">
        <f>AH158*AC67</f>
        <v>199.68635416666669</v>
      </c>
      <c r="AD68" s="28"/>
      <c r="AE68" s="28"/>
      <c r="AF68" s="21"/>
      <c r="AG68" s="21"/>
      <c r="AH68" s="21"/>
      <c r="AI68" s="29"/>
    </row>
    <row r="69" spans="1:35">
      <c r="A69" s="66" t="s">
        <v>106</v>
      </c>
      <c r="B69" s="67">
        <v>0</v>
      </c>
      <c r="C69" s="28"/>
      <c r="D69" s="28"/>
      <c r="E69" s="21"/>
      <c r="F69" s="21"/>
      <c r="G69" s="21"/>
      <c r="H69" s="29"/>
      <c r="J69" s="66" t="s">
        <v>106</v>
      </c>
      <c r="K69" s="67">
        <v>0</v>
      </c>
      <c r="L69" s="28"/>
      <c r="M69" s="28"/>
      <c r="N69" s="21"/>
      <c r="O69" s="21"/>
      <c r="P69" s="21"/>
      <c r="Q69" s="29"/>
      <c r="S69" s="66" t="s">
        <v>106</v>
      </c>
      <c r="T69" s="67">
        <v>0</v>
      </c>
      <c r="U69" s="28"/>
      <c r="V69" s="28"/>
      <c r="W69" s="21"/>
      <c r="X69" s="21"/>
      <c r="Y69" s="21"/>
      <c r="Z69" s="29"/>
      <c r="AB69" s="66" t="s">
        <v>106</v>
      </c>
      <c r="AC69" s="67">
        <v>0</v>
      </c>
      <c r="AD69" s="28"/>
      <c r="AE69" s="28"/>
      <c r="AF69" s="21"/>
      <c r="AG69" s="21"/>
      <c r="AH69" s="21"/>
      <c r="AI69" s="29"/>
    </row>
    <row r="70" spans="1:35">
      <c r="A70" s="68" t="s">
        <v>107</v>
      </c>
      <c r="B70" s="69">
        <v>0</v>
      </c>
      <c r="C70" s="28"/>
      <c r="D70" s="28"/>
      <c r="E70" s="21"/>
      <c r="F70" s="21"/>
      <c r="G70" s="21"/>
      <c r="H70" s="29"/>
      <c r="J70" s="68" t="s">
        <v>107</v>
      </c>
      <c r="K70" s="69">
        <v>0</v>
      </c>
      <c r="L70" s="28"/>
      <c r="M70" s="28"/>
      <c r="N70" s="21"/>
      <c r="O70" s="21"/>
      <c r="P70" s="21"/>
      <c r="Q70" s="29"/>
      <c r="S70" s="68" t="s">
        <v>107</v>
      </c>
      <c r="T70" s="69">
        <v>0</v>
      </c>
      <c r="U70" s="28"/>
      <c r="V70" s="28"/>
      <c r="W70" s="21"/>
      <c r="X70" s="21"/>
      <c r="Y70" s="21"/>
      <c r="Z70" s="29"/>
      <c r="AB70" s="68" t="s">
        <v>107</v>
      </c>
      <c r="AC70" s="69">
        <v>0</v>
      </c>
      <c r="AD70" s="28"/>
      <c r="AE70" s="28"/>
      <c r="AF70" s="21"/>
      <c r="AG70" s="21"/>
      <c r="AH70" s="21"/>
      <c r="AI70" s="29"/>
    </row>
    <row r="71" spans="1:35">
      <c r="A71" s="49" t="s">
        <v>108</v>
      </c>
      <c r="B71" s="73">
        <f>B69*(1+B70)</f>
        <v>0</v>
      </c>
      <c r="C71" s="28"/>
      <c r="D71" s="28"/>
      <c r="E71" s="21"/>
      <c r="F71" s="21"/>
      <c r="G71" s="21"/>
      <c r="H71" s="29"/>
      <c r="J71" s="49" t="s">
        <v>108</v>
      </c>
      <c r="K71" s="73">
        <f>K69*(1+K70)</f>
        <v>0</v>
      </c>
      <c r="L71" s="28"/>
      <c r="M71" s="28"/>
      <c r="N71" s="21"/>
      <c r="O71" s="21"/>
      <c r="P71" s="21"/>
      <c r="Q71" s="29"/>
      <c r="S71" s="49" t="s">
        <v>108</v>
      </c>
      <c r="T71" s="73">
        <f>T69*(1+T70)</f>
        <v>0</v>
      </c>
      <c r="U71" s="28"/>
      <c r="V71" s="28"/>
      <c r="W71" s="21"/>
      <c r="X71" s="21"/>
      <c r="Y71" s="21"/>
      <c r="Z71" s="29"/>
      <c r="AB71" s="49" t="s">
        <v>108</v>
      </c>
      <c r="AC71" s="73">
        <f>AC69*(1+AC70)</f>
        <v>0</v>
      </c>
      <c r="AD71" s="28"/>
      <c r="AE71" s="28"/>
      <c r="AF71" s="21"/>
      <c r="AG71" s="21"/>
      <c r="AH71" s="21"/>
      <c r="AI71" s="29"/>
    </row>
    <row r="72" spans="1:35">
      <c r="A72" s="66" t="s">
        <v>109</v>
      </c>
      <c r="B72" s="74">
        <v>0</v>
      </c>
      <c r="C72" s="28"/>
      <c r="D72" s="28"/>
      <c r="E72" s="21"/>
      <c r="F72" s="21"/>
      <c r="G72" s="21"/>
      <c r="H72" s="29"/>
      <c r="J72" s="66" t="s">
        <v>109</v>
      </c>
      <c r="K72" s="74">
        <v>0</v>
      </c>
      <c r="L72" s="28"/>
      <c r="M72" s="28"/>
      <c r="N72" s="21"/>
      <c r="O72" s="21"/>
      <c r="P72" s="21"/>
      <c r="Q72" s="29"/>
      <c r="S72" s="66" t="s">
        <v>109</v>
      </c>
      <c r="T72" s="74">
        <v>0</v>
      </c>
      <c r="U72" s="28"/>
      <c r="V72" s="28"/>
      <c r="W72" s="21"/>
      <c r="X72" s="21"/>
      <c r="Y72" s="21"/>
      <c r="Z72" s="29"/>
      <c r="AB72" s="66" t="s">
        <v>109</v>
      </c>
      <c r="AC72" s="74">
        <v>0</v>
      </c>
      <c r="AD72" s="28"/>
      <c r="AE72" s="28"/>
      <c r="AF72" s="21"/>
      <c r="AG72" s="21"/>
      <c r="AH72" s="21"/>
      <c r="AI72" s="29"/>
    </row>
    <row r="73" spans="1:35">
      <c r="A73" s="68" t="s">
        <v>110</v>
      </c>
      <c r="B73" s="65">
        <v>0</v>
      </c>
      <c r="C73" s="28"/>
      <c r="D73" s="28"/>
      <c r="E73" s="21"/>
      <c r="F73" s="21"/>
      <c r="G73" s="21"/>
      <c r="H73" s="29"/>
      <c r="J73" s="68" t="s">
        <v>110</v>
      </c>
      <c r="K73" s="65">
        <v>0</v>
      </c>
      <c r="L73" s="28"/>
      <c r="M73" s="28"/>
      <c r="N73" s="21"/>
      <c r="O73" s="21"/>
      <c r="P73" s="21"/>
      <c r="Q73" s="29"/>
      <c r="S73" s="68" t="s">
        <v>110</v>
      </c>
      <c r="T73" s="65">
        <v>0</v>
      </c>
      <c r="U73" s="28"/>
      <c r="V73" s="28"/>
      <c r="W73" s="21"/>
      <c r="X73" s="21"/>
      <c r="Y73" s="21"/>
      <c r="Z73" s="29"/>
      <c r="AB73" s="68" t="s">
        <v>110</v>
      </c>
      <c r="AC73" s="65">
        <v>0</v>
      </c>
      <c r="AD73" s="28"/>
      <c r="AE73" s="28"/>
      <c r="AF73" s="21"/>
      <c r="AG73" s="21"/>
      <c r="AH73" s="21"/>
      <c r="AI73" s="29"/>
    </row>
    <row r="74" spans="1:35">
      <c r="A74" s="49" t="s">
        <v>111</v>
      </c>
      <c r="B74" s="57">
        <f>B73*B29</f>
        <v>0</v>
      </c>
      <c r="C74" s="28"/>
      <c r="D74" s="28">
        <f>B74+B72</f>
        <v>0</v>
      </c>
      <c r="E74" s="21"/>
      <c r="F74" s="21"/>
      <c r="G74" s="21"/>
      <c r="H74" s="29"/>
      <c r="J74" s="49" t="s">
        <v>111</v>
      </c>
      <c r="K74" s="57">
        <f>K73*K29</f>
        <v>0</v>
      </c>
      <c r="L74" s="28"/>
      <c r="M74" s="28">
        <f>K74+K72</f>
        <v>0</v>
      </c>
      <c r="N74" s="21"/>
      <c r="O74" s="21"/>
      <c r="P74" s="21"/>
      <c r="Q74" s="29"/>
      <c r="S74" s="49" t="s">
        <v>111</v>
      </c>
      <c r="T74" s="57">
        <f>T73*K29</f>
        <v>0</v>
      </c>
      <c r="U74" s="28"/>
      <c r="V74" s="28">
        <f>T74+T72</f>
        <v>0</v>
      </c>
      <c r="W74" s="21"/>
      <c r="X74" s="21"/>
      <c r="Y74" s="21"/>
      <c r="Z74" s="29"/>
      <c r="AB74" s="49" t="s">
        <v>111</v>
      </c>
      <c r="AC74" s="57">
        <f>AC73*K29</f>
        <v>0</v>
      </c>
      <c r="AD74" s="28"/>
      <c r="AE74" s="28">
        <f>AC74+AC72</f>
        <v>0</v>
      </c>
      <c r="AF74" s="21"/>
      <c r="AG74" s="21"/>
      <c r="AH74" s="21"/>
      <c r="AI74" s="29"/>
    </row>
    <row r="75" spans="1:35">
      <c r="A75" s="68" t="s">
        <v>112</v>
      </c>
      <c r="B75" s="65">
        <v>0</v>
      </c>
      <c r="C75" s="28"/>
      <c r="D75" s="28">
        <f>B75</f>
        <v>0</v>
      </c>
      <c r="E75" s="21"/>
      <c r="F75" s="21"/>
      <c r="G75" s="21"/>
      <c r="H75" s="29"/>
      <c r="J75" s="68" t="s">
        <v>112</v>
      </c>
      <c r="K75" s="65">
        <v>0</v>
      </c>
      <c r="L75" s="28"/>
      <c r="M75" s="28">
        <f>K75</f>
        <v>0</v>
      </c>
      <c r="N75" s="21"/>
      <c r="O75" s="21"/>
      <c r="P75" s="21"/>
      <c r="Q75" s="29"/>
      <c r="S75" s="68" t="s">
        <v>112</v>
      </c>
      <c r="T75" s="65">
        <v>0</v>
      </c>
      <c r="U75" s="28"/>
      <c r="V75" s="28">
        <f>T75</f>
        <v>0</v>
      </c>
      <c r="W75" s="21"/>
      <c r="X75" s="21"/>
      <c r="Y75" s="21"/>
      <c r="Z75" s="29"/>
      <c r="AB75" s="68" t="s">
        <v>112</v>
      </c>
      <c r="AC75" s="65">
        <v>0</v>
      </c>
      <c r="AD75" s="28"/>
      <c r="AE75" s="28">
        <f>AC75</f>
        <v>0</v>
      </c>
      <c r="AF75" s="21"/>
      <c r="AG75" s="21"/>
      <c r="AH75" s="21"/>
      <c r="AI75" s="29"/>
    </row>
    <row r="76" spans="1:35">
      <c r="A76" s="70" t="s">
        <v>113</v>
      </c>
      <c r="B76" s="75">
        <v>0</v>
      </c>
      <c r="C76" s="28"/>
      <c r="D76" s="28">
        <f>B76</f>
        <v>0</v>
      </c>
      <c r="E76" s="21"/>
      <c r="F76" s="21"/>
      <c r="G76" s="21"/>
      <c r="H76" s="29"/>
      <c r="J76" s="70" t="s">
        <v>113</v>
      </c>
      <c r="K76" s="75">
        <v>0</v>
      </c>
      <c r="L76" s="28"/>
      <c r="M76" s="28">
        <f>K76</f>
        <v>0</v>
      </c>
      <c r="N76" s="21"/>
      <c r="O76" s="21"/>
      <c r="P76" s="21"/>
      <c r="Q76" s="29"/>
      <c r="S76" s="70" t="s">
        <v>113</v>
      </c>
      <c r="T76" s="75">
        <v>0</v>
      </c>
      <c r="U76" s="28"/>
      <c r="V76" s="28">
        <f>T76</f>
        <v>0</v>
      </c>
      <c r="W76" s="21"/>
      <c r="X76" s="21"/>
      <c r="Y76" s="21"/>
      <c r="Z76" s="29"/>
      <c r="AB76" s="70" t="s">
        <v>113</v>
      </c>
      <c r="AC76" s="75">
        <v>0</v>
      </c>
      <c r="AD76" s="28"/>
      <c r="AE76" s="28">
        <f>AC76</f>
        <v>0</v>
      </c>
      <c r="AF76" s="21"/>
      <c r="AG76" s="21"/>
      <c r="AH76" s="21"/>
      <c r="AI76" s="29"/>
    </row>
    <row r="77" spans="1:35">
      <c r="A77" s="76" t="s">
        <v>114</v>
      </c>
      <c r="B77" s="77">
        <f>SUM(D65:D76)</f>
        <v>0</v>
      </c>
      <c r="C77" s="28"/>
      <c r="D77" s="28"/>
      <c r="E77" s="21"/>
      <c r="F77" s="21"/>
      <c r="G77" s="21"/>
      <c r="H77" s="29"/>
      <c r="J77" s="76" t="s">
        <v>114</v>
      </c>
      <c r="K77" s="77">
        <f>SUM(M65:M76)</f>
        <v>0</v>
      </c>
      <c r="L77" s="28"/>
      <c r="M77" s="28"/>
      <c r="N77" s="21"/>
      <c r="O77" s="21"/>
      <c r="P77" s="21"/>
      <c r="Q77" s="29"/>
      <c r="S77" s="76" t="s">
        <v>114</v>
      </c>
      <c r="T77" s="77">
        <f>SUM(V65:V76)</f>
        <v>0</v>
      </c>
      <c r="U77" s="28"/>
      <c r="V77" s="28"/>
      <c r="W77" s="21"/>
      <c r="X77" s="21"/>
      <c r="Y77" s="21"/>
      <c r="Z77" s="29"/>
      <c r="AB77" s="76" t="s">
        <v>114</v>
      </c>
      <c r="AC77" s="77">
        <f>SUM(AE65:AE76)</f>
        <v>0</v>
      </c>
      <c r="AD77" s="28"/>
      <c r="AE77" s="28"/>
      <c r="AF77" s="21"/>
      <c r="AG77" s="21"/>
      <c r="AH77" s="21"/>
      <c r="AI77" s="29"/>
    </row>
    <row r="78" spans="1:35">
      <c r="A78" s="27" t="s">
        <v>115</v>
      </c>
      <c r="B78" s="29">
        <f>B77/H29</f>
        <v>0</v>
      </c>
      <c r="C78" s="28"/>
      <c r="D78" s="28"/>
      <c r="E78" s="21"/>
      <c r="F78" s="21"/>
      <c r="G78" s="21"/>
      <c r="H78" s="29"/>
      <c r="J78" s="27" t="s">
        <v>115</v>
      </c>
      <c r="K78" s="29">
        <f>K77/K29</f>
        <v>0</v>
      </c>
      <c r="L78" s="28"/>
      <c r="M78" s="28"/>
      <c r="N78" s="21"/>
      <c r="O78" s="21"/>
      <c r="P78" s="21"/>
      <c r="Q78" s="29"/>
      <c r="S78" s="27" t="s">
        <v>115</v>
      </c>
      <c r="T78" s="29">
        <f>T77/K29</f>
        <v>0</v>
      </c>
      <c r="U78" s="28"/>
      <c r="V78" s="28"/>
      <c r="W78" s="21"/>
      <c r="X78" s="21"/>
      <c r="Y78" s="21"/>
      <c r="Z78" s="29"/>
      <c r="AB78" s="27" t="s">
        <v>115</v>
      </c>
      <c r="AC78" s="29">
        <f>AC77/K29</f>
        <v>0</v>
      </c>
      <c r="AD78" s="28"/>
      <c r="AE78" s="28"/>
      <c r="AF78" s="21"/>
      <c r="AG78" s="21"/>
      <c r="AH78" s="21"/>
      <c r="AI78" s="29"/>
    </row>
    <row r="79" spans="1:35">
      <c r="A79" s="78" t="s">
        <v>116</v>
      </c>
      <c r="B79" s="52">
        <f>K47</f>
        <v>594.95057384317727</v>
      </c>
      <c r="C79" s="28"/>
      <c r="D79" s="28"/>
      <c r="E79" s="21"/>
      <c r="F79" s="21"/>
      <c r="G79" s="21"/>
      <c r="H79" s="29"/>
      <c r="J79" s="78" t="s">
        <v>116</v>
      </c>
      <c r="K79" s="52">
        <f>K47</f>
        <v>594.95057384317727</v>
      </c>
      <c r="L79" s="28"/>
      <c r="M79" s="28"/>
      <c r="N79" s="21"/>
      <c r="O79" s="21"/>
      <c r="P79" s="21"/>
      <c r="Q79" s="29"/>
      <c r="S79" s="78" t="s">
        <v>116</v>
      </c>
      <c r="T79" s="52">
        <f>B52</f>
        <v>658.86057384317724</v>
      </c>
      <c r="U79" s="28"/>
      <c r="V79" s="28"/>
      <c r="W79" s="21"/>
      <c r="X79" s="21"/>
      <c r="Y79" s="21"/>
      <c r="Z79" s="29"/>
      <c r="AB79" s="78" t="s">
        <v>116</v>
      </c>
      <c r="AC79" s="52">
        <f>B52</f>
        <v>658.86057384317724</v>
      </c>
      <c r="AD79" s="28"/>
      <c r="AE79" s="28"/>
      <c r="AF79" s="21"/>
      <c r="AG79" s="21"/>
      <c r="AH79" s="21"/>
      <c r="AI79" s="29"/>
    </row>
    <row r="80" spans="1:35">
      <c r="A80" s="27"/>
      <c r="B80" s="28"/>
      <c r="C80" s="28"/>
      <c r="D80" s="28"/>
      <c r="E80" s="21"/>
      <c r="F80" s="21"/>
      <c r="G80" s="21"/>
      <c r="H80" s="29"/>
      <c r="J80" s="27"/>
      <c r="K80" s="28"/>
      <c r="L80" s="28"/>
      <c r="M80" s="28"/>
      <c r="N80" s="21"/>
      <c r="O80" s="21"/>
      <c r="P80" s="21"/>
      <c r="Q80" s="29"/>
      <c r="S80" s="27"/>
      <c r="T80" s="28"/>
      <c r="U80" s="28"/>
      <c r="V80" s="28"/>
      <c r="W80" s="21"/>
      <c r="X80" s="21"/>
      <c r="Y80" s="21"/>
      <c r="Z80" s="29"/>
      <c r="AB80" s="27"/>
      <c r="AC80" s="28"/>
      <c r="AD80" s="28"/>
      <c r="AE80" s="28"/>
      <c r="AF80" s="21"/>
      <c r="AG80" s="21"/>
      <c r="AH80" s="21"/>
      <c r="AI80" s="29"/>
    </row>
    <row r="81" spans="1:35">
      <c r="A81" s="22" t="s">
        <v>117</v>
      </c>
      <c r="B81" s="24">
        <f>G158</f>
        <v>29996.003999999997</v>
      </c>
      <c r="C81" s="28"/>
      <c r="D81" s="28"/>
      <c r="E81" s="21"/>
      <c r="F81" s="22" t="s">
        <v>117</v>
      </c>
      <c r="G81" s="24">
        <f>G158</f>
        <v>29996.003999999997</v>
      </c>
      <c r="H81" s="29"/>
      <c r="J81" s="22" t="s">
        <v>117</v>
      </c>
      <c r="K81" s="24">
        <f>P158</f>
        <v>36519.004000000001</v>
      </c>
      <c r="L81" s="28"/>
      <c r="M81" s="28"/>
      <c r="N81" s="21"/>
      <c r="O81" s="21"/>
      <c r="P81" s="21"/>
      <c r="Q81" s="29"/>
      <c r="S81" s="22" t="s">
        <v>117</v>
      </c>
      <c r="T81" s="24">
        <f>Y158</f>
        <v>26409.235000000001</v>
      </c>
      <c r="U81" s="28"/>
      <c r="V81" s="28"/>
      <c r="W81" s="21"/>
      <c r="X81" s="21"/>
      <c r="Y81" s="21"/>
      <c r="Z81" s="29"/>
      <c r="AB81" s="22" t="s">
        <v>117</v>
      </c>
      <c r="AC81" s="24">
        <f>AH158</f>
        <v>20393.5</v>
      </c>
      <c r="AD81" s="28"/>
      <c r="AE81" s="28"/>
      <c r="AF81" s="21"/>
      <c r="AG81" s="21"/>
      <c r="AH81" s="21"/>
      <c r="AI81" s="29"/>
    </row>
    <row r="82" spans="1:35">
      <c r="A82" s="27" t="s">
        <v>118</v>
      </c>
      <c r="B82" s="29">
        <f>IF(A111="YES",A40,0)</f>
        <v>3705</v>
      </c>
      <c r="C82" s="28"/>
      <c r="D82" s="28"/>
      <c r="E82" s="21"/>
      <c r="F82" s="27" t="s">
        <v>118</v>
      </c>
      <c r="G82" s="29">
        <f>IF(A111="YES",A40,0)</f>
        <v>3705</v>
      </c>
      <c r="H82" s="29"/>
      <c r="J82" s="27" t="s">
        <v>118</v>
      </c>
      <c r="K82" s="29">
        <f>IF(J111="YES",A40,0)</f>
        <v>0</v>
      </c>
      <c r="L82" s="28"/>
      <c r="M82" s="28"/>
      <c r="N82" s="21"/>
      <c r="O82" s="21"/>
      <c r="P82" s="21"/>
      <c r="Q82" s="29"/>
      <c r="S82" s="27" t="s">
        <v>118</v>
      </c>
      <c r="T82" s="29">
        <f>A40</f>
        <v>3705</v>
      </c>
      <c r="U82" s="28"/>
      <c r="V82" s="28"/>
      <c r="W82" s="21"/>
      <c r="X82" s="21"/>
      <c r="Y82" s="21"/>
      <c r="Z82" s="29"/>
      <c r="AB82" s="27" t="s">
        <v>118</v>
      </c>
      <c r="AC82" s="29">
        <f>A40</f>
        <v>3705</v>
      </c>
      <c r="AD82" s="28"/>
      <c r="AE82" s="28"/>
      <c r="AF82" s="21"/>
      <c r="AG82" s="21"/>
      <c r="AH82" s="21"/>
      <c r="AI82" s="29"/>
    </row>
    <row r="83" spans="1:35">
      <c r="A83" s="27" t="s">
        <v>119</v>
      </c>
      <c r="B83" s="72">
        <f>B62+B63+B64</f>
        <v>0.12000000000000001</v>
      </c>
      <c r="C83" s="28"/>
      <c r="D83" s="28"/>
      <c r="E83" s="21"/>
      <c r="F83" s="27" t="s">
        <v>119</v>
      </c>
      <c r="G83" s="79">
        <f>B63</f>
        <v>7.0000000000000007E-2</v>
      </c>
      <c r="H83" s="29"/>
      <c r="J83" s="27" t="s">
        <v>119</v>
      </c>
      <c r="K83" s="72">
        <f>K62+K63+K64</f>
        <v>0.24000000000000002</v>
      </c>
      <c r="L83" s="28"/>
      <c r="M83" s="28"/>
      <c r="N83" s="21"/>
      <c r="O83" s="21"/>
      <c r="P83" s="21"/>
      <c r="Q83" s="29"/>
      <c r="S83" s="27" t="s">
        <v>119</v>
      </c>
      <c r="T83" s="72">
        <f>T62+T63+T64</f>
        <v>0.13100000000000001</v>
      </c>
      <c r="U83" s="28"/>
      <c r="V83" s="28"/>
      <c r="W83" s="21"/>
      <c r="X83" s="21"/>
      <c r="Y83" s="21"/>
      <c r="Z83" s="29"/>
      <c r="AB83" s="27" t="s">
        <v>119</v>
      </c>
      <c r="AC83" s="72">
        <f>AC62+AC63+AC64</f>
        <v>0.13100000000000001</v>
      </c>
      <c r="AD83" s="28"/>
      <c r="AE83" s="28"/>
      <c r="AF83" s="21"/>
      <c r="AG83" s="21"/>
      <c r="AH83" s="21"/>
      <c r="AI83" s="29"/>
    </row>
    <row r="84" spans="1:35">
      <c r="A84" s="27" t="s">
        <v>120</v>
      </c>
      <c r="B84" s="72">
        <f>B83/12</f>
        <v>0.01</v>
      </c>
      <c r="C84" s="28"/>
      <c r="D84" s="28"/>
      <c r="E84" s="21"/>
      <c r="F84" s="27" t="s">
        <v>120</v>
      </c>
      <c r="G84" s="72">
        <f>G83/12</f>
        <v>5.8333333333333336E-3</v>
      </c>
      <c r="H84" s="29"/>
      <c r="J84" s="27" t="s">
        <v>120</v>
      </c>
      <c r="K84" s="72">
        <f>K83/12</f>
        <v>0.02</v>
      </c>
      <c r="L84" s="28"/>
      <c r="M84" s="28"/>
      <c r="N84" s="21"/>
      <c r="O84" s="21"/>
      <c r="P84" s="21"/>
      <c r="Q84" s="29"/>
      <c r="S84" s="27" t="s">
        <v>120</v>
      </c>
      <c r="T84" s="72">
        <f>T83/12</f>
        <v>1.0916666666666667E-2</v>
      </c>
      <c r="U84" s="28"/>
      <c r="V84" s="28"/>
      <c r="W84" s="21"/>
      <c r="X84" s="21"/>
      <c r="Y84" s="21"/>
      <c r="Z84" s="29"/>
      <c r="AB84" s="27" t="s">
        <v>120</v>
      </c>
      <c r="AC84" s="72">
        <f>AC83/12</f>
        <v>1.0916666666666667E-2</v>
      </c>
      <c r="AD84" s="28"/>
      <c r="AE84" s="28"/>
      <c r="AF84" s="21"/>
      <c r="AG84" s="21"/>
      <c r="AH84" s="21"/>
      <c r="AI84" s="29"/>
    </row>
    <row r="85" spans="1:35">
      <c r="A85" s="27" t="s">
        <v>121</v>
      </c>
      <c r="B85" s="29">
        <f>IF(B82=0,(B59+B58),(B59))</f>
        <v>34</v>
      </c>
      <c r="C85" s="28"/>
      <c r="D85" s="28"/>
      <c r="E85" s="21"/>
      <c r="F85" s="27" t="s">
        <v>121</v>
      </c>
      <c r="G85" s="29">
        <f>IF(G82=0,(B59+B58),(B59))</f>
        <v>34</v>
      </c>
      <c r="H85" s="29"/>
      <c r="J85" s="27" t="s">
        <v>121</v>
      </c>
      <c r="K85" s="29">
        <f>IF(K82=0,(K59+K58),(K59))</f>
        <v>35</v>
      </c>
      <c r="L85" s="28"/>
      <c r="M85" s="28"/>
      <c r="N85" s="21"/>
      <c r="O85" s="21"/>
      <c r="P85" s="21"/>
      <c r="Q85" s="29"/>
      <c r="S85" s="27" t="s">
        <v>121</v>
      </c>
      <c r="T85" s="29">
        <f>T59</f>
        <v>34</v>
      </c>
      <c r="U85" s="28"/>
      <c r="V85" s="28"/>
      <c r="W85" s="21"/>
      <c r="X85" s="21"/>
      <c r="Y85" s="21"/>
      <c r="Z85" s="29"/>
      <c r="AB85" s="27" t="s">
        <v>121</v>
      </c>
      <c r="AC85" s="29">
        <f>AC59</f>
        <v>34</v>
      </c>
      <c r="AD85" s="28"/>
      <c r="AE85" s="28"/>
      <c r="AF85" s="21"/>
      <c r="AG85" s="21"/>
      <c r="AH85" s="21"/>
      <c r="AI85" s="29"/>
    </row>
    <row r="86" spans="1:35">
      <c r="A86" s="27" t="s">
        <v>122</v>
      </c>
      <c r="B86" s="29">
        <f>(B82/((1+B84)^(B85+1)))</f>
        <v>2615.4121077526838</v>
      </c>
      <c r="C86" s="28"/>
      <c r="D86" s="28"/>
      <c r="E86" s="21"/>
      <c r="F86" s="27" t="s">
        <v>122</v>
      </c>
      <c r="G86" s="29">
        <f>(G82/((1+G84)^(G85+1)))</f>
        <v>3022.5769810051393</v>
      </c>
      <c r="H86" s="29"/>
      <c r="J86" s="27" t="s">
        <v>122</v>
      </c>
      <c r="K86" s="29">
        <f>(K82/((1+K84)^(K85+1)))</f>
        <v>0</v>
      </c>
      <c r="L86" s="28"/>
      <c r="M86" s="28"/>
      <c r="N86" s="21"/>
      <c r="O86" s="21"/>
      <c r="P86" s="21"/>
      <c r="Q86" s="29"/>
      <c r="S86" s="27" t="s">
        <v>122</v>
      </c>
      <c r="T86" s="29">
        <f>(T82/((1+T84)^(T85+1)))</f>
        <v>2533.6739631428195</v>
      </c>
      <c r="U86" s="28"/>
      <c r="V86" s="28"/>
      <c r="W86" s="21"/>
      <c r="X86" s="21"/>
      <c r="Y86" s="21"/>
      <c r="Z86" s="29"/>
      <c r="AB86" s="27" t="s">
        <v>122</v>
      </c>
      <c r="AC86" s="29">
        <f>(AC82/((1+AC84)^(AC85+1)))</f>
        <v>2533.6739631428195</v>
      </c>
      <c r="AD86" s="28"/>
      <c r="AE86" s="28"/>
      <c r="AF86" s="21"/>
      <c r="AG86" s="21"/>
      <c r="AH86" s="21"/>
      <c r="AI86" s="29"/>
    </row>
    <row r="87" spans="1:35">
      <c r="A87" s="27" t="s">
        <v>123</v>
      </c>
      <c r="B87" s="29">
        <f>((1-(1/((1+B84)^B85)))/B84)</f>
        <v>28.702665888523338</v>
      </c>
      <c r="C87" s="28"/>
      <c r="D87" s="28"/>
      <c r="E87" s="21"/>
      <c r="F87" s="27" t="s">
        <v>123</v>
      </c>
      <c r="G87" s="29">
        <f>((1-(1/((1+G84)^G85)))/G84)</f>
        <v>30.759575242984265</v>
      </c>
      <c r="H87" s="29"/>
      <c r="J87" s="27" t="s">
        <v>123</v>
      </c>
      <c r="K87" s="29">
        <f>((1-(1/((1+K84)^K85)))/K84)</f>
        <v>24.998619332035133</v>
      </c>
      <c r="L87" s="28"/>
      <c r="M87" s="28"/>
      <c r="N87" s="21"/>
      <c r="O87" s="21"/>
      <c r="P87" s="21"/>
      <c r="Q87" s="29"/>
      <c r="S87" s="27" t="s">
        <v>123</v>
      </c>
      <c r="T87" s="29">
        <f>((1-(1/((1+T84)^T85)))/T84)</f>
        <v>28.276212572476751</v>
      </c>
      <c r="U87" s="28"/>
      <c r="V87" s="28"/>
      <c r="W87" s="21"/>
      <c r="X87" s="21"/>
      <c r="Y87" s="21"/>
      <c r="Z87" s="29"/>
      <c r="AB87" s="27" t="s">
        <v>123</v>
      </c>
      <c r="AC87" s="29">
        <f>((1-(1/((1+AC84)^AC85)))/AC84)</f>
        <v>28.276212572476751</v>
      </c>
      <c r="AD87" s="28"/>
      <c r="AE87" s="28"/>
      <c r="AF87" s="21"/>
      <c r="AG87" s="21"/>
      <c r="AH87" s="21"/>
      <c r="AI87" s="29"/>
    </row>
    <row r="88" spans="1:35">
      <c r="A88" s="27" t="s">
        <v>124</v>
      </c>
      <c r="B88" s="29">
        <f>B81-B86</f>
        <v>27380.591892247314</v>
      </c>
      <c r="C88" s="28"/>
      <c r="D88" s="28"/>
      <c r="E88" s="21"/>
      <c r="F88" s="27" t="s">
        <v>124</v>
      </c>
      <c r="G88" s="29">
        <f>G81-G86</f>
        <v>26973.427018994858</v>
      </c>
      <c r="H88" s="29"/>
      <c r="J88" s="27" t="s">
        <v>124</v>
      </c>
      <c r="K88" s="29">
        <f>K81-K86</f>
        <v>36519.004000000001</v>
      </c>
      <c r="L88" s="28"/>
      <c r="M88" s="28"/>
      <c r="N88" s="21"/>
      <c r="O88" s="21"/>
      <c r="P88" s="21"/>
      <c r="Q88" s="29"/>
      <c r="S88" s="27" t="s">
        <v>124</v>
      </c>
      <c r="T88" s="29">
        <f>T81-T86</f>
        <v>23875.56103685718</v>
      </c>
      <c r="U88" s="28"/>
      <c r="V88" s="28"/>
      <c r="W88" s="21"/>
      <c r="X88" s="21"/>
      <c r="Y88" s="21"/>
      <c r="Z88" s="29"/>
      <c r="AB88" s="27" t="s">
        <v>124</v>
      </c>
      <c r="AC88" s="29">
        <f>AC81-AC86</f>
        <v>17859.826036857179</v>
      </c>
      <c r="AD88" s="28"/>
      <c r="AE88" s="28"/>
      <c r="AF88" s="21"/>
      <c r="AG88" s="21"/>
      <c r="AH88" s="21"/>
      <c r="AI88" s="29"/>
    </row>
    <row r="89" spans="1:35">
      <c r="A89" s="27" t="s">
        <v>125</v>
      </c>
      <c r="B89" s="29">
        <f>(B88/B87)</f>
        <v>953.93898248299467</v>
      </c>
      <c r="C89" s="28"/>
      <c r="D89" s="28"/>
      <c r="E89" s="21"/>
      <c r="F89" s="27" t="s">
        <v>125</v>
      </c>
      <c r="G89" s="29">
        <f>(G88/G87)</f>
        <v>876.91155700035347</v>
      </c>
      <c r="H89" s="29"/>
      <c r="J89" s="27" t="s">
        <v>125</v>
      </c>
      <c r="K89" s="29">
        <f>(K88/K87)</f>
        <v>1460.8408374458413</v>
      </c>
      <c r="L89" s="28"/>
      <c r="M89" s="28"/>
      <c r="N89" s="21"/>
      <c r="O89" s="21"/>
      <c r="P89" s="21"/>
      <c r="Q89" s="29"/>
      <c r="S89" s="27" t="s">
        <v>125</v>
      </c>
      <c r="T89" s="29">
        <f>(T88/T87)</f>
        <v>844.36913096688772</v>
      </c>
      <c r="U89" s="28"/>
      <c r="V89" s="28"/>
      <c r="W89" s="21"/>
      <c r="X89" s="21"/>
      <c r="Y89" s="21"/>
      <c r="Z89" s="29"/>
      <c r="AB89" s="27" t="s">
        <v>125</v>
      </c>
      <c r="AC89" s="29">
        <f>(AC88/AC87)</f>
        <v>631.62016451387899</v>
      </c>
      <c r="AD89" s="28"/>
      <c r="AE89" s="28"/>
      <c r="AF89" s="21"/>
      <c r="AG89" s="21"/>
      <c r="AH89" s="21"/>
      <c r="AI89" s="29"/>
    </row>
    <row r="90" spans="1:35">
      <c r="A90" s="27" t="s">
        <v>126</v>
      </c>
      <c r="B90" s="29">
        <f>((B89*(B85))+B77)</f>
        <v>32433.925404421818</v>
      </c>
      <c r="C90" s="28"/>
      <c r="D90" s="28"/>
      <c r="E90" s="21"/>
      <c r="F90" s="27" t="s">
        <v>126</v>
      </c>
      <c r="G90" s="29">
        <f>((G89*(G85))+G77)</f>
        <v>29814.992938012019</v>
      </c>
      <c r="H90" s="29"/>
      <c r="J90" s="27" t="s">
        <v>126</v>
      </c>
      <c r="K90" s="29">
        <f>((K89*(K85))+K77)</f>
        <v>51129.42931060445</v>
      </c>
      <c r="L90" s="28"/>
      <c r="M90" s="28"/>
      <c r="N90" s="21"/>
      <c r="O90" s="21"/>
      <c r="P90" s="21"/>
      <c r="Q90" s="29"/>
      <c r="S90" s="27" t="s">
        <v>126</v>
      </c>
      <c r="T90" s="29">
        <f>(T89*(T85))+T77</f>
        <v>28708.550452874184</v>
      </c>
      <c r="U90" s="28"/>
      <c r="V90" s="28"/>
      <c r="W90" s="21"/>
      <c r="X90" s="21"/>
      <c r="Y90" s="21"/>
      <c r="Z90" s="29"/>
      <c r="AB90" s="27" t="s">
        <v>126</v>
      </c>
      <c r="AC90" s="29">
        <f>(AC89*(AC59))+AC77</f>
        <v>21475.085593471886</v>
      </c>
      <c r="AD90" s="28"/>
      <c r="AE90" s="28"/>
      <c r="AF90" s="21"/>
      <c r="AG90" s="21"/>
      <c r="AH90" s="21"/>
      <c r="AI90" s="29"/>
    </row>
    <row r="91" spans="1:35">
      <c r="A91" s="27" t="s">
        <v>127</v>
      </c>
      <c r="B91" s="29">
        <f>(B90/(1-B71))*B71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  <c r="J91" s="27" t="s">
        <v>127</v>
      </c>
      <c r="K91" s="29">
        <f>(K90/(1-K71))*K71</f>
        <v>0</v>
      </c>
      <c r="L91" s="28"/>
      <c r="M91" s="28"/>
      <c r="N91" s="21"/>
      <c r="O91" s="21"/>
      <c r="P91" s="21"/>
      <c r="Q91" s="29"/>
      <c r="S91" s="27" t="s">
        <v>127</v>
      </c>
      <c r="T91" s="29">
        <f>(T90/(1-T71))*T71</f>
        <v>0</v>
      </c>
      <c r="U91" s="28"/>
      <c r="V91" s="28"/>
      <c r="W91" s="21"/>
      <c r="X91" s="21"/>
      <c r="Y91" s="21"/>
      <c r="Z91" s="29"/>
      <c r="AB91" s="27" t="s">
        <v>127</v>
      </c>
      <c r="AC91" s="29">
        <f>(AC90/(1-AC71))*AC71</f>
        <v>0</v>
      </c>
      <c r="AD91" s="28"/>
      <c r="AE91" s="28"/>
      <c r="AF91" s="21"/>
      <c r="AG91" s="21"/>
      <c r="AH91" s="21"/>
      <c r="AI91" s="29"/>
    </row>
    <row r="92" spans="1:35">
      <c r="A92" s="49" t="s">
        <v>128</v>
      </c>
      <c r="B92" s="57">
        <f>(B90+B91)</f>
        <v>32433.925404421818</v>
      </c>
      <c r="C92" s="28"/>
      <c r="D92" s="28"/>
      <c r="E92" s="21"/>
      <c r="F92" s="49" t="s">
        <v>128</v>
      </c>
      <c r="G92" s="57">
        <f>(G90+G91)</f>
        <v>29814.992938012019</v>
      </c>
      <c r="H92" s="29"/>
      <c r="J92" s="49" t="s">
        <v>128</v>
      </c>
      <c r="K92" s="57">
        <f>(K90+K91)</f>
        <v>51129.42931060445</v>
      </c>
      <c r="L92" s="28"/>
      <c r="M92" s="28"/>
      <c r="N92" s="21"/>
      <c r="O92" s="21"/>
      <c r="P92" s="21"/>
      <c r="Q92" s="29"/>
      <c r="S92" s="49" t="s">
        <v>128</v>
      </c>
      <c r="T92" s="57">
        <f>(T90+T91)</f>
        <v>28708.550452874184</v>
      </c>
      <c r="U92" s="28"/>
      <c r="V92" s="28"/>
      <c r="W92" s="21"/>
      <c r="X92" s="21"/>
      <c r="Y92" s="21"/>
      <c r="Z92" s="29"/>
      <c r="AB92" s="49" t="s">
        <v>128</v>
      </c>
      <c r="AC92" s="57">
        <f>(AC90+AC91)</f>
        <v>21475.085593471886</v>
      </c>
      <c r="AD92" s="28"/>
      <c r="AE92" s="28"/>
      <c r="AF92" s="21"/>
      <c r="AG92" s="21"/>
      <c r="AH92" s="21"/>
      <c r="AI92" s="29"/>
    </row>
    <row r="93" spans="1:35">
      <c r="A93" s="27"/>
      <c r="B93" s="28"/>
      <c r="C93" s="28"/>
      <c r="D93" s="28"/>
      <c r="E93" s="21"/>
      <c r="F93" s="27"/>
      <c r="G93" s="28"/>
      <c r="H93" s="29"/>
      <c r="J93" s="27"/>
      <c r="K93" s="28"/>
      <c r="L93" s="28"/>
      <c r="M93" s="28"/>
      <c r="N93" s="21"/>
      <c r="O93" s="21"/>
      <c r="P93" s="21"/>
      <c r="Q93" s="29"/>
      <c r="S93" s="27"/>
      <c r="T93" s="28"/>
      <c r="U93" s="28"/>
      <c r="V93" s="28"/>
      <c r="W93" s="21"/>
      <c r="X93" s="21"/>
      <c r="Y93" s="21"/>
      <c r="Z93" s="29"/>
      <c r="AB93" s="27"/>
      <c r="AC93" s="28"/>
      <c r="AD93" s="28"/>
      <c r="AE93" s="28"/>
      <c r="AF93" s="21"/>
      <c r="AG93" s="21"/>
      <c r="AH93" s="21"/>
      <c r="AI93" s="29"/>
    </row>
    <row r="94" spans="1:35">
      <c r="A94" s="76" t="s">
        <v>129</v>
      </c>
      <c r="B94" s="77">
        <f>IF(B26="YES",((E40/B85)*(1+A108)*1.2*(C45/100)),"0")</f>
        <v>102.63194117647058</v>
      </c>
      <c r="C94" s="28"/>
      <c r="D94" s="28"/>
      <c r="E94" s="21"/>
      <c r="F94" s="76" t="s">
        <v>129</v>
      </c>
      <c r="G94" s="80">
        <f>IF(B26="YES",((E40/B85)*(1+A108)*(C45/100)),"0")</f>
        <v>85.526617647058814</v>
      </c>
      <c r="H94" s="29"/>
      <c r="J94" s="76" t="s">
        <v>129</v>
      </c>
      <c r="K94" s="77">
        <f>((E40/K85)*(1+J108))*1.2</f>
        <v>99.69959999999999</v>
      </c>
      <c r="L94" s="28"/>
      <c r="M94" s="28"/>
      <c r="N94" s="21"/>
      <c r="O94" s="21"/>
      <c r="P94" s="21"/>
      <c r="Q94" s="29"/>
      <c r="S94" s="76" t="s">
        <v>129</v>
      </c>
      <c r="T94" s="77">
        <f>((E40/T85)*(1+S108))</f>
        <v>78.94764705882352</v>
      </c>
      <c r="U94" s="28"/>
      <c r="V94" s="28"/>
      <c r="W94" s="21"/>
      <c r="X94" s="21"/>
      <c r="Y94" s="21"/>
      <c r="Z94" s="29"/>
      <c r="AB94" s="76" t="s">
        <v>129</v>
      </c>
      <c r="AC94" s="77">
        <f>((E40/AC85)*(1+AB108))*1.2</f>
        <v>94.737176470588224</v>
      </c>
      <c r="AD94" s="28"/>
      <c r="AE94" s="28"/>
      <c r="AF94" s="21"/>
      <c r="AG94" s="21"/>
      <c r="AH94" s="21"/>
      <c r="AI94" s="29"/>
    </row>
    <row r="95" spans="1:35">
      <c r="A95" s="81" t="s">
        <v>130</v>
      </c>
      <c r="B95" s="82">
        <f>B92/(B85)</f>
        <v>953.93898248299467</v>
      </c>
      <c r="C95" s="28"/>
      <c r="D95" s="28"/>
      <c r="E95" s="21"/>
      <c r="F95" s="81" t="s">
        <v>130</v>
      </c>
      <c r="G95" s="82">
        <f>G92/(G85)</f>
        <v>876.91155700035347</v>
      </c>
      <c r="H95" s="29"/>
      <c r="J95" s="81" t="s">
        <v>130</v>
      </c>
      <c r="K95" s="82">
        <f>K92/(K85)</f>
        <v>1460.8408374458413</v>
      </c>
      <c r="L95" s="28"/>
      <c r="M95" s="28"/>
      <c r="N95" s="21"/>
      <c r="O95" s="21"/>
      <c r="P95" s="21"/>
      <c r="Q95" s="29"/>
      <c r="S95" s="81" t="s">
        <v>130</v>
      </c>
      <c r="T95" s="82">
        <f>T92/(T85)</f>
        <v>844.36913096688772</v>
      </c>
      <c r="U95" s="28"/>
      <c r="V95" s="28"/>
      <c r="W95" s="21"/>
      <c r="X95" s="21"/>
      <c r="Y95" s="21"/>
      <c r="Z95" s="29"/>
      <c r="AB95" s="81" t="s">
        <v>130</v>
      </c>
      <c r="AC95" s="82">
        <f>AC92/(AC59)</f>
        <v>631.62016451387899</v>
      </c>
      <c r="AD95" s="28"/>
      <c r="AE95" s="28"/>
      <c r="AF95" s="21"/>
      <c r="AG95" s="21"/>
      <c r="AH95" s="21"/>
      <c r="AI95" s="29"/>
    </row>
    <row r="96" spans="1:35">
      <c r="A96" s="83" t="s">
        <v>131</v>
      </c>
      <c r="B96" s="84">
        <f>(B94+B95)</f>
        <v>1056.5709236594653</v>
      </c>
      <c r="C96" s="28"/>
      <c r="D96" s="28"/>
      <c r="E96" s="21"/>
      <c r="F96" s="83" t="s">
        <v>131</v>
      </c>
      <c r="G96" s="84">
        <f>G94+G95</f>
        <v>962.43817464741232</v>
      </c>
      <c r="H96" s="29"/>
      <c r="J96" s="83" t="s">
        <v>131</v>
      </c>
      <c r="K96" s="84">
        <f>(K94+K95)</f>
        <v>1560.5404374458412</v>
      </c>
      <c r="L96" s="28"/>
      <c r="M96" s="28"/>
      <c r="N96" s="21"/>
      <c r="O96" s="21"/>
      <c r="P96" s="21"/>
      <c r="Q96" s="29"/>
      <c r="S96" s="83" t="s">
        <v>131</v>
      </c>
      <c r="T96" s="84">
        <f>T94+T95</f>
        <v>923.3167780257113</v>
      </c>
      <c r="U96" s="28"/>
      <c r="V96" s="28"/>
      <c r="W96" s="21"/>
      <c r="X96" s="21"/>
      <c r="Y96" s="21"/>
      <c r="Z96" s="29"/>
      <c r="AB96" s="83" t="s">
        <v>131</v>
      </c>
      <c r="AC96" s="84">
        <f>AC94+AC95</f>
        <v>726.35734098446721</v>
      </c>
      <c r="AD96" s="28"/>
      <c r="AE96" s="28"/>
      <c r="AF96" s="21"/>
      <c r="AG96" s="21"/>
      <c r="AH96" s="21"/>
      <c r="AI96" s="29"/>
    </row>
    <row r="97" spans="1:42">
      <c r="A97" s="49"/>
      <c r="B97" s="50"/>
      <c r="C97" s="50"/>
      <c r="D97" s="50"/>
      <c r="E97" s="85"/>
      <c r="F97" s="85"/>
      <c r="G97" s="85"/>
      <c r="H97" s="57"/>
      <c r="J97" s="49"/>
      <c r="K97" s="50"/>
      <c r="L97" s="50"/>
      <c r="M97" s="50"/>
      <c r="N97" s="85"/>
      <c r="O97" s="85"/>
      <c r="P97" s="85"/>
      <c r="Q97" s="57"/>
      <c r="S97" s="49"/>
      <c r="T97" s="50"/>
      <c r="U97" s="50"/>
      <c r="V97" s="50"/>
      <c r="W97" s="85"/>
      <c r="X97" s="85"/>
      <c r="Y97" s="85"/>
      <c r="Z97" s="57"/>
      <c r="AB97" s="49"/>
      <c r="AC97" s="50"/>
      <c r="AD97" s="50"/>
      <c r="AE97" s="50"/>
      <c r="AF97" s="85"/>
      <c r="AG97" s="85"/>
      <c r="AH97" s="85"/>
      <c r="AI97" s="57"/>
    </row>
    <row r="98" spans="1:42" ht="14.25">
      <c r="A98" s="21"/>
      <c r="B98" s="21"/>
      <c r="C98" s="21"/>
      <c r="D98" s="21"/>
      <c r="E98" s="21"/>
      <c r="F98" s="21"/>
      <c r="G98" s="21"/>
      <c r="H98" s="21"/>
      <c r="J98" s="21"/>
      <c r="K98" s="21"/>
      <c r="L98" s="21"/>
      <c r="M98" s="21"/>
      <c r="N98" s="21"/>
      <c r="O98" s="21"/>
      <c r="P98" s="21"/>
      <c r="Q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</row>
    <row r="99" spans="1:42" ht="14.25">
      <c r="A99" s="21"/>
      <c r="B99" s="21"/>
      <c r="C99" s="21"/>
      <c r="D99" s="21"/>
      <c r="E99" s="21"/>
      <c r="F99" s="21"/>
      <c r="G99" s="21"/>
      <c r="H99" s="21"/>
      <c r="J99" s="21"/>
      <c r="K99" s="21"/>
      <c r="L99" s="21"/>
      <c r="M99" s="21"/>
      <c r="N99" s="21"/>
      <c r="O99" s="21"/>
      <c r="P99" s="21"/>
      <c r="Q99" s="21"/>
      <c r="S99" s="21"/>
      <c r="T99" s="21"/>
      <c r="U99" s="21"/>
      <c r="V99" s="21"/>
      <c r="W99" s="21"/>
      <c r="X99" s="21"/>
      <c r="Y99" s="21"/>
      <c r="Z99" s="21"/>
      <c r="AB99" s="21"/>
      <c r="AC99" s="21"/>
      <c r="AD99" s="21"/>
      <c r="AE99" s="21"/>
      <c r="AF99" s="21"/>
      <c r="AG99" s="21"/>
      <c r="AH99" s="21"/>
      <c r="AI99" s="21"/>
    </row>
    <row r="100" spans="1:42" ht="47.25" customHeight="1">
      <c r="A100" s="344" t="s">
        <v>133</v>
      </c>
      <c r="B100" s="344"/>
      <c r="C100" s="344"/>
      <c r="D100" s="344"/>
      <c r="E100" s="344"/>
      <c r="F100" s="344"/>
      <c r="G100" s="344"/>
      <c r="H100" s="344"/>
      <c r="J100" s="344" t="s">
        <v>133</v>
      </c>
      <c r="K100" s="344"/>
      <c r="L100" s="344"/>
      <c r="M100" s="344"/>
      <c r="N100" s="344"/>
      <c r="O100" s="344"/>
      <c r="P100" s="344"/>
      <c r="Q100" s="344"/>
      <c r="S100" s="344" t="s">
        <v>134</v>
      </c>
      <c r="T100" s="344"/>
      <c r="U100" s="344"/>
      <c r="V100" s="344"/>
      <c r="W100" s="344"/>
      <c r="X100" s="344"/>
      <c r="Y100" s="344"/>
      <c r="Z100" s="344"/>
      <c r="AB100" s="344" t="s">
        <v>135</v>
      </c>
      <c r="AC100" s="344"/>
      <c r="AD100" s="344"/>
      <c r="AE100" s="344"/>
      <c r="AF100" s="344"/>
      <c r="AG100" s="344"/>
      <c r="AH100" s="344"/>
      <c r="AI100" s="344"/>
    </row>
    <row r="101" spans="1:42">
      <c r="A101" s="22"/>
      <c r="B101" s="23"/>
      <c r="C101" s="23"/>
      <c r="D101" s="23"/>
      <c r="E101" s="63"/>
      <c r="F101" s="63"/>
      <c r="G101" s="63"/>
      <c r="H101" s="87"/>
      <c r="J101" s="22"/>
      <c r="K101" s="23"/>
      <c r="L101" s="23"/>
      <c r="M101" s="23"/>
      <c r="N101" s="63"/>
      <c r="O101" s="63"/>
      <c r="P101" s="63"/>
      <c r="Q101" s="87"/>
      <c r="S101" s="22"/>
      <c r="T101" s="23"/>
      <c r="U101" s="23"/>
      <c r="V101" s="23"/>
      <c r="W101" s="63"/>
      <c r="X101" s="63"/>
      <c r="Y101" s="63"/>
      <c r="Z101" s="87"/>
      <c r="AB101" s="22"/>
      <c r="AC101" s="23"/>
      <c r="AD101" s="23"/>
      <c r="AE101" s="23"/>
      <c r="AF101" s="63"/>
      <c r="AG101" s="63"/>
      <c r="AH101" s="63"/>
      <c r="AI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35" t="s">
        <v>136</v>
      </c>
      <c r="K102" s="335"/>
      <c r="L102" s="335"/>
      <c r="M102" s="335"/>
      <c r="N102" s="335"/>
      <c r="O102" s="335"/>
      <c r="P102" s="335"/>
      <c r="Q102" s="335"/>
      <c r="S102" s="335" t="s">
        <v>136</v>
      </c>
      <c r="T102" s="335"/>
      <c r="U102" s="335"/>
      <c r="V102" s="335"/>
      <c r="W102" s="335"/>
      <c r="X102" s="335"/>
      <c r="Y102" s="335"/>
      <c r="Z102" s="335"/>
      <c r="AB102" s="335" t="s">
        <v>136</v>
      </c>
      <c r="AC102" s="335"/>
      <c r="AD102" s="335"/>
      <c r="AE102" s="335"/>
      <c r="AF102" s="335"/>
      <c r="AG102" s="335"/>
      <c r="AH102" s="335"/>
      <c r="AI102" s="335"/>
    </row>
    <row r="103" spans="1:42">
      <c r="A103" s="27"/>
      <c r="B103" s="28"/>
      <c r="C103" s="28"/>
      <c r="D103" s="28"/>
      <c r="E103" s="21"/>
      <c r="F103" s="21"/>
      <c r="G103" s="21"/>
      <c r="H103" s="88"/>
      <c r="J103" s="27"/>
      <c r="K103" s="28"/>
      <c r="L103" s="28"/>
      <c r="M103" s="28"/>
      <c r="N103" s="21"/>
      <c r="O103" s="21"/>
      <c r="P103" s="21"/>
      <c r="Q103" s="88"/>
      <c r="S103" s="27"/>
      <c r="T103" s="28"/>
      <c r="U103" s="28"/>
      <c r="V103" s="28"/>
      <c r="W103" s="21"/>
      <c r="X103" s="21"/>
      <c r="Y103" s="21"/>
      <c r="Z103" s="88"/>
      <c r="AB103" s="27"/>
      <c r="AC103" s="28"/>
      <c r="AD103" s="28"/>
      <c r="AE103" s="28"/>
      <c r="AF103" s="21"/>
      <c r="AG103" s="21"/>
      <c r="AH103" s="21"/>
      <c r="AI103" s="88"/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J104" s="27" t="s">
        <v>137</v>
      </c>
      <c r="K104" s="28" t="s">
        <v>36</v>
      </c>
      <c r="L104" s="28"/>
      <c r="M104" s="28"/>
      <c r="N104" s="28" t="s">
        <v>138</v>
      </c>
      <c r="O104" s="28"/>
      <c r="P104" s="28"/>
      <c r="Q104" s="29"/>
      <c r="S104" s="27" t="s">
        <v>137</v>
      </c>
      <c r="T104" s="28" t="s">
        <v>36</v>
      </c>
      <c r="U104" s="28"/>
      <c r="V104" s="28"/>
      <c r="W104" s="28" t="s">
        <v>138</v>
      </c>
      <c r="X104" s="28"/>
      <c r="Y104" s="28"/>
      <c r="Z104" s="29"/>
      <c r="AB104" s="27" t="s">
        <v>137</v>
      </c>
      <c r="AC104" s="28" t="s">
        <v>36</v>
      </c>
      <c r="AD104" s="28"/>
      <c r="AE104" s="28"/>
      <c r="AF104" s="28" t="s">
        <v>138</v>
      </c>
      <c r="AG104" s="28"/>
      <c r="AH104" s="28"/>
      <c r="AI104" s="29"/>
    </row>
    <row r="105" spans="1:42">
      <c r="A105" s="32" t="s">
        <v>139</v>
      </c>
      <c r="B105" s="345" t="s">
        <v>140</v>
      </c>
      <c r="C105" s="345"/>
      <c r="D105" s="345"/>
      <c r="E105" s="346" t="s">
        <v>385</v>
      </c>
      <c r="F105" s="346"/>
      <c r="G105" s="346"/>
      <c r="H105" s="88"/>
      <c r="J105" s="32" t="s">
        <v>139</v>
      </c>
      <c r="K105" s="345" t="s">
        <v>140</v>
      </c>
      <c r="L105" s="345"/>
      <c r="M105" s="345"/>
      <c r="N105" s="346" t="s">
        <v>31</v>
      </c>
      <c r="O105" s="346"/>
      <c r="P105" s="346"/>
      <c r="Q105" s="88"/>
      <c r="S105" s="32" t="s">
        <v>139</v>
      </c>
      <c r="T105" s="345" t="s">
        <v>140</v>
      </c>
      <c r="U105" s="345"/>
      <c r="V105" s="345"/>
      <c r="W105" s="346" t="s">
        <v>31</v>
      </c>
      <c r="X105" s="346"/>
      <c r="Y105" s="346"/>
      <c r="Z105" s="88"/>
      <c r="AB105" s="32" t="s">
        <v>139</v>
      </c>
      <c r="AC105" s="345" t="s">
        <v>140</v>
      </c>
      <c r="AD105" s="345"/>
      <c r="AE105" s="345"/>
      <c r="AF105" s="346" t="s">
        <v>31</v>
      </c>
      <c r="AG105" s="346"/>
      <c r="AH105" s="346"/>
      <c r="AI105" s="88"/>
    </row>
    <row r="106" spans="1:42">
      <c r="A106" s="27"/>
      <c r="B106" s="28"/>
      <c r="C106" s="28"/>
      <c r="D106" s="21"/>
      <c r="E106" s="28"/>
      <c r="F106" s="28"/>
      <c r="G106" s="21"/>
      <c r="H106" s="29"/>
      <c r="J106" s="27"/>
      <c r="K106" s="28"/>
      <c r="L106" s="28"/>
      <c r="M106" s="21"/>
      <c r="N106" s="28"/>
      <c r="O106" s="28"/>
      <c r="P106" s="21"/>
      <c r="Q106" s="29"/>
      <c r="S106" s="27"/>
      <c r="T106" s="28"/>
      <c r="U106" s="28"/>
      <c r="V106" s="21"/>
      <c r="W106" s="28"/>
      <c r="X106" s="28"/>
      <c r="Y106" s="21"/>
      <c r="Z106" s="29"/>
      <c r="AB106" s="27"/>
      <c r="AC106" s="28"/>
      <c r="AD106" s="28"/>
      <c r="AE106" s="21"/>
      <c r="AF106" s="28"/>
      <c r="AG106" s="28"/>
      <c r="AH106" s="21"/>
      <c r="AI106" s="29"/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J107" s="27" t="s">
        <v>141</v>
      </c>
      <c r="K107" s="28" t="s">
        <v>142</v>
      </c>
      <c r="L107" s="28"/>
      <c r="M107" s="21"/>
      <c r="N107" s="28" t="s">
        <v>143</v>
      </c>
      <c r="O107" s="28"/>
      <c r="P107" s="21"/>
      <c r="Q107" s="88"/>
      <c r="S107" s="27" t="s">
        <v>141</v>
      </c>
      <c r="T107" s="28" t="s">
        <v>142</v>
      </c>
      <c r="U107" s="28"/>
      <c r="V107" s="21"/>
      <c r="W107" s="28" t="s">
        <v>143</v>
      </c>
      <c r="X107" s="28"/>
      <c r="Y107" s="21"/>
      <c r="Z107" s="88"/>
      <c r="AB107" s="27" t="s">
        <v>141</v>
      </c>
      <c r="AC107" s="28" t="s">
        <v>142</v>
      </c>
      <c r="AD107" s="28"/>
      <c r="AE107" s="21"/>
      <c r="AF107" s="28" t="s">
        <v>143</v>
      </c>
      <c r="AG107" s="28"/>
      <c r="AH107" s="21"/>
      <c r="AI107" s="88"/>
    </row>
    <row r="108" spans="1:42">
      <c r="A108" s="91">
        <v>0.3</v>
      </c>
      <c r="B108" s="348" t="s">
        <v>389</v>
      </c>
      <c r="C108" s="348"/>
      <c r="D108" s="348"/>
      <c r="E108" s="349">
        <f>B83</f>
        <v>0.12000000000000001</v>
      </c>
      <c r="F108" s="349"/>
      <c r="G108" s="349"/>
      <c r="H108" s="42"/>
      <c r="J108" s="91">
        <v>0.3</v>
      </c>
      <c r="K108" s="348" t="s">
        <v>144</v>
      </c>
      <c r="L108" s="348"/>
      <c r="M108" s="348"/>
      <c r="N108" s="349">
        <f>K83</f>
        <v>0.24000000000000002</v>
      </c>
      <c r="O108" s="349"/>
      <c r="P108" s="349"/>
      <c r="Q108" s="42"/>
      <c r="S108" s="91">
        <v>0.2</v>
      </c>
      <c r="T108" s="348" t="s">
        <v>145</v>
      </c>
      <c r="U108" s="348"/>
      <c r="V108" s="348"/>
      <c r="W108" s="349">
        <f>T83</f>
        <v>0.13100000000000001</v>
      </c>
      <c r="X108" s="349"/>
      <c r="Y108" s="349"/>
      <c r="Z108" s="42"/>
      <c r="AB108" s="91">
        <v>0.2</v>
      </c>
      <c r="AC108" s="348" t="s">
        <v>145</v>
      </c>
      <c r="AD108" s="348"/>
      <c r="AE108" s="348"/>
      <c r="AF108" s="350">
        <f>AC83</f>
        <v>0.13100000000000001</v>
      </c>
      <c r="AG108" s="350"/>
      <c r="AH108" s="350"/>
      <c r="AI108" s="42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J109" s="27"/>
      <c r="K109" s="28"/>
      <c r="L109" s="28"/>
      <c r="M109" s="28"/>
      <c r="N109" s="28"/>
      <c r="O109" s="28"/>
      <c r="P109" s="28"/>
      <c r="Q109" s="29"/>
      <c r="S109" s="27"/>
      <c r="T109" s="28"/>
      <c r="U109" s="28"/>
      <c r="V109" s="28"/>
      <c r="W109" s="28"/>
      <c r="X109" s="28"/>
      <c r="Y109" s="28"/>
      <c r="Z109" s="29"/>
      <c r="AB109" s="27"/>
      <c r="AC109" s="28"/>
      <c r="AD109" s="28"/>
      <c r="AE109" s="28"/>
      <c r="AF109" s="28"/>
      <c r="AG109" s="28"/>
      <c r="AH109" s="28"/>
      <c r="AI109" s="29"/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J110" s="27" t="s">
        <v>147</v>
      </c>
      <c r="K110" s="28" t="s">
        <v>148</v>
      </c>
      <c r="L110" s="28"/>
      <c r="M110" s="28"/>
      <c r="N110" s="28" t="s">
        <v>149</v>
      </c>
      <c r="O110" s="28"/>
      <c r="P110" s="28"/>
      <c r="Q110" s="29"/>
      <c r="S110" s="27" t="s">
        <v>147</v>
      </c>
      <c r="T110" s="28" t="s">
        <v>148</v>
      </c>
      <c r="U110" s="28"/>
      <c r="V110" s="28"/>
      <c r="W110" s="28" t="s">
        <v>149</v>
      </c>
      <c r="X110" s="28"/>
      <c r="Y110" s="28"/>
      <c r="Z110" s="29"/>
      <c r="AB110" s="27" t="s">
        <v>147</v>
      </c>
      <c r="AC110" s="28" t="s">
        <v>148</v>
      </c>
      <c r="AD110" s="28"/>
      <c r="AE110" s="28"/>
      <c r="AF110" s="28" t="s">
        <v>149</v>
      </c>
      <c r="AG110" s="28"/>
      <c r="AH110" s="28"/>
      <c r="AI110" s="29"/>
    </row>
    <row r="111" spans="1:42">
      <c r="A111" s="36" t="s">
        <v>385</v>
      </c>
      <c r="B111" s="348">
        <v>1000</v>
      </c>
      <c r="C111" s="348"/>
      <c r="D111" s="348"/>
      <c r="E111" s="348">
        <v>1000</v>
      </c>
      <c r="F111" s="348"/>
      <c r="G111" s="348"/>
      <c r="H111" s="88"/>
      <c r="J111" s="36" t="s">
        <v>32</v>
      </c>
      <c r="K111" s="348">
        <v>1000</v>
      </c>
      <c r="L111" s="348"/>
      <c r="M111" s="348"/>
      <c r="N111" s="348">
        <v>0</v>
      </c>
      <c r="O111" s="348"/>
      <c r="P111" s="348"/>
      <c r="Q111" s="88"/>
      <c r="S111" s="36" t="s">
        <v>31</v>
      </c>
      <c r="T111" s="348">
        <v>1000</v>
      </c>
      <c r="U111" s="348"/>
      <c r="V111" s="348"/>
      <c r="W111" s="348">
        <v>0</v>
      </c>
      <c r="X111" s="348"/>
      <c r="Y111" s="348"/>
      <c r="Z111" s="88"/>
      <c r="AB111" s="36" t="s">
        <v>31</v>
      </c>
      <c r="AC111" s="348">
        <v>1000</v>
      </c>
      <c r="AD111" s="348"/>
      <c r="AE111" s="348"/>
      <c r="AF111" s="348">
        <v>0</v>
      </c>
      <c r="AG111" s="348"/>
      <c r="AH111" s="348"/>
      <c r="AI111" s="88"/>
    </row>
    <row r="112" spans="1:42">
      <c r="A112" s="27"/>
      <c r="B112" s="28"/>
      <c r="C112" s="28"/>
      <c r="D112" s="28"/>
      <c r="E112" s="28"/>
      <c r="F112" s="28"/>
      <c r="G112" s="21"/>
      <c r="H112" s="88"/>
      <c r="J112" s="27"/>
      <c r="K112" s="28"/>
      <c r="L112" s="28"/>
      <c r="M112" s="28"/>
      <c r="N112" s="28"/>
      <c r="O112" s="28"/>
      <c r="P112" s="21"/>
      <c r="Q112" s="88"/>
      <c r="S112" s="27"/>
      <c r="T112" s="28"/>
      <c r="U112" s="28"/>
      <c r="V112" s="28"/>
      <c r="W112" s="28"/>
      <c r="X112" s="28"/>
      <c r="Y112" s="21"/>
      <c r="Z112" s="88"/>
      <c r="AB112" s="27"/>
      <c r="AC112" s="28"/>
      <c r="AD112" s="28"/>
      <c r="AE112" s="28"/>
      <c r="AF112" s="28"/>
      <c r="AG112" s="28"/>
      <c r="AH112" s="21"/>
      <c r="AI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  <c r="J113" s="93" t="s">
        <v>150</v>
      </c>
      <c r="K113" s="28" t="s">
        <v>151</v>
      </c>
      <c r="L113" s="28"/>
      <c r="M113" s="28"/>
      <c r="N113" s="28" t="s">
        <v>152</v>
      </c>
      <c r="O113" s="28"/>
      <c r="P113" s="21"/>
      <c r="Q113" s="88"/>
      <c r="S113" s="93" t="s">
        <v>150</v>
      </c>
      <c r="T113" s="28" t="s">
        <v>151</v>
      </c>
      <c r="U113" s="28"/>
      <c r="V113" s="28"/>
      <c r="W113" s="28" t="s">
        <v>152</v>
      </c>
      <c r="X113" s="28"/>
      <c r="Y113" s="21"/>
      <c r="Z113" s="88"/>
      <c r="AB113" s="93" t="s">
        <v>150</v>
      </c>
      <c r="AC113" s="28" t="s">
        <v>151</v>
      </c>
      <c r="AD113" s="28"/>
      <c r="AE113" s="28"/>
      <c r="AF113" s="28" t="s">
        <v>152</v>
      </c>
      <c r="AG113" s="28"/>
      <c r="AH113" s="21"/>
      <c r="AI113" s="88"/>
    </row>
    <row r="114" spans="1:35">
      <c r="A114" s="94">
        <f>B111+E111</f>
        <v>2000</v>
      </c>
      <c r="B114" s="348">
        <v>1000</v>
      </c>
      <c r="C114" s="348"/>
      <c r="D114" s="348"/>
      <c r="E114" s="348">
        <v>0</v>
      </c>
      <c r="F114" s="348"/>
      <c r="G114" s="348"/>
      <c r="H114" s="88"/>
      <c r="J114" s="94">
        <f>K111+N111</f>
        <v>1000</v>
      </c>
      <c r="K114" s="348">
        <v>239.99</v>
      </c>
      <c r="L114" s="348"/>
      <c r="M114" s="348"/>
      <c r="N114" s="348">
        <v>0</v>
      </c>
      <c r="O114" s="348"/>
      <c r="P114" s="348"/>
      <c r="Q114" s="88"/>
      <c r="S114" s="94">
        <f>T111+W111</f>
        <v>1000</v>
      </c>
      <c r="T114" s="348">
        <v>199.99</v>
      </c>
      <c r="U114" s="348"/>
      <c r="V114" s="348"/>
      <c r="W114" s="348">
        <v>0</v>
      </c>
      <c r="X114" s="348"/>
      <c r="Y114" s="348"/>
      <c r="Z114" s="88"/>
      <c r="AB114" s="94">
        <f>AC111+AF111</f>
        <v>1000</v>
      </c>
      <c r="AC114" s="348">
        <v>239.99</v>
      </c>
      <c r="AD114" s="348"/>
      <c r="AE114" s="348"/>
      <c r="AF114" s="348">
        <v>0</v>
      </c>
      <c r="AG114" s="348"/>
      <c r="AH114" s="348"/>
      <c r="AI114" s="88"/>
    </row>
    <row r="115" spans="1:35" ht="14.25">
      <c r="A115" s="95"/>
      <c r="B115" s="21"/>
      <c r="C115" s="21"/>
      <c r="D115" s="21"/>
      <c r="E115" s="21"/>
      <c r="F115" s="21"/>
      <c r="G115" s="21"/>
      <c r="H115" s="88"/>
      <c r="J115" s="95"/>
      <c r="K115" s="21"/>
      <c r="L115" s="21"/>
      <c r="M115" s="21"/>
      <c r="N115" s="21"/>
      <c r="O115" s="21"/>
      <c r="P115" s="21"/>
      <c r="Q115" s="88"/>
      <c r="S115" s="95"/>
      <c r="T115" s="21"/>
      <c r="U115" s="21"/>
      <c r="V115" s="21"/>
      <c r="W115" s="21"/>
      <c r="X115" s="21"/>
      <c r="Y115" s="21"/>
      <c r="Z115" s="88"/>
      <c r="AB115" s="95"/>
      <c r="AC115" s="21"/>
      <c r="AD115" s="21"/>
      <c r="AE115" s="21"/>
      <c r="AF115" s="21"/>
      <c r="AG115" s="21"/>
      <c r="AH115" s="21"/>
      <c r="AI115" s="88"/>
    </row>
    <row r="116" spans="1:35" ht="14.25">
      <c r="A116" s="95"/>
      <c r="B116" s="21"/>
      <c r="C116" s="21"/>
      <c r="D116" s="21"/>
      <c r="E116" s="21"/>
      <c r="F116" s="21"/>
      <c r="G116" s="21"/>
      <c r="H116" s="88"/>
      <c r="J116" s="95"/>
      <c r="K116" s="21"/>
      <c r="L116" s="21"/>
      <c r="M116" s="21"/>
      <c r="N116" s="21"/>
      <c r="O116" s="21"/>
      <c r="P116" s="21"/>
      <c r="Q116" s="88"/>
      <c r="S116" s="95"/>
      <c r="T116" s="21"/>
      <c r="U116" s="21"/>
      <c r="V116" s="21"/>
      <c r="W116" s="21"/>
      <c r="X116" s="21"/>
      <c r="Y116" s="21"/>
      <c r="Z116" s="88"/>
      <c r="AB116" s="95"/>
      <c r="AC116" s="21"/>
      <c r="AD116" s="21"/>
      <c r="AE116" s="21"/>
      <c r="AF116" s="21"/>
      <c r="AG116" s="21"/>
      <c r="AH116" s="21"/>
      <c r="AI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35" t="s">
        <v>153</v>
      </c>
      <c r="K117" s="335"/>
      <c r="L117" s="335"/>
      <c r="M117" s="335"/>
      <c r="N117" s="335"/>
      <c r="O117" s="335"/>
      <c r="P117" s="335"/>
      <c r="Q117" s="335"/>
      <c r="S117" s="335" t="s">
        <v>153</v>
      </c>
      <c r="T117" s="335"/>
      <c r="U117" s="335"/>
      <c r="V117" s="335"/>
      <c r="W117" s="335"/>
      <c r="X117" s="335"/>
      <c r="Y117" s="335"/>
      <c r="Z117" s="335"/>
      <c r="AB117" s="335" t="s">
        <v>153</v>
      </c>
      <c r="AC117" s="335"/>
      <c r="AD117" s="335"/>
      <c r="AE117" s="335"/>
      <c r="AF117" s="335"/>
      <c r="AG117" s="335"/>
      <c r="AH117" s="335"/>
      <c r="AI117" s="335"/>
    </row>
    <row r="118" spans="1:35" ht="14.25">
      <c r="A118" s="95"/>
      <c r="B118" s="21"/>
      <c r="C118" s="21"/>
      <c r="D118" s="21"/>
      <c r="E118" s="21"/>
      <c r="F118" s="21"/>
      <c r="G118" s="21"/>
      <c r="H118" s="88"/>
      <c r="J118" s="95"/>
      <c r="K118" s="21"/>
      <c r="L118" s="21"/>
      <c r="M118" s="21"/>
      <c r="N118" s="21"/>
      <c r="O118" s="21"/>
      <c r="P118" s="21"/>
      <c r="Q118" s="88"/>
      <c r="S118" s="95"/>
      <c r="T118" s="21"/>
      <c r="U118" s="21"/>
      <c r="V118" s="21"/>
      <c r="W118" s="21"/>
      <c r="X118" s="21"/>
      <c r="Y118" s="21"/>
      <c r="Z118" s="88"/>
      <c r="AB118" s="95"/>
      <c r="AC118" s="21"/>
      <c r="AD118" s="21"/>
      <c r="AE118" s="21"/>
      <c r="AF118" s="21"/>
      <c r="AG118" s="21"/>
      <c r="AH118" s="21"/>
      <c r="AI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J119" s="66"/>
      <c r="K119" s="351" t="s">
        <v>154</v>
      </c>
      <c r="L119" s="351"/>
      <c r="M119" s="351" t="s">
        <v>155</v>
      </c>
      <c r="N119" s="351"/>
      <c r="O119" s="351" t="s">
        <v>156</v>
      </c>
      <c r="P119" s="351"/>
      <c r="Q119" s="96" t="s">
        <v>157</v>
      </c>
      <c r="S119" s="66"/>
      <c r="T119" s="351" t="s">
        <v>154</v>
      </c>
      <c r="U119" s="351"/>
      <c r="V119" s="351" t="s">
        <v>155</v>
      </c>
      <c r="W119" s="351"/>
      <c r="X119" s="351" t="s">
        <v>156</v>
      </c>
      <c r="Y119" s="351"/>
      <c r="Z119" s="96" t="s">
        <v>157</v>
      </c>
      <c r="AB119" s="66"/>
      <c r="AC119" s="351" t="s">
        <v>154</v>
      </c>
      <c r="AD119" s="351"/>
      <c r="AE119" s="351" t="s">
        <v>155</v>
      </c>
      <c r="AF119" s="351"/>
      <c r="AG119" s="351" t="s">
        <v>156</v>
      </c>
      <c r="AH119" s="351"/>
      <c r="AI119" s="96" t="s">
        <v>157</v>
      </c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  <c r="J120" s="68"/>
      <c r="K120" s="97" t="s">
        <v>158</v>
      </c>
      <c r="L120" s="98" t="s">
        <v>159</v>
      </c>
      <c r="M120" s="97" t="s">
        <v>158</v>
      </c>
      <c r="N120" s="99" t="s">
        <v>159</v>
      </c>
      <c r="O120" s="97" t="s">
        <v>158</v>
      </c>
      <c r="P120" s="99" t="s">
        <v>159</v>
      </c>
      <c r="Q120" s="100"/>
      <c r="S120" s="68"/>
      <c r="T120" s="97" t="s">
        <v>158</v>
      </c>
      <c r="U120" s="98" t="s">
        <v>159</v>
      </c>
      <c r="V120" s="97" t="s">
        <v>158</v>
      </c>
      <c r="W120" s="99" t="s">
        <v>159</v>
      </c>
      <c r="X120" s="97" t="s">
        <v>158</v>
      </c>
      <c r="Y120" s="99" t="s">
        <v>159</v>
      </c>
      <c r="Z120" s="100"/>
      <c r="AB120" s="68"/>
      <c r="AC120" s="97" t="s">
        <v>158</v>
      </c>
      <c r="AD120" s="98" t="s">
        <v>159</v>
      </c>
      <c r="AE120" s="97" t="s">
        <v>158</v>
      </c>
      <c r="AF120" s="99" t="s">
        <v>159</v>
      </c>
      <c r="AG120" s="97" t="s">
        <v>158</v>
      </c>
      <c r="AH120" s="99" t="s">
        <v>159</v>
      </c>
      <c r="AI120" s="100"/>
    </row>
    <row r="121" spans="1:35">
      <c r="A121" s="22" t="s">
        <v>160</v>
      </c>
      <c r="B121" s="22">
        <f>B3</f>
        <v>20255</v>
      </c>
      <c r="C121" s="36">
        <f>B121</f>
        <v>20255</v>
      </c>
      <c r="D121" s="22">
        <f>D3</f>
        <v>0</v>
      </c>
      <c r="E121" s="36">
        <f>D121</f>
        <v>0</v>
      </c>
      <c r="F121" s="22">
        <f>F3</f>
        <v>0</v>
      </c>
      <c r="G121" s="36">
        <f>F121</f>
        <v>0</v>
      </c>
      <c r="H121" s="101">
        <f>H3</f>
        <v>0</v>
      </c>
      <c r="J121" s="22" t="s">
        <v>160</v>
      </c>
      <c r="K121" s="22">
        <f>B3</f>
        <v>20255</v>
      </c>
      <c r="L121" s="36">
        <v>28629.17</v>
      </c>
      <c r="M121" s="22">
        <f>D3</f>
        <v>0</v>
      </c>
      <c r="N121" s="36">
        <f>M121</f>
        <v>0</v>
      </c>
      <c r="O121" s="22">
        <f>F3</f>
        <v>0</v>
      </c>
      <c r="P121" s="36">
        <f>O121</f>
        <v>0</v>
      </c>
      <c r="Q121" s="101">
        <f>H3</f>
        <v>0</v>
      </c>
      <c r="S121" s="22" t="s">
        <v>160</v>
      </c>
      <c r="T121" s="22">
        <f>B3</f>
        <v>20255</v>
      </c>
      <c r="U121" s="36">
        <f>T121</f>
        <v>20255</v>
      </c>
      <c r="V121" s="22">
        <f>D3</f>
        <v>0</v>
      </c>
      <c r="W121" s="36">
        <f>V121</f>
        <v>0</v>
      </c>
      <c r="X121" s="22">
        <f>F3</f>
        <v>0</v>
      </c>
      <c r="Y121" s="36">
        <f>X121</f>
        <v>0</v>
      </c>
      <c r="Z121" s="101">
        <f>H3</f>
        <v>0</v>
      </c>
      <c r="AB121" s="22" t="s">
        <v>160</v>
      </c>
      <c r="AC121" s="22">
        <f>B3</f>
        <v>20255</v>
      </c>
      <c r="AD121" s="36">
        <f>AC121</f>
        <v>20255</v>
      </c>
      <c r="AE121" s="22">
        <f>D3</f>
        <v>0</v>
      </c>
      <c r="AF121" s="36">
        <f>AE121</f>
        <v>0</v>
      </c>
      <c r="AG121" s="22">
        <f>F3</f>
        <v>0</v>
      </c>
      <c r="AH121" s="36">
        <f>AG121</f>
        <v>0</v>
      </c>
      <c r="AI121" s="101">
        <f>H3</f>
        <v>0</v>
      </c>
    </row>
    <row r="122" spans="1:35">
      <c r="A122" s="27" t="s">
        <v>161</v>
      </c>
      <c r="B122" s="102">
        <f>B4</f>
        <v>0</v>
      </c>
      <c r="C122" s="103">
        <v>0</v>
      </c>
      <c r="D122" s="102">
        <f>D4</f>
        <v>0</v>
      </c>
      <c r="E122" s="103">
        <v>0</v>
      </c>
      <c r="F122" s="102">
        <f>F4</f>
        <v>0</v>
      </c>
      <c r="G122" s="296">
        <v>0</v>
      </c>
      <c r="H122" s="105"/>
      <c r="J122" s="27" t="s">
        <v>161</v>
      </c>
      <c r="K122" s="102">
        <f>B4</f>
        <v>0</v>
      </c>
      <c r="L122" s="103">
        <v>0</v>
      </c>
      <c r="M122" s="102">
        <f>D4</f>
        <v>0</v>
      </c>
      <c r="N122" s="103">
        <f>M122</f>
        <v>0</v>
      </c>
      <c r="O122" s="102">
        <f>F4</f>
        <v>0</v>
      </c>
      <c r="P122" s="296">
        <f>O122</f>
        <v>0</v>
      </c>
      <c r="Q122" s="105"/>
      <c r="S122" s="27" t="s">
        <v>161</v>
      </c>
      <c r="T122" s="102">
        <f>B4</f>
        <v>0</v>
      </c>
      <c r="U122" s="103">
        <v>0.25</v>
      </c>
      <c r="V122" s="102">
        <f>D4</f>
        <v>0</v>
      </c>
      <c r="W122" s="103">
        <f>V122</f>
        <v>0</v>
      </c>
      <c r="X122" s="102">
        <f>F4</f>
        <v>0</v>
      </c>
      <c r="Y122" s="296">
        <f>X122</f>
        <v>0</v>
      </c>
      <c r="Z122" s="105"/>
      <c r="AB122" s="27" t="s">
        <v>161</v>
      </c>
      <c r="AC122" s="102">
        <f>B4</f>
        <v>0</v>
      </c>
      <c r="AD122" s="103">
        <v>0.25</v>
      </c>
      <c r="AE122" s="102">
        <f>D4</f>
        <v>0</v>
      </c>
      <c r="AF122" s="103">
        <f>AE122</f>
        <v>0</v>
      </c>
      <c r="AG122" s="102">
        <f>F4</f>
        <v>0</v>
      </c>
      <c r="AH122" s="296">
        <f>AG122</f>
        <v>0</v>
      </c>
      <c r="AI122" s="105"/>
    </row>
    <row r="123" spans="1:35">
      <c r="A123" s="27" t="s">
        <v>162</v>
      </c>
      <c r="B123" s="27">
        <f>B5</f>
        <v>0</v>
      </c>
      <c r="C123" s="36">
        <v>-4246.67</v>
      </c>
      <c r="D123" s="27">
        <f>D5</f>
        <v>0</v>
      </c>
      <c r="E123" s="36">
        <v>0</v>
      </c>
      <c r="F123" s="27">
        <f>F5</f>
        <v>0</v>
      </c>
      <c r="G123" s="36">
        <v>0</v>
      </c>
      <c r="H123" s="29"/>
      <c r="J123" s="27" t="s">
        <v>162</v>
      </c>
      <c r="K123" s="27">
        <f>B5</f>
        <v>0</v>
      </c>
      <c r="L123" s="36">
        <v>0</v>
      </c>
      <c r="M123" s="27">
        <f>D5</f>
        <v>0</v>
      </c>
      <c r="N123" s="36">
        <f>M123</f>
        <v>0</v>
      </c>
      <c r="O123" s="27">
        <f>F5</f>
        <v>0</v>
      </c>
      <c r="P123" s="36">
        <f>O123</f>
        <v>0</v>
      </c>
      <c r="Q123" s="29"/>
      <c r="S123" s="27" t="s">
        <v>162</v>
      </c>
      <c r="T123" s="27">
        <f>B5</f>
        <v>0</v>
      </c>
      <c r="U123" s="36">
        <v>0</v>
      </c>
      <c r="V123" s="27">
        <f>D5</f>
        <v>0</v>
      </c>
      <c r="W123" s="36">
        <f>V123</f>
        <v>0</v>
      </c>
      <c r="X123" s="27">
        <f>F5</f>
        <v>0</v>
      </c>
      <c r="Y123" s="36">
        <f>X123</f>
        <v>0</v>
      </c>
      <c r="Z123" s="29"/>
      <c r="AB123" s="27" t="s">
        <v>162</v>
      </c>
      <c r="AC123" s="27">
        <f>B5</f>
        <v>0</v>
      </c>
      <c r="AD123" s="36">
        <v>0</v>
      </c>
      <c r="AE123" s="27">
        <f>D5</f>
        <v>0</v>
      </c>
      <c r="AF123" s="36">
        <f>AE123</f>
        <v>0</v>
      </c>
      <c r="AG123" s="27">
        <f>F5</f>
        <v>0</v>
      </c>
      <c r="AH123" s="36">
        <f>AG123</f>
        <v>0</v>
      </c>
      <c r="AI123" s="29"/>
    </row>
    <row r="124" spans="1:35">
      <c r="A124" s="27" t="s">
        <v>163</v>
      </c>
      <c r="B124" s="27">
        <f>(B121*B122)+B123</f>
        <v>0</v>
      </c>
      <c r="C124" s="24">
        <f>(C121*C122/100)+C123</f>
        <v>-4246.67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  <c r="J124" s="27" t="s">
        <v>163</v>
      </c>
      <c r="K124" s="27">
        <f t="shared" ref="K124:P124" si="0">(K121*K122)+K123</f>
        <v>0</v>
      </c>
      <c r="L124" s="24">
        <f t="shared" si="0"/>
        <v>0</v>
      </c>
      <c r="M124" s="27">
        <f t="shared" si="0"/>
        <v>0</v>
      </c>
      <c r="N124" s="24">
        <f t="shared" si="0"/>
        <v>0</v>
      </c>
      <c r="O124" s="27">
        <f t="shared" si="0"/>
        <v>0</v>
      </c>
      <c r="P124" s="24">
        <f t="shared" si="0"/>
        <v>0</v>
      </c>
      <c r="Q124" s="29"/>
      <c r="S124" s="27" t="s">
        <v>163</v>
      </c>
      <c r="T124" s="27">
        <f>(T121*T122)+T123</f>
        <v>0</v>
      </c>
      <c r="U124" s="24">
        <f>(U121*U122/100)+U123</f>
        <v>50.637500000000003</v>
      </c>
      <c r="V124" s="27">
        <f>(V121*V122)+V123</f>
        <v>0</v>
      </c>
      <c r="W124" s="24">
        <f>(W121*W122/100)+W123</f>
        <v>0</v>
      </c>
      <c r="X124" s="27">
        <f>(X121*X122)+X123</f>
        <v>0</v>
      </c>
      <c r="Y124" s="24">
        <f>(Y121*Y122/100)+Y123</f>
        <v>0</v>
      </c>
      <c r="Z124" s="29"/>
      <c r="AB124" s="27" t="s">
        <v>163</v>
      </c>
      <c r="AC124" s="27">
        <f t="shared" ref="AC124:AH124" si="1">(AC121*AC122)+AC123</f>
        <v>0</v>
      </c>
      <c r="AD124" s="24">
        <f t="shared" si="1"/>
        <v>5063.75</v>
      </c>
      <c r="AE124" s="27">
        <f t="shared" si="1"/>
        <v>0</v>
      </c>
      <c r="AF124" s="24">
        <f t="shared" si="1"/>
        <v>0</v>
      </c>
      <c r="AG124" s="27">
        <f t="shared" si="1"/>
        <v>0</v>
      </c>
      <c r="AH124" s="24">
        <f t="shared" si="1"/>
        <v>0</v>
      </c>
      <c r="AI124" s="29"/>
    </row>
    <row r="125" spans="1:35">
      <c r="A125" s="49" t="s">
        <v>164</v>
      </c>
      <c r="B125" s="49">
        <f t="shared" ref="B125:G125" si="2">B121-B124</f>
        <v>20255</v>
      </c>
      <c r="C125" s="57">
        <f t="shared" si="2"/>
        <v>24501.67</v>
      </c>
      <c r="D125" s="49">
        <f t="shared" si="2"/>
        <v>0</v>
      </c>
      <c r="E125" s="57">
        <f t="shared" si="2"/>
        <v>0</v>
      </c>
      <c r="F125" s="49">
        <f t="shared" si="2"/>
        <v>0</v>
      </c>
      <c r="G125" s="57">
        <f t="shared" si="2"/>
        <v>0</v>
      </c>
      <c r="H125" s="57"/>
      <c r="J125" s="49" t="s">
        <v>164</v>
      </c>
      <c r="K125" s="49">
        <f t="shared" ref="K125:P125" si="3">K121-K124</f>
        <v>20255</v>
      </c>
      <c r="L125" s="57">
        <f t="shared" si="3"/>
        <v>28629.17</v>
      </c>
      <c r="M125" s="49">
        <f t="shared" si="3"/>
        <v>0</v>
      </c>
      <c r="N125" s="57">
        <f t="shared" si="3"/>
        <v>0</v>
      </c>
      <c r="O125" s="49">
        <f t="shared" si="3"/>
        <v>0</v>
      </c>
      <c r="P125" s="57">
        <f t="shared" si="3"/>
        <v>0</v>
      </c>
      <c r="Q125" s="57"/>
      <c r="S125" s="49" t="s">
        <v>164</v>
      </c>
      <c r="T125" s="49">
        <f t="shared" ref="T125:Y125" si="4">T121-T124</f>
        <v>20255</v>
      </c>
      <c r="U125" s="57">
        <f t="shared" si="4"/>
        <v>20204.362499999999</v>
      </c>
      <c r="V125" s="49">
        <f t="shared" si="4"/>
        <v>0</v>
      </c>
      <c r="W125" s="57">
        <f t="shared" si="4"/>
        <v>0</v>
      </c>
      <c r="X125" s="49">
        <f t="shared" si="4"/>
        <v>0</v>
      </c>
      <c r="Y125" s="57">
        <f t="shared" si="4"/>
        <v>0</v>
      </c>
      <c r="Z125" s="57"/>
      <c r="AB125" s="49" t="s">
        <v>164</v>
      </c>
      <c r="AC125" s="49">
        <f t="shared" ref="AC125:AH125" si="5">AC121-AC124</f>
        <v>20255</v>
      </c>
      <c r="AD125" s="57">
        <f t="shared" si="5"/>
        <v>15191.25</v>
      </c>
      <c r="AE125" s="49">
        <f t="shared" si="5"/>
        <v>0</v>
      </c>
      <c r="AF125" s="57">
        <f t="shared" si="5"/>
        <v>0</v>
      </c>
      <c r="AG125" s="49">
        <f t="shared" si="5"/>
        <v>0</v>
      </c>
      <c r="AH125" s="57">
        <f t="shared" si="5"/>
        <v>0</v>
      </c>
      <c r="AI125" s="57"/>
    </row>
    <row r="126" spans="1:35">
      <c r="A126" s="27"/>
      <c r="B126" s="28"/>
      <c r="C126" s="28"/>
      <c r="D126" s="28"/>
      <c r="E126" s="28"/>
      <c r="F126" s="28"/>
      <c r="G126" s="28"/>
      <c r="H126" s="29"/>
      <c r="J126" s="27"/>
      <c r="K126" s="28"/>
      <c r="L126" s="28"/>
      <c r="M126" s="28"/>
      <c r="N126" s="28"/>
      <c r="O126" s="28"/>
      <c r="P126" s="28"/>
      <c r="Q126" s="29"/>
      <c r="S126" s="27"/>
      <c r="T126" s="28"/>
      <c r="U126" s="28"/>
      <c r="V126" s="28"/>
      <c r="W126" s="28"/>
      <c r="X126" s="28"/>
      <c r="Y126" s="28"/>
      <c r="Z126" s="29"/>
      <c r="AB126" s="27"/>
      <c r="AC126" s="28"/>
      <c r="AD126" s="28"/>
      <c r="AE126" s="28"/>
      <c r="AF126" s="28"/>
      <c r="AG126" s="28"/>
      <c r="AH126" s="28"/>
      <c r="AI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  <c r="J127" s="107"/>
      <c r="K127" s="108"/>
      <c r="L127" s="108"/>
      <c r="M127" s="108"/>
      <c r="N127" s="108"/>
      <c r="O127" s="108"/>
      <c r="P127" s="109" t="s">
        <v>158</v>
      </c>
      <c r="Q127" s="110" t="s">
        <v>159</v>
      </c>
      <c r="S127" s="107"/>
      <c r="T127" s="108"/>
      <c r="U127" s="108"/>
      <c r="V127" s="108"/>
      <c r="W127" s="108"/>
      <c r="X127" s="108"/>
      <c r="Y127" s="109" t="s">
        <v>158</v>
      </c>
      <c r="Z127" s="110" t="s">
        <v>159</v>
      </c>
      <c r="AB127" s="107"/>
      <c r="AC127" s="108"/>
      <c r="AD127" s="108"/>
      <c r="AE127" s="108"/>
      <c r="AF127" s="108"/>
      <c r="AG127" s="108"/>
      <c r="AH127" s="109" t="s">
        <v>158</v>
      </c>
      <c r="AI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  <c r="J128" s="111" t="s">
        <v>165</v>
      </c>
      <c r="K128" s="112"/>
      <c r="L128" s="112"/>
      <c r="M128" s="112"/>
      <c r="N128" s="112"/>
      <c r="O128" s="112"/>
      <c r="P128" s="113">
        <f>Q121</f>
        <v>0</v>
      </c>
      <c r="Q128" s="114">
        <f>SUM(Q131:Q133)</f>
        <v>0</v>
      </c>
      <c r="S128" s="111" t="s">
        <v>165</v>
      </c>
      <c r="T128" s="112"/>
      <c r="U128" s="112"/>
      <c r="V128" s="112"/>
      <c r="W128" s="112"/>
      <c r="X128" s="112"/>
      <c r="Y128" s="113">
        <f>Z121</f>
        <v>0</v>
      </c>
      <c r="Z128" s="114">
        <f>SUM(Z131:Z133)</f>
        <v>0</v>
      </c>
      <c r="AB128" s="111" t="s">
        <v>165</v>
      </c>
      <c r="AC128" s="112"/>
      <c r="AD128" s="112"/>
      <c r="AE128" s="112"/>
      <c r="AF128" s="112"/>
      <c r="AG128" s="112"/>
      <c r="AH128" s="113">
        <f>AI121</f>
        <v>0</v>
      </c>
      <c r="AI128" s="114">
        <f>SUM(AI131:AI133)</f>
        <v>0</v>
      </c>
    </row>
    <row r="129" spans="1:35">
      <c r="A129" s="27"/>
      <c r="B129" s="28"/>
      <c r="C129" s="28"/>
      <c r="D129" s="28"/>
      <c r="E129" s="28"/>
      <c r="F129" s="28"/>
      <c r="G129" s="115"/>
      <c r="H129" s="116"/>
      <c r="J129" s="27"/>
      <c r="K129" s="28"/>
      <c r="L129" s="28"/>
      <c r="M129" s="28"/>
      <c r="N129" s="28"/>
      <c r="O129" s="28"/>
      <c r="P129" s="115"/>
      <c r="Q129" s="116"/>
      <c r="S129" s="27"/>
      <c r="T129" s="28"/>
      <c r="U129" s="28"/>
      <c r="V129" s="28"/>
      <c r="W129" s="28"/>
      <c r="X129" s="28"/>
      <c r="Y129" s="115"/>
      <c r="Z129" s="116"/>
      <c r="AB129" s="27"/>
      <c r="AC129" s="28"/>
      <c r="AD129" s="28"/>
      <c r="AE129" s="28"/>
      <c r="AF129" s="28"/>
      <c r="AG129" s="28"/>
      <c r="AH129" s="115"/>
      <c r="AI129" s="116"/>
    </row>
    <row r="130" spans="1:35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J130" s="117" t="s">
        <v>166</v>
      </c>
      <c r="K130" s="352" t="s">
        <v>167</v>
      </c>
      <c r="L130" s="352"/>
      <c r="M130" s="352" t="s">
        <v>168</v>
      </c>
      <c r="N130" s="352"/>
      <c r="O130" s="352" t="s">
        <v>162</v>
      </c>
      <c r="P130" s="352"/>
      <c r="Q130" s="116" t="s">
        <v>159</v>
      </c>
      <c r="S130" s="117" t="s">
        <v>166</v>
      </c>
      <c r="T130" s="352" t="s">
        <v>167</v>
      </c>
      <c r="U130" s="352"/>
      <c r="V130" s="352" t="s">
        <v>168</v>
      </c>
      <c r="W130" s="352"/>
      <c r="X130" s="352" t="s">
        <v>162</v>
      </c>
      <c r="Y130" s="352"/>
      <c r="Z130" s="116" t="s">
        <v>159</v>
      </c>
      <c r="AB130" s="117" t="s">
        <v>166</v>
      </c>
      <c r="AC130" s="352" t="s">
        <v>167</v>
      </c>
      <c r="AD130" s="352"/>
      <c r="AE130" s="352" t="s">
        <v>168</v>
      </c>
      <c r="AF130" s="352"/>
      <c r="AG130" s="352" t="s">
        <v>162</v>
      </c>
      <c r="AH130" s="352"/>
      <c r="AI130" s="116" t="s">
        <v>159</v>
      </c>
    </row>
    <row r="131" spans="1:35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J131" s="27" t="s">
        <v>169</v>
      </c>
      <c r="K131" s="354">
        <f>P128</f>
        <v>0</v>
      </c>
      <c r="L131" s="354"/>
      <c r="M131" s="355">
        <v>0</v>
      </c>
      <c r="N131" s="355"/>
      <c r="O131" s="354">
        <v>0</v>
      </c>
      <c r="P131" s="354"/>
      <c r="Q131" s="119">
        <f>(K131-(K131*M131))-O131</f>
        <v>0</v>
      </c>
      <c r="S131" s="27" t="s">
        <v>169</v>
      </c>
      <c r="T131" s="354">
        <f>Y128</f>
        <v>0</v>
      </c>
      <c r="U131" s="354"/>
      <c r="V131" s="355">
        <v>0</v>
      </c>
      <c r="W131" s="355"/>
      <c r="X131" s="354">
        <v>0</v>
      </c>
      <c r="Y131" s="354"/>
      <c r="Z131" s="119">
        <f>(T131-(T131*V131))-X131</f>
        <v>0</v>
      </c>
      <c r="AB131" s="27" t="s">
        <v>169</v>
      </c>
      <c r="AC131" s="354">
        <f>AH128</f>
        <v>0</v>
      </c>
      <c r="AD131" s="354"/>
      <c r="AE131" s="355">
        <v>0</v>
      </c>
      <c r="AF131" s="355"/>
      <c r="AG131" s="354">
        <v>0</v>
      </c>
      <c r="AH131" s="354"/>
      <c r="AI131" s="119">
        <f>(AC131-(AC131*AE131))-AG131</f>
        <v>0</v>
      </c>
    </row>
    <row r="132" spans="1:35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J132" s="27" t="s">
        <v>170</v>
      </c>
      <c r="K132" s="354">
        <v>0</v>
      </c>
      <c r="L132" s="354"/>
      <c r="M132" s="355">
        <v>0</v>
      </c>
      <c r="N132" s="355"/>
      <c r="O132" s="354">
        <v>0</v>
      </c>
      <c r="P132" s="354"/>
      <c r="Q132" s="119">
        <f>(K132-(K132*M132))-O132</f>
        <v>0</v>
      </c>
      <c r="S132" s="27" t="s">
        <v>170</v>
      </c>
      <c r="T132" s="354">
        <v>0</v>
      </c>
      <c r="U132" s="354"/>
      <c r="V132" s="355">
        <v>0</v>
      </c>
      <c r="W132" s="355"/>
      <c r="X132" s="354">
        <v>0</v>
      </c>
      <c r="Y132" s="354"/>
      <c r="Z132" s="119">
        <f>(T132-(T132*V132))-X132</f>
        <v>0</v>
      </c>
      <c r="AB132" s="27" t="s">
        <v>170</v>
      </c>
      <c r="AC132" s="354">
        <v>0</v>
      </c>
      <c r="AD132" s="354"/>
      <c r="AE132" s="355">
        <v>0</v>
      </c>
      <c r="AF132" s="355"/>
      <c r="AG132" s="354">
        <v>0</v>
      </c>
      <c r="AH132" s="354"/>
      <c r="AI132" s="119">
        <f>(AC132-(AC132*AE132))-AG132</f>
        <v>0</v>
      </c>
    </row>
    <row r="133" spans="1:35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J133" s="27" t="s">
        <v>171</v>
      </c>
      <c r="K133" s="354">
        <v>0</v>
      </c>
      <c r="L133" s="354"/>
      <c r="M133" s="355">
        <v>0</v>
      </c>
      <c r="N133" s="355"/>
      <c r="O133" s="354">
        <v>0</v>
      </c>
      <c r="P133" s="354"/>
      <c r="Q133" s="119">
        <f>(K133-(K133*M133))-O133</f>
        <v>0</v>
      </c>
      <c r="S133" s="27" t="s">
        <v>171</v>
      </c>
      <c r="T133" s="354">
        <v>0</v>
      </c>
      <c r="U133" s="354"/>
      <c r="V133" s="355">
        <v>0</v>
      </c>
      <c r="W133" s="355"/>
      <c r="X133" s="354">
        <v>0</v>
      </c>
      <c r="Y133" s="354"/>
      <c r="Z133" s="119">
        <f>(T133-(T133*V133))-X133</f>
        <v>0</v>
      </c>
      <c r="AB133" s="27" t="s">
        <v>171</v>
      </c>
      <c r="AC133" s="354">
        <v>0</v>
      </c>
      <c r="AD133" s="354"/>
      <c r="AE133" s="355">
        <v>0</v>
      </c>
      <c r="AF133" s="355"/>
      <c r="AG133" s="354">
        <v>0</v>
      </c>
      <c r="AH133" s="354"/>
      <c r="AI133" s="119">
        <f>(AC133-(AC133*AE133))-AG133</f>
        <v>0</v>
      </c>
    </row>
    <row r="134" spans="1:35">
      <c r="A134" s="27"/>
      <c r="B134" s="28"/>
      <c r="C134" s="28"/>
      <c r="D134" s="28"/>
      <c r="E134" s="28"/>
      <c r="F134" s="28"/>
      <c r="G134" s="115"/>
      <c r="H134" s="116"/>
      <c r="J134" s="27"/>
      <c r="K134" s="28"/>
      <c r="L134" s="28"/>
      <c r="M134" s="28"/>
      <c r="N134" s="28"/>
      <c r="O134" s="28"/>
      <c r="P134" s="115"/>
      <c r="Q134" s="116"/>
      <c r="S134" s="27"/>
      <c r="T134" s="28"/>
      <c r="U134" s="28"/>
      <c r="V134" s="28"/>
      <c r="W134" s="28"/>
      <c r="X134" s="28"/>
      <c r="Y134" s="115"/>
      <c r="Z134" s="116"/>
      <c r="AB134" s="27"/>
      <c r="AC134" s="28"/>
      <c r="AD134" s="28"/>
      <c r="AE134" s="28"/>
      <c r="AF134" s="28"/>
      <c r="AG134" s="28"/>
      <c r="AH134" s="115"/>
      <c r="AI134" s="116"/>
    </row>
    <row r="135" spans="1:35" ht="21">
      <c r="A135" s="356" t="s">
        <v>172</v>
      </c>
      <c r="B135" s="356"/>
      <c r="C135" s="356"/>
      <c r="D135" s="356"/>
      <c r="E135" s="356"/>
      <c r="F135" s="356"/>
      <c r="G135" s="109">
        <f t="shared" ref="G135:G142" si="6">H9</f>
        <v>20255</v>
      </c>
      <c r="H135" s="120">
        <f>C125+E125+G125+H128</f>
        <v>24501.67</v>
      </c>
      <c r="J135" s="356" t="s">
        <v>172</v>
      </c>
      <c r="K135" s="356"/>
      <c r="L135" s="356"/>
      <c r="M135" s="356"/>
      <c r="N135" s="356"/>
      <c r="O135" s="356"/>
      <c r="P135" s="109">
        <f t="shared" ref="P135:P142" si="7">H9</f>
        <v>20255</v>
      </c>
      <c r="Q135" s="120">
        <f>L125+N125+P125+Q128</f>
        <v>28629.17</v>
      </c>
      <c r="S135" s="356" t="s">
        <v>172</v>
      </c>
      <c r="T135" s="356"/>
      <c r="U135" s="356"/>
      <c r="V135" s="356"/>
      <c r="W135" s="356"/>
      <c r="X135" s="356"/>
      <c r="Y135" s="109">
        <f t="shared" ref="Y135:Y142" si="8">H9</f>
        <v>20255</v>
      </c>
      <c r="Z135" s="120">
        <f>U125+W125+Y125+Z128</f>
        <v>20204.362499999999</v>
      </c>
      <c r="AB135" s="356" t="s">
        <v>172</v>
      </c>
      <c r="AC135" s="356"/>
      <c r="AD135" s="356"/>
      <c r="AE135" s="356"/>
      <c r="AF135" s="356"/>
      <c r="AG135" s="356"/>
      <c r="AH135" s="109">
        <f t="shared" ref="AH135:AH142" si="9">H9</f>
        <v>20255</v>
      </c>
      <c r="AI135" s="120">
        <f>AD125+AF125+AH125+AI128</f>
        <v>15191.25</v>
      </c>
    </row>
    <row r="136" spans="1:35">
      <c r="A136" s="357" t="s">
        <v>173</v>
      </c>
      <c r="B136" s="357"/>
      <c r="C136" s="357"/>
      <c r="D136" s="357"/>
      <c r="E136" s="357"/>
      <c r="F136" s="357"/>
      <c r="G136" s="121">
        <f t="shared" si="6"/>
        <v>695</v>
      </c>
      <c r="H136" s="29">
        <f>G136</f>
        <v>695</v>
      </c>
      <c r="J136" s="357" t="s">
        <v>173</v>
      </c>
      <c r="K136" s="357"/>
      <c r="L136" s="357"/>
      <c r="M136" s="357"/>
      <c r="N136" s="357"/>
      <c r="O136" s="357"/>
      <c r="P136" s="121">
        <f t="shared" si="7"/>
        <v>695</v>
      </c>
      <c r="Q136" s="29">
        <f>P136</f>
        <v>695</v>
      </c>
      <c r="S136" s="357" t="s">
        <v>173</v>
      </c>
      <c r="T136" s="357"/>
      <c r="U136" s="357"/>
      <c r="V136" s="357"/>
      <c r="W136" s="357"/>
      <c r="X136" s="357"/>
      <c r="Y136" s="121">
        <f t="shared" si="8"/>
        <v>695</v>
      </c>
      <c r="Z136" s="29">
        <f>Y136</f>
        <v>695</v>
      </c>
      <c r="AB136" s="357" t="s">
        <v>173</v>
      </c>
      <c r="AC136" s="357"/>
      <c r="AD136" s="357"/>
      <c r="AE136" s="357"/>
      <c r="AF136" s="357"/>
      <c r="AG136" s="357"/>
      <c r="AH136" s="121">
        <f t="shared" si="9"/>
        <v>695</v>
      </c>
      <c r="AI136" s="29">
        <f>AH136</f>
        <v>695</v>
      </c>
    </row>
    <row r="137" spans="1:35">
      <c r="A137" s="357" t="s">
        <v>174</v>
      </c>
      <c r="B137" s="357"/>
      <c r="C137" s="357"/>
      <c r="D137" s="357"/>
      <c r="E137" s="357"/>
      <c r="F137" s="357"/>
      <c r="G137" s="121">
        <f t="shared" si="6"/>
        <v>4190</v>
      </c>
      <c r="H137" s="29">
        <f>(H135+H136)*20%</f>
        <v>5039.3339999999998</v>
      </c>
      <c r="J137" s="357" t="s">
        <v>174</v>
      </c>
      <c r="K137" s="357"/>
      <c r="L137" s="357"/>
      <c r="M137" s="357"/>
      <c r="N137" s="357"/>
      <c r="O137" s="357"/>
      <c r="P137" s="121">
        <f t="shared" si="7"/>
        <v>4190</v>
      </c>
      <c r="Q137" s="29">
        <f>(Q135+Q136)*20%</f>
        <v>5864.8339999999998</v>
      </c>
      <c r="S137" s="357" t="s">
        <v>174</v>
      </c>
      <c r="T137" s="357"/>
      <c r="U137" s="357"/>
      <c r="V137" s="357"/>
      <c r="W137" s="357"/>
      <c r="X137" s="357"/>
      <c r="Y137" s="121">
        <f t="shared" si="8"/>
        <v>4190</v>
      </c>
      <c r="Z137" s="29">
        <f>(Z135+Z136)*20%</f>
        <v>4179.8725000000004</v>
      </c>
      <c r="AB137" s="357" t="s">
        <v>174</v>
      </c>
      <c r="AC137" s="357"/>
      <c r="AD137" s="357"/>
      <c r="AE137" s="357"/>
      <c r="AF137" s="357"/>
      <c r="AG137" s="357"/>
      <c r="AH137" s="121">
        <f t="shared" si="9"/>
        <v>4190</v>
      </c>
      <c r="AI137" s="29">
        <f>(AI135+AI136)*20%</f>
        <v>3177.25</v>
      </c>
    </row>
    <row r="138" spans="1:35">
      <c r="A138" s="357" t="s">
        <v>175</v>
      </c>
      <c r="B138" s="357"/>
      <c r="C138" s="357"/>
      <c r="D138" s="357"/>
      <c r="E138" s="357"/>
      <c r="F138" s="357"/>
      <c r="G138" s="121">
        <f t="shared" si="6"/>
        <v>0</v>
      </c>
      <c r="H138" s="29">
        <f>G138</f>
        <v>0</v>
      </c>
      <c r="J138" s="357" t="s">
        <v>175</v>
      </c>
      <c r="K138" s="357"/>
      <c r="L138" s="357"/>
      <c r="M138" s="357"/>
      <c r="N138" s="357"/>
      <c r="O138" s="357"/>
      <c r="P138" s="121">
        <f t="shared" si="7"/>
        <v>0</v>
      </c>
      <c r="Q138" s="29">
        <f>P138</f>
        <v>0</v>
      </c>
      <c r="S138" s="357" t="s">
        <v>175</v>
      </c>
      <c r="T138" s="357"/>
      <c r="U138" s="357"/>
      <c r="V138" s="357"/>
      <c r="W138" s="357"/>
      <c r="X138" s="357"/>
      <c r="Y138" s="121">
        <f t="shared" si="8"/>
        <v>0</v>
      </c>
      <c r="Z138" s="29">
        <f>Y138</f>
        <v>0</v>
      </c>
      <c r="AB138" s="357" t="s">
        <v>175</v>
      </c>
      <c r="AC138" s="357"/>
      <c r="AD138" s="357"/>
      <c r="AE138" s="357"/>
      <c r="AF138" s="357"/>
      <c r="AG138" s="357"/>
      <c r="AH138" s="121">
        <f t="shared" si="9"/>
        <v>0</v>
      </c>
      <c r="AI138" s="29">
        <f>AH138</f>
        <v>0</v>
      </c>
    </row>
    <row r="139" spans="1:35">
      <c r="A139" s="357" t="s">
        <v>176</v>
      </c>
      <c r="B139" s="357"/>
      <c r="C139" s="357"/>
      <c r="D139" s="357"/>
      <c r="E139" s="357"/>
      <c r="F139" s="357"/>
      <c r="G139" s="121">
        <f t="shared" si="6"/>
        <v>275</v>
      </c>
      <c r="H139" s="29">
        <f>G139</f>
        <v>275</v>
      </c>
      <c r="J139" s="357" t="s">
        <v>176</v>
      </c>
      <c r="K139" s="357"/>
      <c r="L139" s="357"/>
      <c r="M139" s="357"/>
      <c r="N139" s="357"/>
      <c r="O139" s="357"/>
      <c r="P139" s="121">
        <f t="shared" si="7"/>
        <v>275</v>
      </c>
      <c r="Q139" s="29">
        <f>P139</f>
        <v>275</v>
      </c>
      <c r="S139" s="357" t="s">
        <v>176</v>
      </c>
      <c r="T139" s="357"/>
      <c r="U139" s="357"/>
      <c r="V139" s="357"/>
      <c r="W139" s="357"/>
      <c r="X139" s="357"/>
      <c r="Y139" s="121">
        <f t="shared" si="8"/>
        <v>275</v>
      </c>
      <c r="Z139" s="29">
        <f>Y139</f>
        <v>275</v>
      </c>
      <c r="AB139" s="357" t="s">
        <v>176</v>
      </c>
      <c r="AC139" s="357"/>
      <c r="AD139" s="357"/>
      <c r="AE139" s="357"/>
      <c r="AF139" s="357"/>
      <c r="AG139" s="357"/>
      <c r="AH139" s="121">
        <f t="shared" si="9"/>
        <v>275</v>
      </c>
      <c r="AI139" s="29">
        <f>AH139</f>
        <v>275</v>
      </c>
    </row>
    <row r="140" spans="1:35">
      <c r="A140" s="357" t="s">
        <v>177</v>
      </c>
      <c r="B140" s="357"/>
      <c r="C140" s="357"/>
      <c r="D140" s="357"/>
      <c r="E140" s="357"/>
      <c r="F140" s="357"/>
      <c r="G140" s="121">
        <f t="shared" si="6"/>
        <v>65</v>
      </c>
      <c r="H140" s="29">
        <f>G140</f>
        <v>65</v>
      </c>
      <c r="J140" s="357" t="s">
        <v>177</v>
      </c>
      <c r="K140" s="357"/>
      <c r="L140" s="357"/>
      <c r="M140" s="357"/>
      <c r="N140" s="357"/>
      <c r="O140" s="357"/>
      <c r="P140" s="121">
        <f t="shared" si="7"/>
        <v>65</v>
      </c>
      <c r="Q140" s="29">
        <v>55</v>
      </c>
      <c r="S140" s="357" t="s">
        <v>177</v>
      </c>
      <c r="T140" s="357"/>
      <c r="U140" s="357"/>
      <c r="V140" s="357"/>
      <c r="W140" s="357"/>
      <c r="X140" s="357"/>
      <c r="Y140" s="121">
        <f t="shared" si="8"/>
        <v>65</v>
      </c>
      <c r="Z140" s="29">
        <v>55</v>
      </c>
      <c r="AB140" s="357" t="s">
        <v>177</v>
      </c>
      <c r="AC140" s="357"/>
      <c r="AD140" s="357"/>
      <c r="AE140" s="357"/>
      <c r="AF140" s="357"/>
      <c r="AG140" s="357"/>
      <c r="AH140" s="121">
        <f t="shared" si="9"/>
        <v>65</v>
      </c>
      <c r="AI140" s="29">
        <v>55</v>
      </c>
    </row>
    <row r="141" spans="1:35" ht="21">
      <c r="A141" s="357" t="s">
        <v>178</v>
      </c>
      <c r="B141" s="357"/>
      <c r="C141" s="357"/>
      <c r="D141" s="357"/>
      <c r="E141" s="357"/>
      <c r="F141" s="357"/>
      <c r="G141" s="123">
        <f t="shared" si="6"/>
        <v>25480</v>
      </c>
      <c r="H141" s="122">
        <f>(H135+H136+H139+H140+H137)-H138</f>
        <v>30576.003999999997</v>
      </c>
      <c r="J141" s="357" t="s">
        <v>178</v>
      </c>
      <c r="K141" s="357"/>
      <c r="L141" s="357"/>
      <c r="M141" s="357"/>
      <c r="N141" s="357"/>
      <c r="O141" s="357"/>
      <c r="P141" s="123">
        <f t="shared" si="7"/>
        <v>25480</v>
      </c>
      <c r="Q141" s="122">
        <f>(Q135+Q136+Q139+Q140+Q137)-Q138</f>
        <v>35519.004000000001</v>
      </c>
      <c r="S141" s="357" t="s">
        <v>178</v>
      </c>
      <c r="T141" s="357"/>
      <c r="U141" s="357"/>
      <c r="V141" s="357"/>
      <c r="W141" s="357"/>
      <c r="X141" s="357"/>
      <c r="Y141" s="123">
        <f t="shared" si="8"/>
        <v>25480</v>
      </c>
      <c r="Z141" s="122">
        <f>(Z135+Z136+Z139+Z140+Z137)-Z138</f>
        <v>25409.235000000001</v>
      </c>
      <c r="AB141" s="357" t="s">
        <v>178</v>
      </c>
      <c r="AC141" s="357"/>
      <c r="AD141" s="357"/>
      <c r="AE141" s="357"/>
      <c r="AF141" s="357"/>
      <c r="AG141" s="357"/>
      <c r="AH141" s="123">
        <f t="shared" si="9"/>
        <v>25480</v>
      </c>
      <c r="AI141" s="122">
        <f>(AI135+AI136+AI139+AI140+AI137)-AI138</f>
        <v>19393.5</v>
      </c>
    </row>
    <row r="142" spans="1:35">
      <c r="A142" s="357" t="s">
        <v>179</v>
      </c>
      <c r="B142" s="357"/>
      <c r="C142" s="357"/>
      <c r="D142" s="357"/>
      <c r="E142" s="357"/>
      <c r="F142" s="357"/>
      <c r="G142" s="121">
        <f t="shared" si="6"/>
        <v>0</v>
      </c>
      <c r="H142" s="36">
        <f>G142</f>
        <v>0</v>
      </c>
      <c r="J142" s="357" t="s">
        <v>179</v>
      </c>
      <c r="K142" s="357"/>
      <c r="L142" s="357"/>
      <c r="M142" s="357"/>
      <c r="N142" s="357"/>
      <c r="O142" s="357"/>
      <c r="P142" s="121">
        <f t="shared" si="7"/>
        <v>0</v>
      </c>
      <c r="Q142" s="36">
        <f>P142</f>
        <v>0</v>
      </c>
      <c r="S142" s="357" t="s">
        <v>179</v>
      </c>
      <c r="T142" s="357"/>
      <c r="U142" s="357"/>
      <c r="V142" s="357"/>
      <c r="W142" s="357"/>
      <c r="X142" s="357"/>
      <c r="Y142" s="121">
        <f t="shared" si="8"/>
        <v>0</v>
      </c>
      <c r="Z142" s="36">
        <f>Y142</f>
        <v>0</v>
      </c>
      <c r="AB142" s="357" t="s">
        <v>179</v>
      </c>
      <c r="AC142" s="357"/>
      <c r="AD142" s="357"/>
      <c r="AE142" s="357"/>
      <c r="AF142" s="357"/>
      <c r="AG142" s="357"/>
      <c r="AH142" s="121">
        <f t="shared" si="9"/>
        <v>0</v>
      </c>
      <c r="AI142" s="36">
        <f>AH142</f>
        <v>0</v>
      </c>
    </row>
    <row r="143" spans="1:35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58" t="s">
        <v>180</v>
      </c>
      <c r="K143" s="358"/>
      <c r="L143" s="358"/>
      <c r="M143" s="358"/>
      <c r="N143" s="358"/>
      <c r="O143" s="358"/>
      <c r="P143" s="34"/>
      <c r="Q143" s="29"/>
      <c r="S143" s="358" t="s">
        <v>180</v>
      </c>
      <c r="T143" s="358"/>
      <c r="U143" s="358"/>
      <c r="V143" s="358"/>
      <c r="W143" s="358"/>
      <c r="X143" s="358"/>
      <c r="Y143" s="34"/>
      <c r="Z143" s="29"/>
      <c r="AB143" s="358" t="s">
        <v>180</v>
      </c>
      <c r="AC143" s="358"/>
      <c r="AD143" s="358"/>
      <c r="AE143" s="358"/>
      <c r="AF143" s="358"/>
      <c r="AG143" s="358"/>
      <c r="AH143" s="34"/>
      <c r="AI143" s="29"/>
    </row>
    <row r="144" spans="1:35">
      <c r="A144" s="124" t="s">
        <v>26</v>
      </c>
      <c r="B144" s="360" t="s">
        <v>181</v>
      </c>
      <c r="C144" s="360"/>
      <c r="D144" s="360"/>
      <c r="E144" s="360"/>
      <c r="F144" s="360"/>
      <c r="G144" s="121">
        <f>H18</f>
        <v>0</v>
      </c>
      <c r="H144" s="36">
        <f>G144</f>
        <v>0</v>
      </c>
      <c r="J144" s="124" t="s">
        <v>26</v>
      </c>
      <c r="K144" s="360" t="s">
        <v>181</v>
      </c>
      <c r="L144" s="360"/>
      <c r="M144" s="360"/>
      <c r="N144" s="360"/>
      <c r="O144" s="360"/>
      <c r="P144" s="121">
        <f>H18</f>
        <v>0</v>
      </c>
      <c r="Q144" s="36">
        <f>P144</f>
        <v>0</v>
      </c>
      <c r="S144" s="124" t="s">
        <v>26</v>
      </c>
      <c r="T144" s="360" t="s">
        <v>181</v>
      </c>
      <c r="U144" s="360"/>
      <c r="V144" s="360"/>
      <c r="W144" s="360"/>
      <c r="X144" s="360"/>
      <c r="Y144" s="121">
        <f>H18</f>
        <v>0</v>
      </c>
      <c r="Z144" s="36">
        <f>Y144</f>
        <v>0</v>
      </c>
      <c r="AB144" s="124" t="s">
        <v>26</v>
      </c>
      <c r="AC144" s="360" t="s">
        <v>181</v>
      </c>
      <c r="AD144" s="360"/>
      <c r="AE144" s="360"/>
      <c r="AF144" s="360"/>
      <c r="AG144" s="360"/>
      <c r="AH144" s="121">
        <f>H18</f>
        <v>0</v>
      </c>
      <c r="AI144" s="36">
        <f>AH144</f>
        <v>0</v>
      </c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f>G145</f>
        <v>0</v>
      </c>
      <c r="I145" s="4">
        <f>(G142+G145+G146+G144)</f>
        <v>0</v>
      </c>
      <c r="J145" s="124" t="s">
        <v>28</v>
      </c>
      <c r="K145" s="360" t="s">
        <v>181</v>
      </c>
      <c r="L145" s="360"/>
      <c r="M145" s="360"/>
      <c r="N145" s="360"/>
      <c r="O145" s="360"/>
      <c r="P145" s="121">
        <f>H19</f>
        <v>0</v>
      </c>
      <c r="Q145" s="36">
        <f>P145</f>
        <v>0</v>
      </c>
      <c r="S145" s="124" t="s">
        <v>28</v>
      </c>
      <c r="T145" s="360" t="s">
        <v>181</v>
      </c>
      <c r="U145" s="360"/>
      <c r="V145" s="360"/>
      <c r="W145" s="360"/>
      <c r="X145" s="360"/>
      <c r="Y145" s="121">
        <f>H19</f>
        <v>0</v>
      </c>
      <c r="Z145" s="36">
        <f>Y145</f>
        <v>0</v>
      </c>
      <c r="AB145" s="124" t="s">
        <v>28</v>
      </c>
      <c r="AC145" s="360" t="s">
        <v>181</v>
      </c>
      <c r="AD145" s="360"/>
      <c r="AE145" s="360"/>
      <c r="AF145" s="360"/>
      <c r="AG145" s="360"/>
      <c r="AH145" s="121">
        <f>H19</f>
        <v>0</v>
      </c>
      <c r="AI145" s="36">
        <f>AH145</f>
        <v>0</v>
      </c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f>G146</f>
        <v>0</v>
      </c>
      <c r="I146" s="4">
        <f>(H142+H144+H145+H146)</f>
        <v>0</v>
      </c>
      <c r="J146" s="125" t="s">
        <v>29</v>
      </c>
      <c r="K146" s="361" t="s">
        <v>181</v>
      </c>
      <c r="L146" s="361"/>
      <c r="M146" s="361"/>
      <c r="N146" s="361"/>
      <c r="O146" s="361"/>
      <c r="P146" s="121">
        <f>H20</f>
        <v>0</v>
      </c>
      <c r="Q146" s="36">
        <f>P146</f>
        <v>0</v>
      </c>
      <c r="S146" s="125" t="s">
        <v>29</v>
      </c>
      <c r="T146" s="361" t="s">
        <v>181</v>
      </c>
      <c r="U146" s="361"/>
      <c r="V146" s="361"/>
      <c r="W146" s="361"/>
      <c r="X146" s="361"/>
      <c r="Y146" s="121">
        <f>H20</f>
        <v>0</v>
      </c>
      <c r="Z146" s="36">
        <f>Y146</f>
        <v>0</v>
      </c>
      <c r="AB146" s="125" t="s">
        <v>29</v>
      </c>
      <c r="AC146" s="361" t="s">
        <v>181</v>
      </c>
      <c r="AD146" s="361"/>
      <c r="AE146" s="361"/>
      <c r="AF146" s="361"/>
      <c r="AG146" s="361"/>
      <c r="AH146" s="121">
        <f>H20</f>
        <v>0</v>
      </c>
      <c r="AI146" s="36">
        <f>AH146</f>
        <v>0</v>
      </c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25480</v>
      </c>
      <c r="H147" s="126">
        <f>H141-((H144*1.2)+(H145*1.2)+(H146*1.2)+(H142*1.2))</f>
        <v>30576.003999999997</v>
      </c>
      <c r="J147" s="357" t="s">
        <v>182</v>
      </c>
      <c r="K147" s="357"/>
      <c r="L147" s="357"/>
      <c r="M147" s="357"/>
      <c r="N147" s="357"/>
      <c r="O147" s="357"/>
      <c r="P147" s="123">
        <f>P141-((P144*1.2)+(P145*1.2)+(P146*1.2)+(P142*1.2))</f>
        <v>25480</v>
      </c>
      <c r="Q147" s="126">
        <f>Q141-((Q144*1.2)+(Q145*1.2)+(Q146*1.2)+(Q142*1.2))</f>
        <v>35519.004000000001</v>
      </c>
      <c r="S147" s="357" t="s">
        <v>182</v>
      </c>
      <c r="T147" s="357"/>
      <c r="U147" s="357"/>
      <c r="V147" s="357"/>
      <c r="W147" s="357"/>
      <c r="X147" s="357"/>
      <c r="Y147" s="123">
        <f>Y141-((Y144*1.2)+(Y145*1.2)+(Y146*1.2)+(Y142*1.2))</f>
        <v>25480</v>
      </c>
      <c r="Z147" s="126">
        <f>Z141-((Z144*1.2)+(Z145*1.2)+(Z146*1.2)+(Z142*1.2))</f>
        <v>25409.235000000001</v>
      </c>
      <c r="AB147" s="357" t="s">
        <v>182</v>
      </c>
      <c r="AC147" s="357"/>
      <c r="AD147" s="357"/>
      <c r="AE147" s="357"/>
      <c r="AF147" s="357"/>
      <c r="AG147" s="357"/>
      <c r="AH147" s="123">
        <f>AH141-((AH144*1.2)+(AH145*1.2)+(AH146*1.2)+(AH142*1.2))</f>
        <v>25480</v>
      </c>
      <c r="AI147" s="126">
        <f>AI141-((AI144*1.2)+(AI145*1.2)+(AI146*1.2)+(AI142*1.2))</f>
        <v>19393.5</v>
      </c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4246.6699999999973</v>
      </c>
      <c r="I148" s="4">
        <f>(H148-G81)/1.2</f>
        <v>-21457.778333333332</v>
      </c>
      <c r="J148" s="357" t="s">
        <v>183</v>
      </c>
      <c r="K148" s="357"/>
      <c r="L148" s="357"/>
      <c r="M148" s="357"/>
      <c r="N148" s="357"/>
      <c r="O148" s="357"/>
      <c r="P148" s="121"/>
      <c r="Q148" s="36">
        <f>Q147-P147</f>
        <v>10039.004000000001</v>
      </c>
      <c r="S148" s="357" t="s">
        <v>183</v>
      </c>
      <c r="T148" s="357"/>
      <c r="U148" s="357"/>
      <c r="V148" s="357"/>
      <c r="W148" s="357"/>
      <c r="X148" s="357"/>
      <c r="Y148" s="121"/>
      <c r="Z148" s="36">
        <f>Z147-Y147</f>
        <v>-70.764999999999418</v>
      </c>
      <c r="AB148" s="357" t="s">
        <v>183</v>
      </c>
      <c r="AC148" s="357"/>
      <c r="AD148" s="357"/>
      <c r="AE148" s="357"/>
      <c r="AF148" s="357"/>
      <c r="AG148" s="357"/>
      <c r="AH148" s="121"/>
      <c r="AI148" s="36">
        <f>AI147-AH147</f>
        <v>-6086.5</v>
      </c>
    </row>
    <row r="149" spans="1:35">
      <c r="A149" s="27"/>
      <c r="B149" s="28"/>
      <c r="C149" s="28"/>
      <c r="D149" s="28"/>
      <c r="E149" s="21"/>
      <c r="F149" s="21"/>
      <c r="G149" s="21"/>
      <c r="H149" s="29"/>
      <c r="J149" s="27"/>
      <c r="K149" s="28"/>
      <c r="L149" s="28"/>
      <c r="M149" s="28"/>
      <c r="N149" s="21"/>
      <c r="O149" s="21"/>
      <c r="P149" s="21"/>
      <c r="Q149" s="29"/>
      <c r="S149" s="27"/>
      <c r="T149" s="28"/>
      <c r="U149" s="28"/>
      <c r="V149" s="28"/>
      <c r="W149" s="21"/>
      <c r="X149" s="21"/>
      <c r="Y149" s="21"/>
      <c r="Z149" s="29"/>
      <c r="AB149" s="27"/>
      <c r="AC149" s="28"/>
      <c r="AD149" s="28"/>
      <c r="AE149" s="28"/>
      <c r="AF149" s="21"/>
      <c r="AG149" s="21"/>
      <c r="AH149" s="21"/>
      <c r="AI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35" t="s">
        <v>184</v>
      </c>
      <c r="K150" s="335"/>
      <c r="L150" s="335"/>
      <c r="M150" s="335"/>
      <c r="N150" s="335"/>
      <c r="O150" s="335"/>
      <c r="P150" s="335"/>
      <c r="Q150" s="335"/>
      <c r="S150" s="335" t="s">
        <v>184</v>
      </c>
      <c r="T150" s="335"/>
      <c r="U150" s="335"/>
      <c r="V150" s="335"/>
      <c r="W150" s="335"/>
      <c r="X150" s="335"/>
      <c r="Y150" s="335"/>
      <c r="Z150" s="335"/>
      <c r="AB150" s="335" t="s">
        <v>184</v>
      </c>
      <c r="AC150" s="335"/>
      <c r="AD150" s="335"/>
      <c r="AE150" s="335"/>
      <c r="AF150" s="335"/>
      <c r="AG150" s="335"/>
      <c r="AH150" s="335"/>
      <c r="AI150" s="335"/>
    </row>
    <row r="151" spans="1:35">
      <c r="A151" s="27"/>
      <c r="B151" s="28"/>
      <c r="C151" s="28"/>
      <c r="D151" s="28"/>
      <c r="E151" s="21"/>
      <c r="F151" s="21"/>
      <c r="G151" s="21"/>
      <c r="H151" s="29"/>
      <c r="J151" s="27"/>
      <c r="K151" s="28"/>
      <c r="L151" s="28"/>
      <c r="M151" s="28"/>
      <c r="N151" s="21"/>
      <c r="O151" s="21"/>
      <c r="P151" s="21"/>
      <c r="Q151" s="29"/>
      <c r="S151" s="27"/>
      <c r="T151" s="28"/>
      <c r="U151" s="28"/>
      <c r="V151" s="28"/>
      <c r="W151" s="21"/>
      <c r="X151" s="21"/>
      <c r="Y151" s="21"/>
      <c r="Z151" s="29"/>
      <c r="AB151" s="27"/>
      <c r="AC151" s="28"/>
      <c r="AD151" s="28"/>
      <c r="AE151" s="28"/>
      <c r="AF151" s="21"/>
      <c r="AG151" s="21"/>
      <c r="AH151" s="21"/>
      <c r="AI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J152" s="27" t="s">
        <v>185</v>
      </c>
      <c r="K152" s="28"/>
      <c r="L152" s="28"/>
      <c r="M152" s="21"/>
      <c r="N152" s="348">
        <v>10000</v>
      </c>
      <c r="O152" s="348"/>
      <c r="P152" s="348">
        <v>5000</v>
      </c>
      <c r="Q152" s="348"/>
      <c r="S152" s="27" t="s">
        <v>185</v>
      </c>
      <c r="T152" s="28"/>
      <c r="U152" s="28"/>
      <c r="V152" s="21"/>
      <c r="W152" s="348">
        <v>10000</v>
      </c>
      <c r="X152" s="348"/>
      <c r="Y152" s="348">
        <v>5000</v>
      </c>
      <c r="Z152" s="348"/>
      <c r="AB152" s="27" t="s">
        <v>185</v>
      </c>
      <c r="AC152" s="28"/>
      <c r="AD152" s="28"/>
      <c r="AE152" s="21"/>
      <c r="AF152" s="348">
        <v>10000</v>
      </c>
      <c r="AG152" s="348"/>
      <c r="AH152" s="348">
        <v>5000</v>
      </c>
      <c r="AI152" s="348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J153" s="27" t="s">
        <v>186</v>
      </c>
      <c r="K153" s="28"/>
      <c r="L153" s="28"/>
      <c r="M153" s="21"/>
      <c r="N153" s="363">
        <f>P153</f>
        <v>7000</v>
      </c>
      <c r="O153" s="363"/>
      <c r="P153" s="348">
        <v>7000</v>
      </c>
      <c r="Q153" s="348"/>
      <c r="S153" s="27" t="s">
        <v>186</v>
      </c>
      <c r="T153" s="28"/>
      <c r="U153" s="28"/>
      <c r="V153" s="21"/>
      <c r="W153" s="363">
        <f>Y153</f>
        <v>7000</v>
      </c>
      <c r="X153" s="363"/>
      <c r="Y153" s="348">
        <v>7000</v>
      </c>
      <c r="Z153" s="348"/>
      <c r="AB153" s="27" t="s">
        <v>186</v>
      </c>
      <c r="AC153" s="28"/>
      <c r="AD153" s="28"/>
      <c r="AE153" s="21"/>
      <c r="AF153" s="363">
        <f>AH153</f>
        <v>7000</v>
      </c>
      <c r="AG153" s="363"/>
      <c r="AH153" s="348">
        <v>7000</v>
      </c>
      <c r="AI153" s="348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J154" s="27" t="s">
        <v>187</v>
      </c>
      <c r="K154" s="28"/>
      <c r="L154" s="28"/>
      <c r="M154" s="21"/>
      <c r="N154" s="363">
        <f>N152-N153</f>
        <v>3000</v>
      </c>
      <c r="O154" s="363"/>
      <c r="P154" s="364">
        <f>P152-P153</f>
        <v>-2000</v>
      </c>
      <c r="Q154" s="364"/>
      <c r="S154" s="27" t="s">
        <v>187</v>
      </c>
      <c r="T154" s="28"/>
      <c r="U154" s="28"/>
      <c r="V154" s="21"/>
      <c r="W154" s="363">
        <f>W152-W153</f>
        <v>3000</v>
      </c>
      <c r="X154" s="363"/>
      <c r="Y154" s="364">
        <f>Y152-Y153</f>
        <v>-2000</v>
      </c>
      <c r="Z154" s="364"/>
      <c r="AB154" s="27" t="s">
        <v>187</v>
      </c>
      <c r="AC154" s="28"/>
      <c r="AD154" s="28"/>
      <c r="AE154" s="21"/>
      <c r="AF154" s="363">
        <f>AF152-AF153</f>
        <v>3000</v>
      </c>
      <c r="AG154" s="363"/>
      <c r="AH154" s="364">
        <f>AH152-AH153</f>
        <v>-2000</v>
      </c>
      <c r="AI154" s="364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J155" s="27" t="s">
        <v>188</v>
      </c>
      <c r="K155" s="28"/>
      <c r="L155" s="28"/>
      <c r="M155" s="21"/>
      <c r="N155" s="363">
        <f>N154-P154</f>
        <v>5000</v>
      </c>
      <c r="O155" s="363"/>
      <c r="P155" s="21"/>
      <c r="Q155" s="29"/>
      <c r="S155" s="27" t="s">
        <v>188</v>
      </c>
      <c r="T155" s="28"/>
      <c r="U155" s="28"/>
      <c r="V155" s="21"/>
      <c r="W155" s="363">
        <f>W154-Y154</f>
        <v>5000</v>
      </c>
      <c r="X155" s="363"/>
      <c r="Y155" s="21"/>
      <c r="Z155" s="29"/>
      <c r="AB155" s="27" t="s">
        <v>188</v>
      </c>
      <c r="AC155" s="28"/>
      <c r="AD155" s="28"/>
      <c r="AE155" s="21"/>
      <c r="AF155" s="363">
        <f>AF154-AH154</f>
        <v>5000</v>
      </c>
      <c r="AG155" s="363"/>
      <c r="AH155" s="21"/>
      <c r="AI155" s="29"/>
    </row>
    <row r="156" spans="1:35">
      <c r="A156" s="22" t="s">
        <v>189</v>
      </c>
      <c r="B156" s="23"/>
      <c r="C156" s="23"/>
      <c r="D156" s="63"/>
      <c r="E156" s="23"/>
      <c r="F156" s="63"/>
      <c r="G156" s="128" t="s">
        <v>10</v>
      </c>
      <c r="H156" s="36">
        <v>1420</v>
      </c>
      <c r="J156" s="27"/>
      <c r="K156" s="28"/>
      <c r="L156" s="28"/>
      <c r="M156" s="21"/>
      <c r="N156" s="28"/>
      <c r="O156" s="21"/>
      <c r="P156" s="21"/>
      <c r="Q156" s="29"/>
      <c r="S156" s="27"/>
      <c r="T156" s="28"/>
      <c r="U156" s="28"/>
      <c r="V156" s="21"/>
      <c r="W156" s="28"/>
      <c r="X156" s="21"/>
      <c r="Y156" s="21"/>
      <c r="Z156" s="29"/>
      <c r="AB156" s="27"/>
      <c r="AC156" s="28"/>
      <c r="AD156" s="28"/>
      <c r="AE156" s="21"/>
      <c r="AF156" s="28"/>
      <c r="AG156" s="21"/>
      <c r="AH156" s="21"/>
      <c r="AI156" s="29"/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2000</v>
      </c>
      <c r="H157" s="365"/>
      <c r="J157" s="22" t="s">
        <v>190</v>
      </c>
      <c r="K157" s="23"/>
      <c r="L157" s="23"/>
      <c r="M157" s="63"/>
      <c r="N157" s="23"/>
      <c r="O157" s="63"/>
      <c r="P157" s="365">
        <f>J114</f>
        <v>1000</v>
      </c>
      <c r="Q157" s="365"/>
      <c r="S157" s="22" t="s">
        <v>190</v>
      </c>
      <c r="T157" s="23"/>
      <c r="U157" s="23"/>
      <c r="V157" s="63"/>
      <c r="W157" s="23"/>
      <c r="X157" s="63"/>
      <c r="Y157" s="365">
        <f>S114</f>
        <v>1000</v>
      </c>
      <c r="Z157" s="365"/>
      <c r="AB157" s="22" t="s">
        <v>190</v>
      </c>
      <c r="AC157" s="23"/>
      <c r="AD157" s="23"/>
      <c r="AE157" s="63"/>
      <c r="AF157" s="23"/>
      <c r="AG157" s="63"/>
      <c r="AH157" s="365">
        <f>AB114</f>
        <v>1000</v>
      </c>
      <c r="AI157" s="365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29996.003999999997</v>
      </c>
      <c r="H158" s="366"/>
      <c r="J158" s="129" t="s">
        <v>191</v>
      </c>
      <c r="K158" s="28"/>
      <c r="L158" s="28"/>
      <c r="M158" s="21"/>
      <c r="N158" s="28"/>
      <c r="O158" s="21"/>
      <c r="P158" s="366">
        <f>Q147-P154-P157</f>
        <v>36519.004000000001</v>
      </c>
      <c r="Q158" s="366"/>
      <c r="S158" s="129" t="s">
        <v>191</v>
      </c>
      <c r="T158" s="28"/>
      <c r="U158" s="28"/>
      <c r="V158" s="21"/>
      <c r="W158" s="28"/>
      <c r="X158" s="21"/>
      <c r="Y158" s="366">
        <f>Z147-Y154-Y157</f>
        <v>26409.235000000001</v>
      </c>
      <c r="Z158" s="366"/>
      <c r="AB158" s="129" t="s">
        <v>191</v>
      </c>
      <c r="AC158" s="28"/>
      <c r="AD158" s="28"/>
      <c r="AE158" s="21"/>
      <c r="AF158" s="28"/>
      <c r="AG158" s="21"/>
      <c r="AH158" s="366">
        <f>AI147-AH154-AH157</f>
        <v>20393.5</v>
      </c>
      <c r="AI158" s="366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1000</v>
      </c>
      <c r="H159" s="367"/>
      <c r="J159" s="49" t="s">
        <v>66</v>
      </c>
      <c r="K159" s="50"/>
      <c r="L159" s="50"/>
      <c r="M159" s="85"/>
      <c r="N159" s="50"/>
      <c r="O159" s="85"/>
      <c r="P159" s="367">
        <f>K114</f>
        <v>239.99</v>
      </c>
      <c r="Q159" s="367"/>
      <c r="S159" s="49" t="s">
        <v>66</v>
      </c>
      <c r="T159" s="50"/>
      <c r="U159" s="50"/>
      <c r="V159" s="85"/>
      <c r="W159" s="50"/>
      <c r="X159" s="85"/>
      <c r="Y159" s="367">
        <f>T114</f>
        <v>199.99</v>
      </c>
      <c r="Z159" s="367"/>
      <c r="AB159" s="49" t="s">
        <v>66</v>
      </c>
      <c r="AC159" s="50"/>
      <c r="AD159" s="50"/>
      <c r="AE159" s="85"/>
      <c r="AF159" s="50"/>
      <c r="AG159" s="85"/>
      <c r="AH159" s="367">
        <f>AC114</f>
        <v>239.99</v>
      </c>
      <c r="AI159" s="367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/>
      <c r="B161" s="28"/>
      <c r="C161" s="28"/>
      <c r="D161" s="28"/>
      <c r="E161" s="21"/>
      <c r="F161" s="21"/>
      <c r="G161" s="21"/>
      <c r="H161" s="29"/>
      <c r="J161" s="27"/>
      <c r="K161" s="28"/>
      <c r="L161" s="28"/>
      <c r="M161" s="28"/>
      <c r="N161" s="21"/>
      <c r="O161" s="21"/>
      <c r="P161" s="21"/>
      <c r="Q161" s="29"/>
      <c r="S161" s="27"/>
      <c r="T161" s="28"/>
      <c r="U161" s="28"/>
      <c r="V161" s="28"/>
      <c r="W161" s="21"/>
      <c r="X161" s="21"/>
      <c r="Y161" s="21"/>
      <c r="Z161" s="29"/>
      <c r="AB161" s="27"/>
      <c r="AC161" s="28"/>
      <c r="AD161" s="28"/>
      <c r="AE161" s="28"/>
      <c r="AF161" s="21"/>
      <c r="AG161" s="21"/>
      <c r="AH161" s="21"/>
      <c r="AI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35" t="s">
        <v>192</v>
      </c>
      <c r="K162" s="335"/>
      <c r="L162" s="335"/>
      <c r="M162" s="335"/>
      <c r="N162" s="335"/>
      <c r="O162" s="335"/>
      <c r="P162" s="335"/>
      <c r="Q162" s="335"/>
      <c r="S162" s="335" t="s">
        <v>192</v>
      </c>
      <c r="T162" s="335"/>
      <c r="U162" s="335"/>
      <c r="V162" s="335"/>
      <c r="W162" s="335"/>
      <c r="X162" s="335"/>
      <c r="Y162" s="335"/>
      <c r="Z162" s="335"/>
      <c r="AB162" s="335" t="s">
        <v>192</v>
      </c>
      <c r="AC162" s="335"/>
      <c r="AD162" s="335"/>
      <c r="AE162" s="335"/>
      <c r="AF162" s="335"/>
      <c r="AG162" s="335"/>
      <c r="AH162" s="335"/>
      <c r="AI162" s="335"/>
    </row>
    <row r="163" spans="1:35">
      <c r="A163" s="27"/>
      <c r="B163" s="28"/>
      <c r="C163" s="28"/>
      <c r="D163" s="28"/>
      <c r="E163" s="21"/>
      <c r="F163" s="21"/>
      <c r="G163" s="21"/>
      <c r="H163" s="29"/>
      <c r="J163" s="27"/>
      <c r="K163" s="28"/>
      <c r="L163" s="28"/>
      <c r="M163" s="28"/>
      <c r="N163" s="21"/>
      <c r="O163" s="21"/>
      <c r="P163" s="21"/>
      <c r="Q163" s="29"/>
      <c r="S163" s="27"/>
      <c r="T163" s="28"/>
      <c r="U163" s="28"/>
      <c r="V163" s="28"/>
      <c r="W163" s="21"/>
      <c r="X163" s="21"/>
      <c r="Y163" s="21"/>
      <c r="Z163" s="29"/>
      <c r="AB163" s="27"/>
      <c r="AC163" s="28"/>
      <c r="AD163" s="28"/>
      <c r="AE163" s="28"/>
      <c r="AF163" s="21"/>
      <c r="AG163" s="21"/>
      <c r="AH163" s="21"/>
      <c r="AI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J164" s="27" t="s">
        <v>193</v>
      </c>
      <c r="K164" s="368">
        <v>0</v>
      </c>
      <c r="L164" s="368"/>
      <c r="M164" s="28"/>
      <c r="N164" s="21"/>
      <c r="O164" s="21"/>
      <c r="P164" s="21"/>
      <c r="Q164" s="29"/>
      <c r="S164" s="27" t="s">
        <v>193</v>
      </c>
      <c r="T164" s="368">
        <v>0</v>
      </c>
      <c r="U164" s="368"/>
      <c r="V164" s="28"/>
      <c r="W164" s="21"/>
      <c r="X164" s="21"/>
      <c r="Y164" s="21"/>
      <c r="Z164" s="29"/>
      <c r="AB164" s="27" t="s">
        <v>193</v>
      </c>
      <c r="AC164" s="368">
        <v>0</v>
      </c>
      <c r="AD164" s="368"/>
      <c r="AE164" s="28"/>
      <c r="AF164" s="21"/>
      <c r="AG164" s="21"/>
      <c r="AH164" s="21"/>
      <c r="AI164" s="29"/>
    </row>
    <row r="165" spans="1:35">
      <c r="A165" s="27"/>
      <c r="B165" s="28"/>
      <c r="C165" s="28"/>
      <c r="D165" s="28"/>
      <c r="E165" s="21"/>
      <c r="F165" s="21"/>
      <c r="G165" s="21"/>
      <c r="H165" s="29"/>
      <c r="J165" s="27"/>
      <c r="K165" s="28"/>
      <c r="L165" s="28"/>
      <c r="M165" s="28"/>
      <c r="N165" s="21"/>
      <c r="O165" s="21"/>
      <c r="P165" s="21"/>
      <c r="Q165" s="29"/>
      <c r="S165" s="27"/>
      <c r="T165" s="28"/>
      <c r="U165" s="28"/>
      <c r="V165" s="28"/>
      <c r="W165" s="21"/>
      <c r="X165" s="21"/>
      <c r="Y165" s="21"/>
      <c r="Z165" s="29"/>
      <c r="AB165" s="27"/>
      <c r="AC165" s="28"/>
      <c r="AD165" s="28"/>
      <c r="AE165" s="28"/>
      <c r="AF165" s="21"/>
      <c r="AG165" s="21"/>
      <c r="AH165" s="21"/>
      <c r="AI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  <c r="J166" s="130" t="s">
        <v>194</v>
      </c>
      <c r="K166" s="131" t="s">
        <v>195</v>
      </c>
      <c r="L166" s="131"/>
      <c r="M166" s="131"/>
      <c r="N166" s="131" t="s">
        <v>196</v>
      </c>
      <c r="O166" s="21"/>
      <c r="P166" s="21"/>
      <c r="Q166" s="29"/>
      <c r="S166" s="130" t="s">
        <v>194</v>
      </c>
      <c r="T166" s="131" t="s">
        <v>195</v>
      </c>
      <c r="U166" s="131"/>
      <c r="V166" s="131"/>
      <c r="W166" s="131" t="s">
        <v>196</v>
      </c>
      <c r="X166" s="21"/>
      <c r="Y166" s="21"/>
      <c r="Z166" s="29"/>
      <c r="AB166" s="130" t="s">
        <v>194</v>
      </c>
      <c r="AC166" s="131" t="s">
        <v>195</v>
      </c>
      <c r="AD166" s="131"/>
      <c r="AE166" s="131"/>
      <c r="AF166" s="131" t="s">
        <v>196</v>
      </c>
      <c r="AG166" s="21"/>
      <c r="AH166" s="21"/>
      <c r="AI166" s="29"/>
    </row>
    <row r="167" spans="1:35">
      <c r="A167" s="132">
        <f>B95</f>
        <v>953.93898248299467</v>
      </c>
      <c r="B167" s="133">
        <f>B94</f>
        <v>102.63194117647058</v>
      </c>
      <c r="C167" s="131"/>
      <c r="D167" s="131"/>
      <c r="E167" s="133">
        <f>B96</f>
        <v>1056.5709236594653</v>
      </c>
      <c r="F167" s="21"/>
      <c r="G167" s="21">
        <f>ROUND(G95,2)</f>
        <v>876.91</v>
      </c>
      <c r="H167" s="29"/>
      <c r="J167" s="132">
        <f>K95</f>
        <v>1460.8408374458413</v>
      </c>
      <c r="K167" s="133">
        <f>K94</f>
        <v>99.69959999999999</v>
      </c>
      <c r="L167" s="131"/>
      <c r="M167" s="131"/>
      <c r="N167" s="133">
        <f>K96</f>
        <v>1560.5404374458412</v>
      </c>
      <c r="O167" s="21"/>
      <c r="P167" s="21"/>
      <c r="Q167" s="29"/>
      <c r="S167" s="132">
        <f>T95</f>
        <v>844.36913096688772</v>
      </c>
      <c r="T167" s="133">
        <f>T94</f>
        <v>78.94764705882352</v>
      </c>
      <c r="U167" s="131"/>
      <c r="V167" s="131"/>
      <c r="W167" s="133">
        <f>T96</f>
        <v>923.3167780257113</v>
      </c>
      <c r="X167" s="21"/>
      <c r="Y167" s="21"/>
      <c r="Z167" s="29"/>
      <c r="AB167" s="132">
        <f>AC95</f>
        <v>631.62016451387899</v>
      </c>
      <c r="AC167" s="133">
        <f>AC94</f>
        <v>94.737176470588224</v>
      </c>
      <c r="AD167" s="131"/>
      <c r="AE167" s="131"/>
      <c r="AF167" s="133">
        <f>AC96</f>
        <v>726.35734098446721</v>
      </c>
      <c r="AG167" s="21"/>
      <c r="AH167" s="21"/>
      <c r="AI167" s="29"/>
    </row>
    <row r="168" spans="1:35">
      <c r="A168" s="27"/>
      <c r="B168" s="28"/>
      <c r="C168" s="28"/>
      <c r="D168" s="28"/>
      <c r="E168" s="21"/>
      <c r="F168" s="21"/>
      <c r="G168" s="21"/>
      <c r="H168" s="29"/>
      <c r="J168" s="27"/>
      <c r="K168" s="28"/>
      <c r="L168" s="28"/>
      <c r="M168" s="28"/>
      <c r="N168" s="21"/>
      <c r="O168" s="21"/>
      <c r="P168" s="21"/>
      <c r="Q168" s="29"/>
      <c r="S168" s="27"/>
      <c r="T168" s="28"/>
      <c r="U168" s="28"/>
      <c r="V168" s="28"/>
      <c r="W168" s="21"/>
      <c r="X168" s="21"/>
      <c r="Y168" s="21"/>
      <c r="Z168" s="29"/>
      <c r="AB168" s="27"/>
      <c r="AC168" s="28"/>
      <c r="AD168" s="28"/>
      <c r="AE168" s="28"/>
      <c r="AF168" s="21"/>
      <c r="AG168" s="21"/>
      <c r="AH168" s="21"/>
      <c r="AI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  <c r="J169" s="27" t="s">
        <v>94</v>
      </c>
      <c r="K169" s="28" t="s">
        <v>95</v>
      </c>
      <c r="L169" s="28"/>
      <c r="M169" s="21"/>
      <c r="N169" s="28" t="s">
        <v>198</v>
      </c>
      <c r="O169" s="21"/>
      <c r="P169" s="21"/>
      <c r="Q169" s="29"/>
      <c r="S169" s="27" t="s">
        <v>94</v>
      </c>
      <c r="T169" s="28" t="s">
        <v>95</v>
      </c>
      <c r="U169" s="28"/>
      <c r="V169" s="21"/>
      <c r="W169" s="28" t="s">
        <v>198</v>
      </c>
      <c r="X169" s="21"/>
      <c r="Y169" s="21"/>
      <c r="Z169" s="29"/>
      <c r="AB169" s="27" t="s">
        <v>94</v>
      </c>
      <c r="AC169" s="28" t="s">
        <v>95</v>
      </c>
      <c r="AD169" s="28"/>
      <c r="AE169" s="21"/>
      <c r="AF169" s="28" t="s">
        <v>198</v>
      </c>
      <c r="AG169" s="21"/>
      <c r="AH169" s="21"/>
      <c r="AI169" s="29"/>
    </row>
    <row r="170" spans="1:35">
      <c r="A170" s="134">
        <f>K29</f>
        <v>35</v>
      </c>
      <c r="B170" s="170">
        <f>K30</f>
        <v>35000</v>
      </c>
      <c r="C170" s="136"/>
      <c r="D170" s="21"/>
      <c r="E170" s="137">
        <f>IF(A111="YES",A40,0)</f>
        <v>3705</v>
      </c>
      <c r="F170" s="21"/>
      <c r="G170" s="21"/>
      <c r="H170" s="29"/>
      <c r="J170" s="134">
        <f>K29</f>
        <v>35</v>
      </c>
      <c r="K170" s="135">
        <f>K30</f>
        <v>35000</v>
      </c>
      <c r="L170" s="136"/>
      <c r="M170" s="21"/>
      <c r="N170" s="137">
        <f>IF(A111="YES",A40,0)</f>
        <v>3705</v>
      </c>
      <c r="O170" s="21"/>
      <c r="P170" s="21"/>
      <c r="Q170" s="29"/>
      <c r="S170" s="134">
        <f>K29</f>
        <v>35</v>
      </c>
      <c r="T170" s="135">
        <f>K30</f>
        <v>35000</v>
      </c>
      <c r="U170" s="136"/>
      <c r="V170" s="21"/>
      <c r="W170" s="137">
        <f>IF(A111="YES",A40,0)</f>
        <v>3705</v>
      </c>
      <c r="X170" s="21"/>
      <c r="Y170" s="21"/>
      <c r="Z170" s="29"/>
      <c r="AB170" s="134">
        <f>K29</f>
        <v>35</v>
      </c>
      <c r="AC170" s="135">
        <f>K30</f>
        <v>35000</v>
      </c>
      <c r="AD170" s="136"/>
      <c r="AE170" s="21"/>
      <c r="AF170" s="137">
        <f>IF(A111="YES",A40,0)</f>
        <v>3705</v>
      </c>
      <c r="AG170" s="21"/>
      <c r="AH170" s="21"/>
      <c r="AI170" s="29"/>
    </row>
    <row r="171" spans="1:35">
      <c r="A171" s="27"/>
      <c r="B171" s="28"/>
      <c r="C171" s="28"/>
      <c r="D171" s="21"/>
      <c r="E171" s="28"/>
      <c r="F171" s="21"/>
      <c r="G171" s="21"/>
      <c r="H171" s="29"/>
      <c r="J171" s="27"/>
      <c r="K171" s="28"/>
      <c r="L171" s="28"/>
      <c r="M171" s="21"/>
      <c r="N171" s="28"/>
      <c r="O171" s="21"/>
      <c r="P171" s="21"/>
      <c r="Q171" s="29"/>
      <c r="S171" s="27"/>
      <c r="T171" s="28"/>
      <c r="U171" s="28"/>
      <c r="V171" s="21"/>
      <c r="W171" s="28"/>
      <c r="X171" s="21"/>
      <c r="Y171" s="21"/>
      <c r="Z171" s="29"/>
      <c r="AB171" s="27"/>
      <c r="AC171" s="28"/>
      <c r="AD171" s="28"/>
      <c r="AE171" s="21"/>
      <c r="AF171" s="28"/>
      <c r="AG171" s="21"/>
      <c r="AH171" s="21"/>
      <c r="AI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  <c r="J172" s="27" t="s">
        <v>199</v>
      </c>
      <c r="K172" s="28" t="s">
        <v>200</v>
      </c>
      <c r="L172" s="28"/>
      <c r="M172" s="21"/>
      <c r="N172" s="28" t="s">
        <v>201</v>
      </c>
      <c r="O172" s="21"/>
      <c r="P172" s="21"/>
      <c r="Q172" s="29"/>
      <c r="S172" s="27" t="s">
        <v>199</v>
      </c>
      <c r="T172" s="28" t="s">
        <v>200</v>
      </c>
      <c r="U172" s="28"/>
      <c r="V172" s="21"/>
      <c r="W172" s="28" t="s">
        <v>201</v>
      </c>
      <c r="X172" s="21"/>
      <c r="Y172" s="21"/>
      <c r="Z172" s="29"/>
      <c r="AB172" s="27" t="s">
        <v>199</v>
      </c>
      <c r="AC172" s="28" t="s">
        <v>200</v>
      </c>
      <c r="AD172" s="28"/>
      <c r="AE172" s="21"/>
      <c r="AF172" s="28" t="s">
        <v>201</v>
      </c>
      <c r="AG172" s="21"/>
      <c r="AH172" s="21"/>
      <c r="AI172" s="29"/>
    </row>
    <row r="173" spans="1:35">
      <c r="A173" s="138">
        <f>H141-H137-H139-H140</f>
        <v>25196.67</v>
      </c>
      <c r="B173" s="34">
        <f>H137</f>
        <v>5039.3339999999998</v>
      </c>
      <c r="C173" s="38"/>
      <c r="D173" s="21"/>
      <c r="E173" s="137">
        <f>H139+H140</f>
        <v>340</v>
      </c>
      <c r="F173" s="21"/>
      <c r="G173" s="21"/>
      <c r="H173" s="29"/>
      <c r="J173" s="138">
        <f>Q141-Q137-Q139-Q140</f>
        <v>29324.170000000002</v>
      </c>
      <c r="K173" s="34">
        <f>Q137</f>
        <v>5864.8339999999998</v>
      </c>
      <c r="L173" s="38"/>
      <c r="M173" s="21"/>
      <c r="N173" s="137">
        <f>Q139+Q140</f>
        <v>330</v>
      </c>
      <c r="O173" s="21"/>
      <c r="P173" s="21"/>
      <c r="Q173" s="29"/>
      <c r="S173" s="138">
        <f>Z141-Z137-Z139-Z140</f>
        <v>20899.362499999999</v>
      </c>
      <c r="T173" s="34">
        <f>Z137</f>
        <v>4179.8725000000004</v>
      </c>
      <c r="U173" s="38"/>
      <c r="V173" s="21"/>
      <c r="W173" s="137">
        <f>Z139+Z140</f>
        <v>330</v>
      </c>
      <c r="X173" s="21"/>
      <c r="Y173" s="21"/>
      <c r="Z173" s="29"/>
      <c r="AB173" s="138">
        <f>AI141-AI137-AI139-AI140</f>
        <v>15886.25</v>
      </c>
      <c r="AC173" s="34">
        <f>AI137</f>
        <v>3177.25</v>
      </c>
      <c r="AD173" s="38"/>
      <c r="AE173" s="21"/>
      <c r="AF173" s="137">
        <f>AI139+AI140</f>
        <v>330</v>
      </c>
      <c r="AG173" s="21"/>
      <c r="AH173" s="21"/>
      <c r="AI173" s="29"/>
    </row>
    <row r="174" spans="1:35">
      <c r="A174" s="27"/>
      <c r="B174" s="28"/>
      <c r="C174" s="28"/>
      <c r="D174" s="21"/>
      <c r="E174" s="28"/>
      <c r="F174" s="21"/>
      <c r="G174" s="21"/>
      <c r="H174" s="29"/>
      <c r="J174" s="27"/>
      <c r="K174" s="28"/>
      <c r="L174" s="28"/>
      <c r="M174" s="21"/>
      <c r="N174" s="28"/>
      <c r="O174" s="21"/>
      <c r="P174" s="21"/>
      <c r="Q174" s="29"/>
      <c r="S174" s="27"/>
      <c r="T174" s="28"/>
      <c r="U174" s="28"/>
      <c r="V174" s="21"/>
      <c r="W174" s="28"/>
      <c r="X174" s="21"/>
      <c r="Y174" s="21"/>
      <c r="Z174" s="29"/>
      <c r="AB174" s="27"/>
      <c r="AC174" s="28"/>
      <c r="AD174" s="28"/>
      <c r="AE174" s="21"/>
      <c r="AF174" s="28"/>
      <c r="AG174" s="21"/>
      <c r="AH174" s="21"/>
      <c r="AI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  <c r="J175" s="27" t="s">
        <v>202</v>
      </c>
      <c r="K175" s="28" t="s">
        <v>148</v>
      </c>
      <c r="L175" s="28"/>
      <c r="M175" s="21"/>
      <c r="N175" s="28" t="s">
        <v>149</v>
      </c>
      <c r="O175" s="21"/>
      <c r="P175" s="21"/>
      <c r="Q175" s="29"/>
      <c r="S175" s="27" t="s">
        <v>202</v>
      </c>
      <c r="T175" s="28" t="s">
        <v>148</v>
      </c>
      <c r="U175" s="28"/>
      <c r="V175" s="21"/>
      <c r="W175" s="28" t="s">
        <v>149</v>
      </c>
      <c r="X175" s="21"/>
      <c r="Y175" s="21"/>
      <c r="Z175" s="29"/>
      <c r="AB175" s="27" t="s">
        <v>202</v>
      </c>
      <c r="AC175" s="28" t="s">
        <v>148</v>
      </c>
      <c r="AD175" s="28"/>
      <c r="AE175" s="21"/>
      <c r="AF175" s="28" t="s">
        <v>149</v>
      </c>
      <c r="AG175" s="21"/>
      <c r="AH175" s="21"/>
      <c r="AI175" s="29"/>
    </row>
    <row r="176" spans="1:35">
      <c r="A176" s="138">
        <f>H147</f>
        <v>30576.003999999997</v>
      </c>
      <c r="B176" s="34">
        <f>B111</f>
        <v>1000</v>
      </c>
      <c r="C176" s="34"/>
      <c r="D176" s="21"/>
      <c r="E176" s="34">
        <f>E111</f>
        <v>1000</v>
      </c>
      <c r="F176" s="21"/>
      <c r="G176" s="21"/>
      <c r="H176" s="90"/>
      <c r="J176" s="138">
        <f>Q141</f>
        <v>35519.004000000001</v>
      </c>
      <c r="K176" s="34">
        <f>K111</f>
        <v>1000</v>
      </c>
      <c r="L176" s="34"/>
      <c r="M176" s="21"/>
      <c r="N176" s="34">
        <f>N111</f>
        <v>0</v>
      </c>
      <c r="O176" s="21"/>
      <c r="P176" s="21"/>
      <c r="Q176" s="90"/>
      <c r="S176" s="138">
        <f>Z141</f>
        <v>25409.235000000001</v>
      </c>
      <c r="T176" s="34">
        <f>T111</f>
        <v>1000</v>
      </c>
      <c r="U176" s="34"/>
      <c r="V176" s="21"/>
      <c r="W176" s="34">
        <f>W111</f>
        <v>0</v>
      </c>
      <c r="X176" s="21"/>
      <c r="Y176" s="21"/>
      <c r="Z176" s="90"/>
      <c r="AB176" s="138">
        <f>AI141</f>
        <v>19393.5</v>
      </c>
      <c r="AC176" s="34">
        <f>AC111</f>
        <v>1000</v>
      </c>
      <c r="AD176" s="34"/>
      <c r="AE176" s="21"/>
      <c r="AF176" s="34">
        <f>AF111</f>
        <v>0</v>
      </c>
      <c r="AG176" s="21"/>
      <c r="AH176" s="21"/>
      <c r="AI176" s="90"/>
    </row>
    <row r="177" spans="1:35">
      <c r="A177" s="27"/>
      <c r="B177" s="28"/>
      <c r="C177" s="28"/>
      <c r="D177" s="21"/>
      <c r="E177" s="28"/>
      <c r="F177" s="21"/>
      <c r="G177" s="21"/>
      <c r="H177" s="29"/>
      <c r="J177" s="27"/>
      <c r="K177" s="28"/>
      <c r="L177" s="28"/>
      <c r="M177" s="21"/>
      <c r="N177" s="28"/>
      <c r="O177" s="21"/>
      <c r="P177" s="21"/>
      <c r="Q177" s="29"/>
      <c r="S177" s="27"/>
      <c r="T177" s="28"/>
      <c r="U177" s="28"/>
      <c r="V177" s="21"/>
      <c r="W177" s="28"/>
      <c r="X177" s="21"/>
      <c r="Y177" s="21"/>
      <c r="Z177" s="29"/>
      <c r="AB177" s="27"/>
      <c r="AC177" s="28"/>
      <c r="AD177" s="28"/>
      <c r="AE177" s="21"/>
      <c r="AF177" s="28"/>
      <c r="AG177" s="21"/>
      <c r="AH177" s="21"/>
      <c r="AI177" s="29"/>
    </row>
    <row r="178" spans="1:35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  <c r="J178" s="27" t="s">
        <v>150</v>
      </c>
      <c r="K178" s="28" t="s">
        <v>185</v>
      </c>
      <c r="L178" s="28"/>
      <c r="M178" s="21"/>
      <c r="N178" s="28" t="s">
        <v>191</v>
      </c>
      <c r="O178" s="21"/>
      <c r="P178" s="21"/>
      <c r="Q178" s="29"/>
      <c r="S178" s="27" t="s">
        <v>150</v>
      </c>
      <c r="T178" s="28" t="s">
        <v>185</v>
      </c>
      <c r="U178" s="28"/>
      <c r="V178" s="21"/>
      <c r="W178" s="28" t="s">
        <v>191</v>
      </c>
      <c r="X178" s="21"/>
      <c r="Y178" s="21"/>
      <c r="Z178" s="29"/>
      <c r="AB178" s="27" t="s">
        <v>150</v>
      </c>
      <c r="AC178" s="28" t="s">
        <v>185</v>
      </c>
      <c r="AD178" s="28"/>
      <c r="AE178" s="21"/>
      <c r="AF178" s="28" t="s">
        <v>191</v>
      </c>
      <c r="AG178" s="21"/>
      <c r="AH178" s="21"/>
      <c r="AI178" s="29"/>
    </row>
    <row r="179" spans="1:35">
      <c r="A179" s="94">
        <f>B176+E176</f>
        <v>2000</v>
      </c>
      <c r="B179" s="34">
        <f>G154</f>
        <v>0</v>
      </c>
      <c r="C179" s="34"/>
      <c r="D179" s="21"/>
      <c r="E179" s="34">
        <f>G158</f>
        <v>29996.003999999997</v>
      </c>
      <c r="F179" s="21"/>
      <c r="G179" s="21"/>
      <c r="H179" s="90"/>
      <c r="J179" s="94">
        <f>K176+N176</f>
        <v>1000</v>
      </c>
      <c r="K179" s="34">
        <f>P154</f>
        <v>-2000</v>
      </c>
      <c r="L179" s="34"/>
      <c r="M179" s="21"/>
      <c r="N179" s="34">
        <f>J176-J179-K179</f>
        <v>36519.004000000001</v>
      </c>
      <c r="O179" s="21"/>
      <c r="P179" s="21"/>
      <c r="Q179" s="90"/>
      <c r="S179" s="94">
        <f>T176+W176</f>
        <v>1000</v>
      </c>
      <c r="T179" s="34">
        <f>Y154</f>
        <v>-2000</v>
      </c>
      <c r="U179" s="34"/>
      <c r="V179" s="21"/>
      <c r="W179" s="34">
        <f>S176-S179-T179</f>
        <v>26409.235000000001</v>
      </c>
      <c r="X179" s="21"/>
      <c r="Y179" s="21"/>
      <c r="Z179" s="90"/>
      <c r="AB179" s="94">
        <f>AC176+AF176</f>
        <v>1000</v>
      </c>
      <c r="AC179" s="34">
        <f>AH154</f>
        <v>-2000</v>
      </c>
      <c r="AD179" s="34"/>
      <c r="AE179" s="21"/>
      <c r="AF179" s="34">
        <f>AB176-AB179-AC179</f>
        <v>20393.5</v>
      </c>
      <c r="AG179" s="21"/>
      <c r="AH179" s="21"/>
      <c r="AI179" s="90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  <c r="J181" s="27" t="s">
        <v>203</v>
      </c>
      <c r="K181" s="28" t="s">
        <v>66</v>
      </c>
      <c r="L181" s="28"/>
      <c r="M181" s="21"/>
      <c r="N181" s="28" t="s">
        <v>204</v>
      </c>
      <c r="O181" s="21"/>
      <c r="P181" s="21"/>
      <c r="Q181" s="29"/>
      <c r="S181" s="27" t="s">
        <v>203</v>
      </c>
      <c r="T181" s="28" t="s">
        <v>66</v>
      </c>
      <c r="U181" s="28"/>
      <c r="V181" s="21"/>
      <c r="W181" s="28" t="s">
        <v>204</v>
      </c>
      <c r="X181" s="21"/>
      <c r="Y181" s="21"/>
      <c r="Z181" s="29"/>
      <c r="AB181" s="27" t="s">
        <v>203</v>
      </c>
      <c r="AC181" s="28" t="s">
        <v>66</v>
      </c>
      <c r="AD181" s="28"/>
      <c r="AE181" s="21"/>
      <c r="AF181" s="28" t="s">
        <v>204</v>
      </c>
      <c r="AG181" s="21"/>
      <c r="AH181" s="21"/>
      <c r="AI181" s="29"/>
    </row>
    <row r="182" spans="1:35">
      <c r="A182" s="94">
        <f>(ROUND(A167, 2)*B59)+ROUND(E185, 2)-ROUND(E179, 2)-ROUND(A185,2)</f>
        <v>6142.9600000000064</v>
      </c>
      <c r="B182" s="34">
        <f>B114</f>
        <v>1000</v>
      </c>
      <c r="C182" s="34"/>
      <c r="D182" s="21"/>
      <c r="E182" s="34">
        <f>ROUND(E179, 2) + ROUND(A182, 2) + ROUND(B182, 2) + ROUND(A185, 2)</f>
        <v>37148.959999999999</v>
      </c>
      <c r="F182" s="21"/>
      <c r="G182" s="21"/>
      <c r="H182" s="90"/>
      <c r="J182" s="94">
        <f>(J167*K59)+N185-N179-J185</f>
        <v>16854.584473158604</v>
      </c>
      <c r="K182" s="34">
        <f>K114</f>
        <v>239.99</v>
      </c>
      <c r="L182" s="34"/>
      <c r="M182" s="21"/>
      <c r="N182" s="34">
        <f>N179+J182+K182+J185</f>
        <v>53633.578473158603</v>
      </c>
      <c r="O182" s="21"/>
      <c r="P182" s="21"/>
      <c r="Q182" s="90"/>
      <c r="S182" s="94">
        <f>(S167*T59)+W185-W179-S185</f>
        <v>6004.3154528741834</v>
      </c>
      <c r="T182" s="34">
        <f>T114</f>
        <v>199.99</v>
      </c>
      <c r="U182" s="34"/>
      <c r="V182" s="21"/>
      <c r="W182" s="34">
        <f>W179+S182+T182+S185</f>
        <v>32623.540452874186</v>
      </c>
      <c r="X182" s="21"/>
      <c r="Y182" s="21"/>
      <c r="Z182" s="90"/>
      <c r="AB182" s="94">
        <f>(AB167*AC59)+AF185-AF179-AB185</f>
        <v>4786.5855934718857</v>
      </c>
      <c r="AC182" s="34">
        <f>AC114</f>
        <v>239.99</v>
      </c>
      <c r="AD182" s="34"/>
      <c r="AE182" s="21"/>
      <c r="AF182" s="34">
        <f>AF179+AB182+AC182+AB185</f>
        <v>25430.075593471887</v>
      </c>
      <c r="AG182" s="21"/>
      <c r="AH182" s="21"/>
      <c r="AI182" s="90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  <c r="J184" s="27" t="s">
        <v>205</v>
      </c>
      <c r="K184" s="28" t="s">
        <v>206</v>
      </c>
      <c r="L184" s="28"/>
      <c r="M184" s="21"/>
      <c r="N184" s="28" t="s">
        <v>207</v>
      </c>
      <c r="O184" s="21"/>
      <c r="P184" s="21"/>
      <c r="Q184" s="29"/>
      <c r="S184" s="27" t="s">
        <v>205</v>
      </c>
      <c r="T184" s="28" t="s">
        <v>206</v>
      </c>
      <c r="U184" s="28"/>
      <c r="V184" s="21"/>
      <c r="W184" s="28" t="s">
        <v>207</v>
      </c>
      <c r="X184" s="21"/>
      <c r="Y184" s="21"/>
      <c r="Z184" s="29"/>
      <c r="AB184" s="27" t="s">
        <v>205</v>
      </c>
      <c r="AC184" s="28" t="s">
        <v>206</v>
      </c>
      <c r="AD184" s="28"/>
      <c r="AE184" s="21"/>
      <c r="AF184" s="28" t="s">
        <v>207</v>
      </c>
      <c r="AG184" s="21"/>
      <c r="AH184" s="21"/>
      <c r="AI184" s="29"/>
    </row>
    <row r="185" spans="1:35">
      <c r="A185" s="94">
        <f>B60</f>
        <v>10</v>
      </c>
      <c r="B185" s="34">
        <f>A179+(B182)</f>
        <v>3000</v>
      </c>
      <c r="C185" s="34"/>
      <c r="D185" s="21"/>
      <c r="E185" s="34">
        <f>(IF(E170=0,E167+A185,E170+A185))</f>
        <v>3715</v>
      </c>
      <c r="F185" s="21"/>
      <c r="G185" s="21"/>
      <c r="H185" s="90"/>
      <c r="J185" s="94">
        <f>K60</f>
        <v>20</v>
      </c>
      <c r="K185" s="34">
        <f>J179+K182</f>
        <v>1239.99</v>
      </c>
      <c r="L185" s="34"/>
      <c r="M185" s="21"/>
      <c r="N185" s="34">
        <f>N170+J185</f>
        <v>3725</v>
      </c>
      <c r="O185" s="21"/>
      <c r="P185" s="21"/>
      <c r="Q185" s="90"/>
      <c r="S185" s="94">
        <f>T60</f>
        <v>10</v>
      </c>
      <c r="T185" s="34">
        <f>S179+T182</f>
        <v>1199.99</v>
      </c>
      <c r="U185" s="34"/>
      <c r="V185" s="21"/>
      <c r="W185" s="34">
        <f>W170+S185</f>
        <v>3715</v>
      </c>
      <c r="X185" s="21"/>
      <c r="Y185" s="21"/>
      <c r="Z185" s="90"/>
      <c r="AB185" s="94">
        <f>AC60</f>
        <v>10</v>
      </c>
      <c r="AC185" s="34">
        <f>AB179+AC182</f>
        <v>1239.99</v>
      </c>
      <c r="AD185" s="34"/>
      <c r="AE185" s="21"/>
      <c r="AF185" s="34">
        <f>AF170+AB185</f>
        <v>3715</v>
      </c>
      <c r="AG185" s="21"/>
      <c r="AH185" s="21"/>
      <c r="AI185" s="90"/>
    </row>
    <row r="186" spans="1:35">
      <c r="A186" s="27"/>
      <c r="B186" s="28"/>
      <c r="C186" s="28"/>
      <c r="D186" s="28"/>
      <c r="E186" s="21"/>
      <c r="F186" s="21"/>
      <c r="G186" s="21"/>
      <c r="H186" s="29"/>
      <c r="J186" s="27"/>
      <c r="K186" s="28"/>
      <c r="L186" s="28"/>
      <c r="M186" s="28"/>
      <c r="N186" s="21"/>
      <c r="O186" s="21"/>
      <c r="P186" s="21"/>
      <c r="Q186" s="29"/>
      <c r="S186" s="27"/>
      <c r="T186" s="28"/>
      <c r="U186" s="28"/>
      <c r="V186" s="28"/>
      <c r="W186" s="21"/>
      <c r="X186" s="28"/>
      <c r="Y186" s="28"/>
      <c r="Z186" s="29"/>
      <c r="AB186" s="27"/>
      <c r="AC186" s="28"/>
      <c r="AD186" s="28"/>
      <c r="AE186" s="28"/>
      <c r="AF186" s="21"/>
      <c r="AG186" s="21"/>
      <c r="AH186" s="21"/>
      <c r="AI186" s="29"/>
    </row>
    <row r="187" spans="1:35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  <c r="J187" s="27" t="s">
        <v>208</v>
      </c>
      <c r="K187" s="28" t="s">
        <v>209</v>
      </c>
      <c r="L187" s="28"/>
      <c r="M187" s="28"/>
      <c r="N187" s="35" t="s">
        <v>210</v>
      </c>
      <c r="O187" s="21"/>
      <c r="P187" s="21"/>
      <c r="Q187" s="29"/>
      <c r="S187" s="27" t="s">
        <v>208</v>
      </c>
      <c r="T187" s="28" t="s">
        <v>209</v>
      </c>
      <c r="U187" s="28"/>
      <c r="V187" s="28"/>
      <c r="W187" s="35" t="s">
        <v>210</v>
      </c>
      <c r="X187" s="28"/>
      <c r="Y187" s="28"/>
      <c r="Z187" s="29"/>
      <c r="AB187" s="27" t="s">
        <v>208</v>
      </c>
      <c r="AC187" s="28" t="s">
        <v>209</v>
      </c>
      <c r="AD187" s="28"/>
      <c r="AE187" s="28"/>
      <c r="AF187" s="35" t="s">
        <v>210</v>
      </c>
      <c r="AG187" s="28"/>
      <c r="AH187" s="28"/>
      <c r="AI187" s="29"/>
    </row>
    <row r="188" spans="1:35">
      <c r="A188" s="94">
        <f>IF(E105="YES",J18*0.000002,0)*100*1.2</f>
        <v>6.033599999999999</v>
      </c>
      <c r="B188" s="34">
        <f>B68</f>
        <v>1499.8001999999999</v>
      </c>
      <c r="C188" s="28"/>
      <c r="D188" s="28"/>
      <c r="E188" s="34">
        <f>(E40*A108)*0.1*(C45/100)</f>
        <v>67.105499999999992</v>
      </c>
      <c r="F188" s="21"/>
      <c r="G188" s="21"/>
      <c r="H188" s="29"/>
      <c r="J188" s="94">
        <f>IF(N105="YES",H15*0.000002,0)</f>
        <v>5.0959999999999998E-2</v>
      </c>
      <c r="K188" s="34">
        <f>(P158*K67)/1.2</f>
        <v>2250.7372256944445</v>
      </c>
      <c r="L188" s="28"/>
      <c r="M188" s="28"/>
      <c r="N188" s="34">
        <f>(E40*J108)*0.1</f>
        <v>67.105499999999992</v>
      </c>
      <c r="O188" s="21"/>
      <c r="P188" s="21"/>
      <c r="Q188" s="29"/>
      <c r="S188" s="94">
        <f>IF(W105="YES",Z15*0.000002,0)</f>
        <v>0</v>
      </c>
      <c r="T188" s="34">
        <f>(Y158*T67)/1.2</f>
        <v>215.49202170138889</v>
      </c>
      <c r="U188" s="28"/>
      <c r="V188" s="28"/>
      <c r="W188" s="34">
        <f>(E40*S108)*0.1</f>
        <v>44.737000000000002</v>
      </c>
      <c r="X188" s="28"/>
      <c r="Y188" s="28"/>
      <c r="Z188" s="29"/>
      <c r="AB188" s="94">
        <f>IF(AF105="YES",AI15*0.000002,0)</f>
        <v>0</v>
      </c>
      <c r="AC188" s="34">
        <f>(AH158*AC67)/1.2</f>
        <v>166.4052951388889</v>
      </c>
      <c r="AD188" s="28"/>
      <c r="AE188" s="28"/>
      <c r="AF188" s="34">
        <f>(E40*AB108)*0.1</f>
        <v>44.737000000000002</v>
      </c>
      <c r="AG188" s="28"/>
      <c r="AH188" s="28"/>
      <c r="AI188" s="29"/>
    </row>
    <row r="189" spans="1:35">
      <c r="A189" s="94"/>
      <c r="B189" s="34"/>
      <c r="C189" s="28"/>
      <c r="D189" s="28"/>
      <c r="E189" s="21"/>
      <c r="F189" s="21"/>
      <c r="G189" s="21"/>
      <c r="H189" s="29"/>
      <c r="J189" s="94"/>
      <c r="K189" s="34"/>
      <c r="L189" s="28"/>
      <c r="M189" s="28"/>
      <c r="N189" s="21"/>
      <c r="O189" s="21"/>
      <c r="P189" s="21"/>
      <c r="Q189" s="29"/>
      <c r="S189" s="94"/>
      <c r="T189" s="34"/>
      <c r="U189" s="28"/>
      <c r="V189" s="28"/>
      <c r="W189" s="21"/>
      <c r="X189" s="28"/>
      <c r="Y189" s="28"/>
      <c r="Z189" s="29"/>
      <c r="AB189" s="94"/>
      <c r="AC189" s="34"/>
      <c r="AD189" s="28"/>
      <c r="AE189" s="28"/>
      <c r="AF189" s="21"/>
      <c r="AG189" s="28"/>
      <c r="AH189" s="28"/>
      <c r="AI189" s="29"/>
    </row>
    <row r="190" spans="1:35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  <c r="J190" s="53" t="s">
        <v>211</v>
      </c>
      <c r="K190" s="35" t="s">
        <v>212</v>
      </c>
      <c r="L190" s="28"/>
      <c r="M190" s="28"/>
      <c r="N190" s="35" t="s">
        <v>213</v>
      </c>
      <c r="O190" s="21"/>
      <c r="P190" s="21"/>
      <c r="Q190" s="29"/>
      <c r="S190" s="53" t="s">
        <v>211</v>
      </c>
      <c r="T190" s="35" t="s">
        <v>212</v>
      </c>
      <c r="U190" s="28"/>
      <c r="V190" s="28"/>
      <c r="W190" s="35" t="s">
        <v>213</v>
      </c>
      <c r="X190" s="28"/>
      <c r="Y190" s="28"/>
      <c r="Z190" s="29"/>
      <c r="AB190" s="53" t="s">
        <v>211</v>
      </c>
      <c r="AC190" s="35" t="s">
        <v>212</v>
      </c>
      <c r="AD190" s="28"/>
      <c r="AE190" s="28"/>
      <c r="AF190" s="35" t="s">
        <v>213</v>
      </c>
      <c r="AG190" s="28"/>
      <c r="AH190" s="28"/>
      <c r="AI190" s="29"/>
    </row>
    <row r="191" spans="1:35">
      <c r="A191" s="94">
        <v>10</v>
      </c>
      <c r="B191" s="34">
        <f>B188+E188+A191</f>
        <v>1576.9056999999998</v>
      </c>
      <c r="C191" s="28"/>
      <c r="D191" s="28"/>
      <c r="E191" s="34">
        <f>H148</f>
        <v>4246.6699999999973</v>
      </c>
      <c r="F191" s="21"/>
      <c r="G191" s="21"/>
      <c r="H191" s="29"/>
      <c r="J191" s="94">
        <f>K185-100</f>
        <v>1139.99</v>
      </c>
      <c r="K191" s="34">
        <f>K188+N188+J191</f>
        <v>3457.8327256944449</v>
      </c>
      <c r="L191" s="28"/>
      <c r="M191" s="28"/>
      <c r="N191" s="34">
        <f>Q148</f>
        <v>10039.004000000001</v>
      </c>
      <c r="O191" s="21"/>
      <c r="P191" s="21"/>
      <c r="Q191" s="29"/>
      <c r="S191" s="94">
        <f>T185-100</f>
        <v>1099.99</v>
      </c>
      <c r="T191" s="34">
        <f>T188+W188+S191</f>
        <v>1360.219021701389</v>
      </c>
      <c r="U191" s="28"/>
      <c r="V191" s="28"/>
      <c r="W191" s="34">
        <f>Z148</f>
        <v>-70.764999999999418</v>
      </c>
      <c r="X191" s="28"/>
      <c r="Y191" s="28"/>
      <c r="Z191" s="29"/>
      <c r="AB191" s="94">
        <f>AC185-100</f>
        <v>1139.99</v>
      </c>
      <c r="AC191" s="34">
        <f>AC188+AF188+AB191</f>
        <v>1351.1322951388888</v>
      </c>
      <c r="AD191" s="28"/>
      <c r="AE191" s="28"/>
      <c r="AF191" s="34">
        <f>AI148</f>
        <v>-6086.5</v>
      </c>
      <c r="AG191" s="28"/>
      <c r="AH191" s="28"/>
      <c r="AI191" s="29"/>
    </row>
    <row r="192" spans="1:35">
      <c r="A192" s="27"/>
      <c r="B192" s="28"/>
      <c r="C192" s="28"/>
      <c r="D192" s="28"/>
      <c r="E192" s="21"/>
      <c r="F192" s="21"/>
      <c r="G192" s="21"/>
      <c r="H192" s="29"/>
      <c r="J192" s="27"/>
      <c r="K192" s="28"/>
      <c r="L192" s="28"/>
      <c r="M192" s="28"/>
      <c r="N192" s="21"/>
      <c r="O192" s="21"/>
      <c r="P192" s="21"/>
      <c r="Q192" s="29"/>
      <c r="S192" s="27"/>
      <c r="T192" s="28"/>
      <c r="U192" s="28"/>
      <c r="V192" s="28"/>
      <c r="W192" s="21"/>
      <c r="X192" s="21"/>
      <c r="Y192" s="21"/>
      <c r="Z192" s="29"/>
      <c r="AB192" s="27"/>
      <c r="AC192" s="28"/>
      <c r="AD192" s="28"/>
      <c r="AE192" s="28"/>
      <c r="AF192" s="21"/>
      <c r="AG192" s="21"/>
      <c r="AH192" s="21"/>
      <c r="AI192" s="29"/>
    </row>
    <row r="193" spans="1:35">
      <c r="A193" s="58" t="s">
        <v>214</v>
      </c>
      <c r="B193" s="28"/>
      <c r="C193" s="28"/>
      <c r="D193" s="59"/>
      <c r="E193" s="59"/>
      <c r="F193" s="59"/>
      <c r="G193" s="59"/>
      <c r="H193" s="60"/>
      <c r="J193" s="58" t="s">
        <v>214</v>
      </c>
      <c r="K193" s="28"/>
      <c r="L193" s="28"/>
      <c r="M193" s="59"/>
      <c r="N193" s="59"/>
      <c r="O193" s="59"/>
      <c r="P193" s="59"/>
      <c r="Q193" s="60"/>
      <c r="S193" s="58" t="s">
        <v>214</v>
      </c>
      <c r="T193" s="28"/>
      <c r="U193" s="28"/>
      <c r="V193" s="59"/>
      <c r="W193" s="59"/>
      <c r="X193" s="59"/>
      <c r="Y193" s="59"/>
      <c r="Z193" s="60"/>
      <c r="AB193" s="58" t="s">
        <v>214</v>
      </c>
      <c r="AC193" s="28"/>
      <c r="AD193" s="28"/>
      <c r="AE193" s="59"/>
      <c r="AF193" s="59"/>
      <c r="AG193" s="59"/>
      <c r="AH193" s="59"/>
      <c r="AI193" s="60"/>
    </row>
    <row r="194" spans="1:35">
      <c r="A194" s="27"/>
      <c r="B194" s="61"/>
      <c r="C194" s="61"/>
      <c r="D194" s="28"/>
      <c r="E194" s="21"/>
      <c r="F194" s="21"/>
      <c r="G194" s="21"/>
      <c r="H194" s="29"/>
      <c r="J194" s="27"/>
      <c r="K194" s="61"/>
      <c r="L194" s="61"/>
      <c r="M194" s="28"/>
      <c r="N194" s="21"/>
      <c r="O194" s="21"/>
      <c r="P194" s="21"/>
      <c r="Q194" s="29"/>
      <c r="S194" s="27"/>
      <c r="T194" s="61"/>
      <c r="U194" s="61"/>
      <c r="V194" s="28"/>
      <c r="W194" s="21"/>
      <c r="X194" s="21"/>
      <c r="Y194" s="21"/>
      <c r="Z194" s="29"/>
      <c r="AB194" s="27"/>
      <c r="AC194" s="61"/>
      <c r="AD194" s="61"/>
      <c r="AE194" s="28"/>
      <c r="AF194" s="21"/>
      <c r="AG194" s="21"/>
      <c r="AH194" s="21"/>
      <c r="AI194" s="29"/>
    </row>
    <row r="195" spans="1:35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69" t="s">
        <v>94</v>
      </c>
      <c r="K195" s="341" t="s">
        <v>95</v>
      </c>
      <c r="L195" s="341"/>
      <c r="M195" s="341"/>
      <c r="N195" s="21"/>
      <c r="O195" s="21"/>
      <c r="P195" s="21"/>
      <c r="Q195" s="29"/>
      <c r="S195" s="369" t="s">
        <v>94</v>
      </c>
      <c r="T195" s="341" t="s">
        <v>95</v>
      </c>
      <c r="U195" s="341"/>
      <c r="V195" s="341"/>
      <c r="W195" s="21"/>
      <c r="X195" s="21"/>
      <c r="Y195" s="21"/>
      <c r="Z195" s="29"/>
      <c r="AB195" s="369" t="s">
        <v>94</v>
      </c>
      <c r="AC195" s="341" t="s">
        <v>95</v>
      </c>
      <c r="AD195" s="341"/>
      <c r="AE195" s="341"/>
      <c r="AF195" s="21"/>
      <c r="AG195" s="21"/>
      <c r="AH195" s="21"/>
      <c r="AI195" s="29"/>
    </row>
    <row r="196" spans="1:35" ht="19.5" customHeight="1">
      <c r="A196" s="369"/>
      <c r="B196" s="342">
        <f>K30</f>
        <v>35000</v>
      </c>
      <c r="C196" s="342"/>
      <c r="D196" s="342"/>
      <c r="E196" s="21"/>
      <c r="F196" s="21"/>
      <c r="G196" s="21"/>
      <c r="H196" s="29"/>
      <c r="J196" s="369"/>
      <c r="K196" s="342">
        <f>K30</f>
        <v>35000</v>
      </c>
      <c r="L196" s="342"/>
      <c r="M196" s="342"/>
      <c r="N196" s="21"/>
      <c r="O196" s="21"/>
      <c r="P196" s="21"/>
      <c r="Q196" s="29"/>
      <c r="S196" s="369"/>
      <c r="T196" s="342">
        <f>K30</f>
        <v>35000</v>
      </c>
      <c r="U196" s="342"/>
      <c r="V196" s="342"/>
      <c r="W196" s="21"/>
      <c r="X196" s="21"/>
      <c r="Y196" s="21"/>
      <c r="Z196" s="29"/>
      <c r="AB196" s="369"/>
      <c r="AC196" s="342">
        <f>K30</f>
        <v>35000</v>
      </c>
      <c r="AD196" s="342"/>
      <c r="AE196" s="342"/>
      <c r="AF196" s="21"/>
      <c r="AG196" s="21"/>
      <c r="AH196" s="21"/>
      <c r="AI196" s="29"/>
    </row>
    <row r="197" spans="1:35">
      <c r="A197" s="62">
        <f>K29</f>
        <v>35</v>
      </c>
      <c r="B197" s="343">
        <f>B96</f>
        <v>1056.5709236594653</v>
      </c>
      <c r="C197" s="343"/>
      <c r="D197" s="343"/>
      <c r="E197" s="21"/>
      <c r="F197" s="21"/>
      <c r="G197" s="21"/>
      <c r="H197" s="29"/>
      <c r="J197" s="62">
        <f>K29</f>
        <v>35</v>
      </c>
      <c r="K197" s="343">
        <f>K96</f>
        <v>1560.5404374458412</v>
      </c>
      <c r="L197" s="343"/>
      <c r="M197" s="343"/>
      <c r="N197" s="21"/>
      <c r="O197" s="21"/>
      <c r="P197" s="21"/>
      <c r="Q197" s="29"/>
      <c r="S197" s="62">
        <f>K29</f>
        <v>35</v>
      </c>
      <c r="T197" s="343">
        <f>T96</f>
        <v>923.3167780257113</v>
      </c>
      <c r="U197" s="343"/>
      <c r="V197" s="343"/>
      <c r="W197" s="21"/>
      <c r="X197" s="21"/>
      <c r="Y197" s="21"/>
      <c r="Z197" s="29"/>
      <c r="AB197" s="62">
        <f>K29</f>
        <v>35</v>
      </c>
      <c r="AC197" s="343">
        <f>AC96</f>
        <v>726.35734098446721</v>
      </c>
      <c r="AD197" s="343"/>
      <c r="AE197" s="343"/>
      <c r="AF197" s="21"/>
      <c r="AG197" s="21"/>
      <c r="AH197" s="21"/>
      <c r="AI197" s="29"/>
    </row>
    <row r="198" spans="1:35">
      <c r="A198" s="27"/>
      <c r="B198" s="28"/>
      <c r="C198" s="28"/>
      <c r="D198" s="28"/>
      <c r="E198" s="21"/>
      <c r="F198" s="21"/>
      <c r="G198" s="21"/>
      <c r="H198" s="29"/>
      <c r="J198" s="27"/>
      <c r="K198" s="28"/>
      <c r="L198" s="28"/>
      <c r="M198" s="28"/>
      <c r="N198" s="21"/>
      <c r="O198" s="21"/>
      <c r="P198" s="21"/>
      <c r="Q198" s="29"/>
      <c r="S198" s="27"/>
      <c r="T198" s="28"/>
      <c r="U198" s="28"/>
      <c r="V198" s="28"/>
      <c r="W198" s="21"/>
      <c r="X198" s="21"/>
      <c r="Y198" s="21"/>
      <c r="Z198" s="29"/>
      <c r="AB198" s="27"/>
      <c r="AC198" s="28"/>
      <c r="AD198" s="28"/>
      <c r="AE198" s="28"/>
      <c r="AF198" s="21"/>
      <c r="AG198" s="21"/>
      <c r="AH198" s="21"/>
      <c r="AI198" s="29"/>
    </row>
    <row r="199" spans="1:35">
      <c r="A199" s="27"/>
      <c r="B199" s="28"/>
      <c r="C199" s="28"/>
      <c r="D199" s="28"/>
      <c r="E199" s="21"/>
      <c r="F199" s="21"/>
      <c r="G199" s="21"/>
      <c r="H199" s="29"/>
      <c r="J199" s="27"/>
      <c r="K199" s="28"/>
      <c r="L199" s="28"/>
      <c r="M199" s="28"/>
      <c r="N199" s="21"/>
      <c r="O199" s="21"/>
      <c r="P199" s="21"/>
      <c r="Q199" s="29"/>
      <c r="S199" s="27"/>
      <c r="T199" s="28"/>
      <c r="U199" s="28"/>
      <c r="V199" s="28"/>
      <c r="W199" s="21"/>
      <c r="X199" s="21"/>
      <c r="Y199" s="21"/>
      <c r="Z199" s="29"/>
      <c r="AB199" s="27"/>
      <c r="AC199" s="28"/>
      <c r="AD199" s="28"/>
      <c r="AE199" s="28"/>
      <c r="AF199" s="21"/>
      <c r="AG199" s="21"/>
      <c r="AH199" s="21"/>
      <c r="AI199" s="29"/>
    </row>
    <row r="200" spans="1:35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  <c r="J200" s="27"/>
      <c r="K200" s="28"/>
      <c r="L200" s="28"/>
      <c r="M200" s="28"/>
      <c r="N200" s="21"/>
      <c r="O200" s="21"/>
      <c r="P200" s="21"/>
      <c r="Q200" s="29"/>
      <c r="S200" s="27"/>
      <c r="T200" s="28"/>
      <c r="U200" s="28"/>
      <c r="V200" s="28"/>
      <c r="W200" s="21"/>
      <c r="X200" s="21"/>
      <c r="Y200" s="21"/>
      <c r="Z200" s="29"/>
      <c r="AB200" s="27"/>
      <c r="AC200" s="28"/>
      <c r="AD200" s="28"/>
      <c r="AE200" s="28"/>
      <c r="AF200" s="21"/>
      <c r="AG200" s="21"/>
      <c r="AH200" s="21"/>
      <c r="AI200" s="29"/>
    </row>
    <row r="201" spans="1:35">
      <c r="A201" s="32">
        <f>IF(A40=0,((G167*(B59+1))-E179),((G167*B59)+E185-E179-A185))</f>
        <v>3523.9360000000052</v>
      </c>
      <c r="B201" s="38">
        <f>E179+A201+B182+A185</f>
        <v>34529.94</v>
      </c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49"/>
      <c r="B202" s="50"/>
      <c r="C202" s="50"/>
      <c r="D202" s="50"/>
      <c r="E202" s="50"/>
      <c r="F202" s="50"/>
      <c r="G202" s="50"/>
      <c r="H202" s="57"/>
      <c r="J202" s="49"/>
      <c r="K202" s="50"/>
      <c r="L202" s="50"/>
      <c r="M202" s="50"/>
      <c r="N202" s="50"/>
      <c r="O202" s="50"/>
      <c r="P202" s="50"/>
      <c r="Q202" s="57"/>
      <c r="S202" s="49"/>
      <c r="T202" s="50"/>
      <c r="U202" s="50"/>
      <c r="V202" s="50"/>
      <c r="W202" s="50"/>
      <c r="X202" s="50"/>
      <c r="Y202" s="50"/>
      <c r="Z202" s="57"/>
      <c r="AB202" s="49"/>
      <c r="AC202" s="50"/>
      <c r="AD202" s="50"/>
      <c r="AE202" s="50"/>
      <c r="AF202" s="50"/>
      <c r="AG202" s="50"/>
      <c r="AH202" s="50"/>
      <c r="AI202" s="57"/>
    </row>
    <row r="206" spans="1:35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5">
      <c r="A207" s="27"/>
      <c r="B207" s="28"/>
      <c r="C207" s="28"/>
      <c r="D207" s="28"/>
      <c r="E207" s="21"/>
      <c r="F207" s="21"/>
      <c r="G207" s="21"/>
      <c r="H207" s="29"/>
    </row>
    <row r="208" spans="1:35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30" t="s">
        <v>279</v>
      </c>
      <c r="B209" s="131">
        <f>A197</f>
        <v>35</v>
      </c>
      <c r="C209" s="131"/>
      <c r="D209" s="131"/>
      <c r="E209" s="131">
        <f>B196</f>
        <v>35000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953.93898248299467</v>
      </c>
      <c r="B212" s="133">
        <f>B167</f>
        <v>102.63194117647058</v>
      </c>
      <c r="C212" s="131"/>
      <c r="D212" s="131"/>
      <c r="E212" s="133">
        <f>E167</f>
        <v>1056.5709236594653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25196.67</v>
      </c>
      <c r="B215" s="34">
        <f>B173</f>
        <v>5039.3339999999998</v>
      </c>
      <c r="C215" s="38"/>
      <c r="D215" s="21"/>
      <c r="E215" s="137">
        <f>E173</f>
        <v>340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30576.003999999997</v>
      </c>
      <c r="B218" s="34">
        <f>B176</f>
        <v>1000</v>
      </c>
      <c r="C218" s="34"/>
      <c r="D218" s="21"/>
      <c r="E218" s="34">
        <f>E176</f>
        <v>1000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2000</v>
      </c>
      <c r="B221" s="34">
        <f>B179</f>
        <v>0</v>
      </c>
      <c r="C221" s="34"/>
      <c r="D221" s="21"/>
      <c r="E221" s="34">
        <f>E179</f>
        <v>29996.003999999997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6142.9600000000064</v>
      </c>
      <c r="B224" s="34">
        <f>B182</f>
        <v>1000</v>
      </c>
      <c r="C224" s="34"/>
      <c r="D224" s="21"/>
      <c r="E224" s="34">
        <f>E182</f>
        <v>37148.959999999999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3000</v>
      </c>
      <c r="C227" s="34"/>
      <c r="D227" s="21"/>
      <c r="E227" s="34">
        <f>B59</f>
        <v>34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953.93898248299467</v>
      </c>
      <c r="B230" s="34">
        <f>B167</f>
        <v>102.63194117647058</v>
      </c>
      <c r="C230" s="38"/>
      <c r="D230" s="38"/>
      <c r="E230" s="34">
        <f>E167</f>
        <v>1056.5709236594653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198</v>
      </c>
      <c r="B232" s="28" t="s">
        <v>220</v>
      </c>
      <c r="C232" s="28"/>
      <c r="D232" s="28"/>
      <c r="E232" s="28" t="s">
        <v>221</v>
      </c>
      <c r="F232" s="21"/>
      <c r="G232" s="21"/>
      <c r="H232" s="29"/>
    </row>
    <row r="233" spans="1:8">
      <c r="A233" s="94">
        <f>E170</f>
        <v>3705</v>
      </c>
      <c r="B233" s="34">
        <f>E185</f>
        <v>3715</v>
      </c>
      <c r="C233" s="28"/>
      <c r="D233" s="28"/>
      <c r="E233" s="34">
        <f>A188</f>
        <v>6.033599999999999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142</v>
      </c>
      <c r="B235" s="34"/>
      <c r="C235" s="28"/>
      <c r="D235" s="28"/>
      <c r="E235" s="34"/>
      <c r="F235" s="21"/>
      <c r="G235" s="21"/>
      <c r="H235" s="29"/>
    </row>
    <row r="236" spans="1:8">
      <c r="A236" s="94"/>
      <c r="B236" s="34"/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4246.6699999999973</v>
      </c>
      <c r="B240" s="34">
        <f>B68</f>
        <v>1499.8001999999999</v>
      </c>
      <c r="C240" s="28"/>
      <c r="D240" s="28"/>
      <c r="E240" s="34">
        <f>E188</f>
        <v>67.105499999999992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4403.5756999999976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K35</f>
        <v>7.0000000000000007E-2</v>
      </c>
      <c r="C253" s="144"/>
      <c r="D253" s="374" t="s">
        <v>226</v>
      </c>
      <c r="E253" s="374"/>
      <c r="F253" s="143">
        <f>B83</f>
        <v>0.12000000000000001</v>
      </c>
      <c r="G253" s="21"/>
      <c r="H253" s="29"/>
    </row>
    <row r="254" spans="1:8">
      <c r="A254" s="139" t="s">
        <v>227</v>
      </c>
      <c r="B254" s="145">
        <f>(E182-B182)-(B201-B182-A185)</f>
        <v>2629.0199999999968</v>
      </c>
      <c r="C254" s="144"/>
      <c r="D254" s="374" t="s">
        <v>228</v>
      </c>
      <c r="E254" s="374"/>
      <c r="F254" s="146">
        <f>F261+F267+F269+B270+B271</f>
        <v>1499.8001999999999</v>
      </c>
      <c r="G254" s="21"/>
      <c r="H254" s="29"/>
    </row>
    <row r="255" spans="1:8">
      <c r="A255" s="139" t="s">
        <v>229</v>
      </c>
      <c r="B255" s="146">
        <f>F262+B263</f>
        <v>681.05499999999995</v>
      </c>
      <c r="C255" s="144"/>
      <c r="D255" s="374" t="s">
        <v>230</v>
      </c>
      <c r="E255" s="374"/>
      <c r="F255" s="146">
        <f>(B254-F254)+B255</f>
        <v>1810.274799999997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7.0000000000000007E-2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0.12000000000000001</v>
      </c>
      <c r="C260" s="38"/>
      <c r="D260" s="363" t="s">
        <v>227</v>
      </c>
      <c r="E260" s="363"/>
      <c r="F260" s="115">
        <f>B254</f>
        <v>2629.0199999999968</v>
      </c>
      <c r="G260" s="21"/>
      <c r="H260" s="29"/>
    </row>
    <row r="261" spans="1:8">
      <c r="A261" s="27" t="s">
        <v>233</v>
      </c>
      <c r="B261" s="155">
        <f>B67</f>
        <v>0.05</v>
      </c>
      <c r="C261" s="28"/>
      <c r="D261" s="363" t="s">
        <v>233</v>
      </c>
      <c r="E261" s="363"/>
      <c r="F261" s="119">
        <f>B68</f>
        <v>1499.8001999999999</v>
      </c>
      <c r="G261" s="21"/>
      <c r="H261" s="29"/>
    </row>
    <row r="262" spans="1:8">
      <c r="A262" s="27" t="s">
        <v>234</v>
      </c>
      <c r="B262" s="151">
        <f>A108</f>
        <v>0.3</v>
      </c>
      <c r="C262" s="28"/>
      <c r="D262" s="363" t="s">
        <v>234</v>
      </c>
      <c r="E262" s="363"/>
      <c r="F262" s="115">
        <f>E240*10</f>
        <v>671.05499999999995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1810.274799999997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87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J38:K38"/>
    <mergeCell ref="B40:D40"/>
    <mergeCell ref="C45:E45"/>
    <mergeCell ref="A50:A51"/>
    <mergeCell ref="B50:D50"/>
    <mergeCell ref="B51:D51"/>
    <mergeCell ref="B52:D52"/>
    <mergeCell ref="A100:H100"/>
    <mergeCell ref="J100:Q100"/>
    <mergeCell ref="B18:F18"/>
    <mergeCell ref="B19:F19"/>
    <mergeCell ref="B20:F20"/>
    <mergeCell ref="A21:F21"/>
    <mergeCell ref="A24:H24"/>
    <mergeCell ref="A28:H28"/>
    <mergeCell ref="B30:D30"/>
    <mergeCell ref="E33:G33"/>
    <mergeCell ref="E36:G36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A1:H1"/>
    <mergeCell ref="B2:C2"/>
    <mergeCell ref="D2:E2"/>
    <mergeCell ref="F2:G2"/>
    <mergeCell ref="B3:C3"/>
    <mergeCell ref="D3:E3"/>
    <mergeCell ref="F3:G3"/>
    <mergeCell ref="B4:C4"/>
    <mergeCell ref="D4:E4"/>
    <mergeCell ref="F4:G4"/>
  </mergeCells>
  <dataValidations count="4">
    <dataValidation type="list" allowBlank="1" showInputMessage="1" showErrorMessage="1" sqref="A18:A20 A144:A146 J144:J146 S144:S146 AB144:AB146" xr:uid="{00000000-0002-0000-3F00-000000000000}">
      <formula1>$AB$16:$AB$18</formula1>
      <formula2>0</formula2>
    </dataValidation>
    <dataValidation type="list" allowBlank="1" showInputMessage="1" showErrorMessage="1" sqref="B26 E105 N105 W105 AF105 A111 J111 S111 AB111" xr:uid="{00000000-0002-0000-3F00-000001000000}">
      <formula1>$Z$19:$Z$20</formula1>
      <formula2>0</formula2>
    </dataValidation>
    <dataValidation type="list" allowBlank="1" showInputMessage="1" showErrorMessage="1" sqref="B105 K105 T105 AC105" xr:uid="{00000000-0002-0000-3F00-000002000000}">
      <formula1>$Y$127:$Y$136</formula1>
      <formula2>0</formula2>
    </dataValidation>
    <dataValidation type="list" allowBlank="1" showInputMessage="1" showErrorMessage="1" sqref="B108:D108 K108:M108 T108:V108 AC108:AE108" xr:uid="{00000000-0002-0000-3F00-000003000000}">
      <formula1>$AP$108:$AP$109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AP272"/>
  <sheetViews>
    <sheetView topLeftCell="A244" zoomScale="110" zoomScaleNormal="110" workbookViewId="0">
      <selection activeCell="F262" sqref="F262"/>
    </sheetView>
  </sheetViews>
  <sheetFormatPr defaultColWidth="8.375" defaultRowHeight="18.75"/>
  <cols>
    <col min="1" max="1" customWidth="true" style="4" width="41.625"/>
    <col min="2" max="5" customWidth="true" style="4" width="18.875"/>
    <col min="6" max="6" customWidth="true" style="4" width="32.5"/>
    <col min="7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44" t="s">
        <v>382</v>
      </c>
      <c r="B1" s="344"/>
      <c r="C1" s="344"/>
      <c r="D1" s="344"/>
      <c r="E1" s="344"/>
      <c r="F1" s="344"/>
      <c r="G1" s="344"/>
      <c r="H1" s="344"/>
      <c r="I1" s="5"/>
      <c r="J1" s="5"/>
    </row>
    <row r="2" spans="1:25" ht="21">
      <c r="A2" s="68"/>
      <c r="B2" s="413" t="s">
        <v>154</v>
      </c>
      <c r="C2" s="413"/>
      <c r="D2" s="413" t="s">
        <v>155</v>
      </c>
      <c r="E2" s="413"/>
      <c r="F2" s="413" t="s">
        <v>156</v>
      </c>
      <c r="G2" s="413"/>
      <c r="H2" s="287" t="s">
        <v>157</v>
      </c>
      <c r="I2" s="5"/>
      <c r="J2" s="5"/>
    </row>
    <row r="3" spans="1:25">
      <c r="A3" s="27" t="s">
        <v>160</v>
      </c>
      <c r="B3" s="414">
        <v>20255</v>
      </c>
      <c r="C3" s="414">
        <v>0</v>
      </c>
      <c r="D3" s="414">
        <v>0</v>
      </c>
      <c r="E3" s="414"/>
      <c r="F3" s="414">
        <v>0</v>
      </c>
      <c r="G3" s="414"/>
      <c r="H3" s="289">
        <v>0</v>
      </c>
      <c r="I3" s="5"/>
      <c r="J3" s="5"/>
    </row>
    <row r="4" spans="1:25">
      <c r="A4" s="27" t="s">
        <v>161</v>
      </c>
      <c r="B4" s="418">
        <v>0</v>
      </c>
      <c r="C4" s="418">
        <v>0</v>
      </c>
      <c r="D4" s="418">
        <v>0</v>
      </c>
      <c r="E4" s="418"/>
      <c r="F4" s="418">
        <v>0</v>
      </c>
      <c r="G4" s="418"/>
      <c r="H4" s="105"/>
      <c r="I4" s="5"/>
      <c r="J4" s="5"/>
    </row>
    <row r="5" spans="1:25">
      <c r="A5" s="27" t="s">
        <v>162</v>
      </c>
      <c r="B5" s="414">
        <v>0</v>
      </c>
      <c r="C5" s="414">
        <v>0</v>
      </c>
      <c r="D5" s="414">
        <v>0</v>
      </c>
      <c r="E5" s="414"/>
      <c r="F5" s="414">
        <v>0</v>
      </c>
      <c r="G5" s="414"/>
      <c r="H5" s="29"/>
      <c r="I5" s="5"/>
      <c r="J5" s="5"/>
    </row>
    <row r="6" spans="1:25">
      <c r="A6" s="27" t="s">
        <v>163</v>
      </c>
      <c r="B6" s="380">
        <f>(B3*B4/100)+B5</f>
        <v>0</v>
      </c>
      <c r="C6" s="380">
        <f>(C3*C4/100)+C5</f>
        <v>0</v>
      </c>
      <c r="D6" s="380">
        <f>(D3*D4/100)+D5</f>
        <v>0</v>
      </c>
      <c r="E6" s="380"/>
      <c r="F6" s="380">
        <f>(F3*F4/100)+F5</f>
        <v>0</v>
      </c>
      <c r="G6" s="380"/>
      <c r="H6" s="29"/>
      <c r="I6" s="5"/>
      <c r="J6" s="5"/>
    </row>
    <row r="7" spans="1:25">
      <c r="A7" s="27" t="s">
        <v>164</v>
      </c>
      <c r="B7" s="380">
        <f>B3-B6</f>
        <v>20255</v>
      </c>
      <c r="C7" s="380">
        <f>C3-C6</f>
        <v>0</v>
      </c>
      <c r="D7" s="380">
        <f>D3-D6</f>
        <v>0</v>
      </c>
      <c r="E7" s="380"/>
      <c r="F7" s="380">
        <f>F3-F6</f>
        <v>0</v>
      </c>
      <c r="G7" s="380"/>
      <c r="H7" s="29"/>
      <c r="I7" s="5"/>
      <c r="J7" s="5"/>
    </row>
    <row r="8" spans="1:25">
      <c r="A8" s="27"/>
      <c r="B8" s="28"/>
      <c r="C8" s="28"/>
      <c r="D8" s="28"/>
      <c r="E8" s="28"/>
      <c r="F8" s="28"/>
      <c r="G8" s="28"/>
      <c r="H8" s="29"/>
      <c r="I8" s="5"/>
      <c r="J8" s="5"/>
      <c r="L8" s="14" t="s">
        <v>17</v>
      </c>
      <c r="M8" s="11">
        <f>H13+H14</f>
        <v>340</v>
      </c>
    </row>
    <row r="9" spans="1:25" ht="21">
      <c r="A9" s="356" t="s">
        <v>172</v>
      </c>
      <c r="B9" s="356"/>
      <c r="C9" s="356"/>
      <c r="D9" s="356"/>
      <c r="E9" s="356">
        <f>(B7+C7+D7+E3)</f>
        <v>20255</v>
      </c>
      <c r="F9" s="356"/>
      <c r="G9" s="109"/>
      <c r="H9" s="290">
        <f>B7+D7+F7+H3</f>
        <v>20255</v>
      </c>
      <c r="I9" s="5"/>
      <c r="J9" s="5"/>
      <c r="L9" s="11"/>
      <c r="M9" s="11"/>
    </row>
    <row r="10" spans="1:25">
      <c r="A10" s="357" t="s">
        <v>173</v>
      </c>
      <c r="B10" s="357"/>
      <c r="C10" s="357"/>
      <c r="D10" s="357"/>
      <c r="E10" s="357">
        <v>550</v>
      </c>
      <c r="F10" s="357"/>
      <c r="G10" s="121"/>
      <c r="H10" s="289">
        <v>695</v>
      </c>
      <c r="I10" s="5"/>
      <c r="J10" s="5"/>
      <c r="L10" s="16" t="s">
        <v>15</v>
      </c>
      <c r="M10" s="11">
        <f>H15-H11-M8</f>
        <v>20950</v>
      </c>
    </row>
    <row r="11" spans="1:25">
      <c r="A11" s="357" t="s">
        <v>174</v>
      </c>
      <c r="B11" s="357"/>
      <c r="C11" s="357"/>
      <c r="D11" s="357"/>
      <c r="E11" s="357"/>
      <c r="F11" s="357"/>
      <c r="G11" s="121"/>
      <c r="H11" s="29">
        <f>(H9+H10)*20%</f>
        <v>4190</v>
      </c>
      <c r="I11" s="5"/>
      <c r="J11" s="5"/>
      <c r="L11" s="11"/>
      <c r="M11" s="11"/>
    </row>
    <row r="12" spans="1:25">
      <c r="A12" s="357" t="s">
        <v>175</v>
      </c>
      <c r="B12" s="357"/>
      <c r="C12" s="357"/>
      <c r="D12" s="357"/>
      <c r="E12" s="357"/>
      <c r="F12" s="357"/>
      <c r="G12" s="121"/>
      <c r="H12" s="289">
        <v>0</v>
      </c>
      <c r="I12" s="5"/>
      <c r="J12" s="5"/>
    </row>
    <row r="13" spans="1:25">
      <c r="A13" s="357" t="s">
        <v>176</v>
      </c>
      <c r="B13" s="357"/>
      <c r="C13" s="357"/>
      <c r="D13" s="357"/>
      <c r="E13" s="357">
        <v>555</v>
      </c>
      <c r="F13" s="357"/>
      <c r="G13" s="121"/>
      <c r="H13" s="289">
        <v>275</v>
      </c>
      <c r="I13" s="5"/>
      <c r="J13" s="5"/>
    </row>
    <row r="14" spans="1:25">
      <c r="A14" s="357" t="s">
        <v>177</v>
      </c>
      <c r="B14" s="357"/>
      <c r="C14" s="357"/>
      <c r="D14" s="357"/>
      <c r="E14" s="357">
        <v>55</v>
      </c>
      <c r="F14" s="357"/>
      <c r="G14" s="121"/>
      <c r="H14" s="289">
        <v>65</v>
      </c>
      <c r="I14" s="5"/>
      <c r="J14" s="5" t="s">
        <v>24</v>
      </c>
    </row>
    <row r="15" spans="1:25">
      <c r="A15" s="357" t="s">
        <v>178</v>
      </c>
      <c r="B15" s="357"/>
      <c r="C15" s="357"/>
      <c r="D15" s="357"/>
      <c r="E15" s="357"/>
      <c r="F15" s="357"/>
      <c r="G15" s="121"/>
      <c r="H15" s="291">
        <f>(H9+H10+H13+H14+H11)-H12</f>
        <v>25480</v>
      </c>
      <c r="I15" s="5"/>
      <c r="J15" s="17">
        <f>H15</f>
        <v>25480</v>
      </c>
    </row>
    <row r="16" spans="1:25">
      <c r="A16" s="357" t="s">
        <v>179</v>
      </c>
      <c r="B16" s="357"/>
      <c r="C16" s="357"/>
      <c r="D16" s="357"/>
      <c r="E16" s="357">
        <v>0</v>
      </c>
      <c r="F16" s="357"/>
      <c r="G16" s="121"/>
      <c r="H16" s="289">
        <v>0</v>
      </c>
      <c r="I16" s="5"/>
      <c r="J16" s="5"/>
      <c r="Y16" s="18" t="s">
        <v>26</v>
      </c>
    </row>
    <row r="17" spans="1:26">
      <c r="A17" s="358" t="s">
        <v>180</v>
      </c>
      <c r="B17" s="358"/>
      <c r="C17" s="358"/>
      <c r="D17" s="358"/>
      <c r="E17" s="358"/>
      <c r="F17" s="358"/>
      <c r="G17" s="34"/>
      <c r="H17" s="29"/>
      <c r="I17" s="5"/>
      <c r="J17" s="5" t="s">
        <v>27</v>
      </c>
      <c r="Y17" s="18" t="s">
        <v>28</v>
      </c>
    </row>
    <row r="18" spans="1:26">
      <c r="A18" s="124" t="s">
        <v>26</v>
      </c>
      <c r="B18" s="360" t="s">
        <v>181</v>
      </c>
      <c r="C18" s="360"/>
      <c r="D18" s="360"/>
      <c r="E18" s="360"/>
      <c r="F18" s="360"/>
      <c r="G18" s="35"/>
      <c r="H18" s="292">
        <v>0</v>
      </c>
      <c r="I18" s="5"/>
      <c r="J18" s="17">
        <f>(B3+D3+F3+H3+H10)*1.2</f>
        <v>25140</v>
      </c>
      <c r="Y18" s="18" t="s">
        <v>29</v>
      </c>
    </row>
    <row r="19" spans="1:26">
      <c r="A19" s="124" t="s">
        <v>28</v>
      </c>
      <c r="B19" s="360" t="s">
        <v>181</v>
      </c>
      <c r="C19" s="360"/>
      <c r="D19" s="360"/>
      <c r="E19" s="360"/>
      <c r="F19" s="360"/>
      <c r="G19" s="35"/>
      <c r="H19" s="292">
        <v>0</v>
      </c>
      <c r="I19" s="5"/>
      <c r="J19" s="5"/>
      <c r="Z19" s="5" t="s">
        <v>31</v>
      </c>
    </row>
    <row r="20" spans="1:26">
      <c r="A20" s="124" t="s">
        <v>29</v>
      </c>
      <c r="B20" s="360" t="s">
        <v>181</v>
      </c>
      <c r="C20" s="360"/>
      <c r="D20" s="360"/>
      <c r="E20" s="360"/>
      <c r="F20" s="360"/>
      <c r="G20" s="35"/>
      <c r="H20" s="292">
        <v>0</v>
      </c>
      <c r="I20" s="5"/>
      <c r="J20" s="5"/>
      <c r="Z20" s="5" t="s">
        <v>32</v>
      </c>
    </row>
    <row r="21" spans="1:26" ht="21">
      <c r="A21" s="417" t="s">
        <v>182</v>
      </c>
      <c r="B21" s="417"/>
      <c r="C21" s="417"/>
      <c r="D21" s="417"/>
      <c r="E21" s="417"/>
      <c r="F21" s="417"/>
      <c r="G21" s="293"/>
      <c r="H21" s="294">
        <f>H15-((H18*1.2)+(H19*1.2)+(H20*1.2)+(H16*1.2))</f>
        <v>25480</v>
      </c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354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>
      <c r="A26" s="32" t="s">
        <v>138</v>
      </c>
      <c r="B26" s="36" t="s">
        <v>385</v>
      </c>
      <c r="C26" s="28"/>
      <c r="D26" s="28"/>
      <c r="E26" s="28"/>
      <c r="F26" s="28"/>
      <c r="G26" s="28"/>
      <c r="H26" s="29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 ht="23.25">
      <c r="A28" s="335" t="s">
        <v>136</v>
      </c>
      <c r="B28" s="335"/>
      <c r="C28" s="335"/>
      <c r="D28" s="335"/>
      <c r="E28" s="335"/>
      <c r="F28" s="335"/>
      <c r="G28" s="335"/>
      <c r="H28" s="335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>
        <v>36</v>
      </c>
      <c r="I29" s="28"/>
      <c r="J29" s="25" t="s">
        <v>41</v>
      </c>
      <c r="K29" s="295">
        <v>35</v>
      </c>
    </row>
    <row r="30" spans="1:26">
      <c r="A30" s="27" t="s">
        <v>193</v>
      </c>
      <c r="B30" s="346" t="s">
        <v>387</v>
      </c>
      <c r="C30" s="346"/>
      <c r="D30" s="346"/>
      <c r="E30" s="28"/>
      <c r="F30" s="28"/>
      <c r="G30" s="28"/>
      <c r="H30" s="29">
        <v>10000</v>
      </c>
      <c r="I30" s="28"/>
      <c r="J30" s="25" t="s">
        <v>45</v>
      </c>
      <c r="K30" s="33">
        <v>35000</v>
      </c>
    </row>
    <row r="31" spans="1:26">
      <c r="A31" s="27"/>
      <c r="B31" s="28"/>
      <c r="C31" s="28"/>
      <c r="D31" s="28"/>
      <c r="E31" s="28"/>
      <c r="F31" s="28"/>
      <c r="G31" s="28"/>
      <c r="H31" s="29">
        <v>27500</v>
      </c>
      <c r="I31" s="28"/>
      <c r="J31" s="25" t="s">
        <v>48</v>
      </c>
      <c r="K31" s="37">
        <v>2964</v>
      </c>
    </row>
    <row r="32" spans="1:26" ht="36">
      <c r="A32" s="27" t="s">
        <v>94</v>
      </c>
      <c r="B32" s="28" t="s">
        <v>95</v>
      </c>
      <c r="C32" s="28"/>
      <c r="D32" s="28"/>
      <c r="E32" s="28" t="s">
        <v>355</v>
      </c>
      <c r="F32" s="28"/>
      <c r="G32" s="28"/>
      <c r="H32" s="29"/>
      <c r="I32" s="5">
        <v>0</v>
      </c>
      <c r="J32" s="25" t="s">
        <v>49</v>
      </c>
      <c r="K32" s="37">
        <v>2684.5</v>
      </c>
    </row>
    <row r="33" spans="1:16" ht="36">
      <c r="A33" s="134">
        <f>A52</f>
        <v>35</v>
      </c>
      <c r="B33" s="173">
        <f>B51</f>
        <v>35000</v>
      </c>
      <c r="C33" s="28"/>
      <c r="D33" s="28"/>
      <c r="E33" s="402">
        <f>K48</f>
        <v>687.51233604602055</v>
      </c>
      <c r="F33" s="402"/>
      <c r="G33" s="402"/>
      <c r="H33" s="42"/>
      <c r="I33" s="5"/>
      <c r="J33" s="30" t="s">
        <v>356</v>
      </c>
      <c r="K33" s="43">
        <f>H21-H11+(H16*20%)</f>
        <v>21290</v>
      </c>
      <c r="L33" s="4">
        <f>H21-H11+(H16*20%)</f>
        <v>21290</v>
      </c>
    </row>
    <row r="34" spans="1:16">
      <c r="A34" s="27"/>
      <c r="B34" s="28"/>
      <c r="C34" s="28"/>
      <c r="D34" s="28"/>
      <c r="E34" s="38"/>
      <c r="F34" s="38"/>
      <c r="G34" s="38"/>
      <c r="H34" s="42"/>
      <c r="I34" s="5"/>
      <c r="J34" s="5"/>
      <c r="K34" s="5"/>
    </row>
    <row r="35" spans="1:16">
      <c r="A35" s="27" t="s">
        <v>357</v>
      </c>
      <c r="B35" s="28" t="s">
        <v>358</v>
      </c>
      <c r="C35" s="28"/>
      <c r="E35" s="28" t="s">
        <v>359</v>
      </c>
      <c r="F35" s="38"/>
      <c r="G35" s="38"/>
      <c r="H35" s="42"/>
      <c r="I35" s="5"/>
      <c r="J35" s="45" t="s">
        <v>59</v>
      </c>
      <c r="K35" s="4">
        <v>7.0000000000000007E-2</v>
      </c>
    </row>
    <row r="36" spans="1:16">
      <c r="A36" s="138">
        <f>K47</f>
        <v>610.8123360460205</v>
      </c>
      <c r="B36" s="173">
        <f>IF(B26="YES",K42,"0.00")</f>
        <v>76.7</v>
      </c>
      <c r="C36" s="173"/>
      <c r="D36" s="173"/>
      <c r="E36" s="402">
        <f>K31</f>
        <v>2964</v>
      </c>
      <c r="F36" s="402"/>
      <c r="G36" s="402"/>
      <c r="H36" s="42"/>
      <c r="I36" s="5"/>
      <c r="J36" s="5" t="s">
        <v>63</v>
      </c>
      <c r="K36" s="5">
        <f>K29</f>
        <v>35</v>
      </c>
    </row>
    <row r="37" spans="1:16">
      <c r="A37" s="94"/>
      <c r="B37" s="34"/>
      <c r="C37" s="38"/>
      <c r="D37" s="38"/>
      <c r="E37" s="38"/>
      <c r="F37" s="38"/>
      <c r="G37" s="38"/>
      <c r="H37" s="42"/>
      <c r="I37" s="5"/>
      <c r="J37" s="5"/>
      <c r="K37" s="5"/>
    </row>
    <row r="38" spans="1:16">
      <c r="A38" s="27"/>
      <c r="B38" s="28"/>
      <c r="C38" s="38"/>
      <c r="D38" s="38"/>
      <c r="E38" s="38"/>
      <c r="F38" s="38"/>
      <c r="G38" s="38"/>
      <c r="H38" s="42"/>
      <c r="J38" s="337" t="s">
        <v>65</v>
      </c>
      <c r="K38" s="337"/>
      <c r="L38" s="5">
        <v>42030.76</v>
      </c>
      <c r="N38" s="4">
        <f>80.88*36</f>
        <v>2911.68</v>
      </c>
    </row>
    <row r="39" spans="1:16">
      <c r="A39" s="27" t="s">
        <v>360</v>
      </c>
      <c r="B39" s="28" t="s">
        <v>361</v>
      </c>
      <c r="C39" s="28"/>
      <c r="E39" s="28" t="s">
        <v>362</v>
      </c>
      <c r="F39" s="38"/>
      <c r="G39" s="38"/>
      <c r="H39" s="42"/>
      <c r="J39" s="5" t="s">
        <v>96</v>
      </c>
      <c r="K39" s="5">
        <f>K33</f>
        <v>21290</v>
      </c>
      <c r="L39" s="5">
        <f>(L47*K46)+K44</f>
        <v>24841.841352696541</v>
      </c>
      <c r="N39" s="4">
        <f>K39-L39</f>
        <v>-3551.8413526965414</v>
      </c>
    </row>
    <row r="40" spans="1:16">
      <c r="A40" s="228">
        <f>E36*A45/100</f>
        <v>2964</v>
      </c>
      <c r="B40" s="348">
        <f>IF(B26="YES",K42,"0.00")</f>
        <v>76.7</v>
      </c>
      <c r="C40" s="348"/>
      <c r="D40" s="348"/>
      <c r="E40" s="137">
        <f>K32</f>
        <v>2684.5</v>
      </c>
      <c r="F40" s="38"/>
      <c r="G40" s="38"/>
      <c r="H40" s="42"/>
      <c r="J40" s="5" t="s">
        <v>118</v>
      </c>
      <c r="K40" s="5">
        <f>(A40)/1.2</f>
        <v>2470</v>
      </c>
      <c r="L40" s="5">
        <f>K39-L39</f>
        <v>-3551.8413526965414</v>
      </c>
      <c r="N40" s="4">
        <f>N38-N39</f>
        <v>6463.5213526965417</v>
      </c>
    </row>
    <row r="41" spans="1:16">
      <c r="A41" s="27"/>
      <c r="B41" s="28"/>
      <c r="C41" s="28"/>
      <c r="D41" s="28"/>
      <c r="E41" s="28"/>
      <c r="F41" s="38"/>
      <c r="G41" s="38"/>
      <c r="H41" s="42"/>
      <c r="J41" s="5" t="s">
        <v>363</v>
      </c>
      <c r="K41" s="5">
        <f>K35/12</f>
        <v>5.8333333333333336E-3</v>
      </c>
      <c r="L41" s="5"/>
    </row>
    <row r="42" spans="1:16">
      <c r="A42" s="49"/>
      <c r="B42" s="50"/>
      <c r="C42" s="50"/>
      <c r="D42" s="50"/>
      <c r="E42" s="50"/>
      <c r="F42" s="50"/>
      <c r="G42" s="51"/>
      <c r="H42" s="52"/>
      <c r="J42" s="5" t="s">
        <v>364</v>
      </c>
      <c r="K42" s="5">
        <f>(K32/K36/100)*C45</f>
        <v>76.7</v>
      </c>
      <c r="L42" s="5"/>
    </row>
    <row r="43" spans="1:16">
      <c r="A43" s="22"/>
      <c r="B43" s="23"/>
      <c r="C43" s="23"/>
      <c r="D43" s="23"/>
      <c r="E43" s="23"/>
      <c r="F43" s="23"/>
      <c r="G43" s="23"/>
      <c r="H43" s="24"/>
      <c r="J43" s="5" t="s">
        <v>365</v>
      </c>
      <c r="K43" s="5"/>
      <c r="L43" s="5"/>
    </row>
    <row r="44" spans="1:16">
      <c r="A44" s="53" t="s">
        <v>89</v>
      </c>
      <c r="B44" s="28"/>
      <c r="C44" s="28" t="s">
        <v>90</v>
      </c>
      <c r="D44" s="28"/>
      <c r="E44" s="28"/>
      <c r="F44" s="28"/>
      <c r="G44" s="28"/>
      <c r="H44" s="29"/>
      <c r="J44" s="5" t="s">
        <v>366</v>
      </c>
      <c r="K44" s="5">
        <f>(K40/(1+K41)^(K36+1))</f>
        <v>2003.3650246927186</v>
      </c>
      <c r="L44" s="5"/>
    </row>
    <row r="45" spans="1:16">
      <c r="A45" s="325">
        <v>100</v>
      </c>
      <c r="B45" s="28"/>
      <c r="C45" s="419">
        <v>100</v>
      </c>
      <c r="D45" s="419"/>
      <c r="E45" s="419"/>
      <c r="F45" s="28"/>
      <c r="G45" s="28"/>
      <c r="H45" s="29"/>
      <c r="J45" s="5" t="s">
        <v>367</v>
      </c>
      <c r="K45" s="5">
        <f>(K39-K44)</f>
        <v>19286.634975307283</v>
      </c>
      <c r="L45" s="5"/>
    </row>
    <row r="46" spans="1:16">
      <c r="A46" s="49"/>
      <c r="B46" s="50"/>
      <c r="C46" s="50"/>
      <c r="D46" s="50"/>
      <c r="E46" s="50"/>
      <c r="F46" s="50"/>
      <c r="G46" s="50"/>
      <c r="H46" s="57"/>
      <c r="J46" s="5" t="s">
        <v>368</v>
      </c>
      <c r="K46" s="5">
        <f>((1-(1/((1+K41)^K36)))/K41)</f>
        <v>31.575385494267696</v>
      </c>
      <c r="L46" s="5"/>
    </row>
    <row r="47" spans="1:16">
      <c r="A47" s="22"/>
      <c r="B47" s="23"/>
      <c r="C47" s="23"/>
      <c r="D47" s="23"/>
      <c r="E47" s="23"/>
      <c r="F47" s="23"/>
      <c r="G47" s="23"/>
      <c r="H47" s="24"/>
      <c r="J47" s="5" t="s">
        <v>369</v>
      </c>
      <c r="K47" s="5">
        <f>K45/K46</f>
        <v>610.8123360460205</v>
      </c>
      <c r="L47" s="5">
        <f>L49-K42</f>
        <v>723.3</v>
      </c>
      <c r="M47" s="4">
        <f>K47-L47</f>
        <v>-112.48766395397945</v>
      </c>
    </row>
    <row r="48" spans="1:16" ht="37.5">
      <c r="A48" s="58" t="s">
        <v>93</v>
      </c>
      <c r="B48" s="28"/>
      <c r="C48" s="28"/>
      <c r="D48" s="59"/>
      <c r="E48" s="59"/>
      <c r="F48" s="59"/>
      <c r="G48" s="59"/>
      <c r="H48" s="60"/>
      <c r="J48" s="48" t="s">
        <v>370</v>
      </c>
      <c r="K48" s="5">
        <f>IF(B26="YES",K47+K42,K47)</f>
        <v>687.51233604602055</v>
      </c>
      <c r="L48" s="5"/>
    </row>
    <row r="49" spans="1:35">
      <c r="A49" s="27"/>
      <c r="B49" s="61"/>
      <c r="C49" s="61"/>
      <c r="D49" s="28"/>
      <c r="E49" s="28"/>
      <c r="F49" s="28"/>
      <c r="G49" s="28"/>
      <c r="H49" s="29"/>
      <c r="J49" s="5" t="s">
        <v>371</v>
      </c>
      <c r="K49" s="5"/>
      <c r="L49" s="5">
        <v>800</v>
      </c>
    </row>
    <row r="50" spans="1:35" ht="21">
      <c r="A50" s="369" t="s">
        <v>94</v>
      </c>
      <c r="B50" s="341" t="s">
        <v>95</v>
      </c>
      <c r="C50" s="341"/>
      <c r="D50" s="341"/>
      <c r="E50" s="28"/>
      <c r="F50" s="28"/>
      <c r="G50" s="28"/>
      <c r="H50" s="29"/>
      <c r="I50" s="5"/>
      <c r="J50" s="5"/>
      <c r="K50" s="5"/>
    </row>
    <row r="51" spans="1:35" ht="19.5" customHeight="1">
      <c r="A51" s="369"/>
      <c r="B51" s="342">
        <f>K30</f>
        <v>35000</v>
      </c>
      <c r="C51" s="342"/>
      <c r="D51" s="342"/>
      <c r="E51" s="28"/>
      <c r="F51" s="28"/>
      <c r="G51" s="28"/>
      <c r="H51" s="29"/>
      <c r="I51" s="5"/>
      <c r="J51" s="5"/>
      <c r="K51" s="5"/>
    </row>
    <row r="52" spans="1:35">
      <c r="A52" s="62">
        <f>K29</f>
        <v>35</v>
      </c>
      <c r="B52" s="343">
        <f>K48</f>
        <v>687.51233604602055</v>
      </c>
      <c r="C52" s="343"/>
      <c r="D52" s="343"/>
      <c r="E52" s="28"/>
      <c r="F52" s="28"/>
      <c r="G52" s="28"/>
      <c r="H52" s="29"/>
      <c r="I52" s="5"/>
      <c r="J52" s="5"/>
      <c r="K52" s="5"/>
    </row>
    <row r="53" spans="1:35">
      <c r="A53" s="27"/>
      <c r="B53" s="28"/>
      <c r="C53" s="28"/>
      <c r="D53" s="28"/>
      <c r="E53" s="28"/>
      <c r="F53" s="28"/>
      <c r="G53" s="28"/>
      <c r="H53" s="29"/>
      <c r="I53" s="5"/>
      <c r="J53" s="5"/>
      <c r="K53" s="5"/>
    </row>
    <row r="54" spans="1:35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35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35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35">
      <c r="A57" s="22"/>
      <c r="B57" s="23"/>
      <c r="C57" s="23"/>
      <c r="D57" s="23"/>
      <c r="E57" s="63"/>
      <c r="F57" s="63"/>
      <c r="G57" s="63"/>
      <c r="H57" s="24"/>
      <c r="J57" s="22"/>
      <c r="K57" s="23"/>
      <c r="L57" s="23"/>
      <c r="M57" s="23"/>
      <c r="N57" s="63"/>
      <c r="O57" s="63"/>
      <c r="P57" s="63"/>
      <c r="Q57" s="24"/>
      <c r="S57" s="22"/>
      <c r="T57" s="23"/>
      <c r="U57" s="23"/>
      <c r="V57" s="23"/>
      <c r="W57" s="63"/>
      <c r="X57" s="63"/>
      <c r="Y57" s="63"/>
      <c r="Z57" s="24"/>
      <c r="AB57" s="22"/>
      <c r="AC57" s="23"/>
      <c r="AD57" s="23"/>
      <c r="AE57" s="23"/>
      <c r="AF57" s="63"/>
      <c r="AG57" s="63"/>
      <c r="AH57" s="63"/>
      <c r="AI57" s="24"/>
    </row>
    <row r="58" spans="1:35">
      <c r="A58" s="27" t="s">
        <v>96</v>
      </c>
      <c r="B58" s="28">
        <v>1</v>
      </c>
      <c r="C58" s="28"/>
      <c r="D58" s="28"/>
      <c r="E58" s="21"/>
      <c r="F58" s="21"/>
      <c r="G58" s="21"/>
      <c r="H58" s="29"/>
      <c r="J58" s="27" t="s">
        <v>96</v>
      </c>
      <c r="K58" s="28">
        <v>1</v>
      </c>
      <c r="L58" s="28"/>
      <c r="M58" s="28"/>
      <c r="N58" s="21"/>
      <c r="O58" s="21"/>
      <c r="P58" s="21"/>
      <c r="Q58" s="29"/>
      <c r="S58" s="27" t="s">
        <v>96</v>
      </c>
      <c r="T58" s="28">
        <v>1</v>
      </c>
      <c r="U58" s="28"/>
      <c r="V58" s="28"/>
      <c r="W58" s="21"/>
      <c r="X58" s="21"/>
      <c r="Y58" s="21"/>
      <c r="Z58" s="29"/>
      <c r="AB58" s="27" t="s">
        <v>96</v>
      </c>
      <c r="AC58" s="28">
        <v>1</v>
      </c>
      <c r="AD58" s="28"/>
      <c r="AE58" s="28"/>
      <c r="AF58" s="21"/>
      <c r="AG58" s="21"/>
      <c r="AH58" s="21"/>
      <c r="AI58" s="29"/>
    </row>
    <row r="59" spans="1:35">
      <c r="A59" s="27" t="s">
        <v>97</v>
      </c>
      <c r="B59" s="28">
        <f>K29-B58</f>
        <v>34</v>
      </c>
      <c r="C59" s="28"/>
      <c r="D59" s="28"/>
      <c r="E59" s="21"/>
      <c r="F59" s="21"/>
      <c r="G59" s="21"/>
      <c r="H59" s="29"/>
      <c r="J59" s="27" t="s">
        <v>97</v>
      </c>
      <c r="K59" s="28">
        <f>K29-K58</f>
        <v>34</v>
      </c>
      <c r="L59" s="28"/>
      <c r="M59" s="28"/>
      <c r="N59" s="21"/>
      <c r="O59" s="21"/>
      <c r="P59" s="21"/>
      <c r="Q59" s="29"/>
      <c r="S59" s="27" t="s">
        <v>97</v>
      </c>
      <c r="T59" s="28">
        <f>K29-T58</f>
        <v>34</v>
      </c>
      <c r="U59" s="28"/>
      <c r="V59" s="28"/>
      <c r="W59" s="21"/>
      <c r="X59" s="21"/>
      <c r="Y59" s="21"/>
      <c r="Z59" s="29"/>
      <c r="AB59" s="27" t="s">
        <v>97</v>
      </c>
      <c r="AC59" s="28">
        <f>K29-AC58</f>
        <v>34</v>
      </c>
      <c r="AD59" s="28"/>
      <c r="AE59" s="28"/>
      <c r="AF59" s="21"/>
      <c r="AG59" s="21"/>
      <c r="AH59" s="21"/>
      <c r="AI59" s="29"/>
    </row>
    <row r="60" spans="1:35">
      <c r="A60" s="64" t="s">
        <v>98</v>
      </c>
      <c r="B60" s="65">
        <v>10</v>
      </c>
      <c r="C60" s="28"/>
      <c r="D60" s="28"/>
      <c r="E60" s="21"/>
      <c r="F60" s="21"/>
      <c r="G60" s="21"/>
      <c r="H60" s="29"/>
      <c r="J60" s="64" t="s">
        <v>98</v>
      </c>
      <c r="K60" s="65">
        <v>20</v>
      </c>
      <c r="L60" s="28"/>
      <c r="M60" s="28"/>
      <c r="N60" s="21"/>
      <c r="O60" s="21"/>
      <c r="P60" s="21"/>
      <c r="Q60" s="29"/>
      <c r="S60" s="64" t="s">
        <v>98</v>
      </c>
      <c r="T60" s="65">
        <v>10</v>
      </c>
      <c r="U60" s="28"/>
      <c r="V60" s="28"/>
      <c r="W60" s="21"/>
      <c r="X60" s="21"/>
      <c r="Y60" s="21"/>
      <c r="Z60" s="29"/>
      <c r="AB60" s="64" t="s">
        <v>98</v>
      </c>
      <c r="AC60" s="65">
        <v>10</v>
      </c>
      <c r="AD60" s="28"/>
      <c r="AE60" s="28"/>
      <c r="AF60" s="21"/>
      <c r="AG60" s="21"/>
      <c r="AH60" s="21"/>
      <c r="AI60" s="29"/>
    </row>
    <row r="61" spans="1:35">
      <c r="A61" s="27" t="s">
        <v>27</v>
      </c>
      <c r="B61" s="28">
        <f>J18</f>
        <v>25140</v>
      </c>
      <c r="C61" s="28"/>
      <c r="D61" s="28"/>
      <c r="E61" s="21"/>
      <c r="F61" s="21"/>
      <c r="G61" s="21"/>
      <c r="H61" s="29"/>
      <c r="J61" s="27" t="s">
        <v>27</v>
      </c>
      <c r="K61" s="28">
        <f>J18</f>
        <v>25140</v>
      </c>
      <c r="L61" s="28"/>
      <c r="M61" s="28"/>
      <c r="N61" s="21"/>
      <c r="O61" s="21"/>
      <c r="P61" s="21"/>
      <c r="Q61" s="29"/>
      <c r="S61" s="27" t="s">
        <v>27</v>
      </c>
      <c r="T61" s="28">
        <f>J18</f>
        <v>25140</v>
      </c>
      <c r="U61" s="28"/>
      <c r="V61" s="28"/>
      <c r="W61" s="21"/>
      <c r="X61" s="21"/>
      <c r="Y61" s="21"/>
      <c r="Z61" s="29"/>
      <c r="AB61" s="27" t="s">
        <v>27</v>
      </c>
      <c r="AC61" s="28">
        <f>J18</f>
        <v>25140</v>
      </c>
      <c r="AD61" s="28"/>
      <c r="AE61" s="28"/>
      <c r="AF61" s="21"/>
      <c r="AG61" s="21"/>
      <c r="AH61" s="21"/>
      <c r="AI61" s="29"/>
    </row>
    <row r="62" spans="1:35">
      <c r="A62" s="66" t="s">
        <v>99</v>
      </c>
      <c r="B62" s="67">
        <v>0</v>
      </c>
      <c r="C62" s="28"/>
      <c r="D62" s="28"/>
      <c r="E62" s="21"/>
      <c r="F62" s="21"/>
      <c r="G62" s="21"/>
      <c r="H62" s="29"/>
      <c r="J62" s="66" t="s">
        <v>99</v>
      </c>
      <c r="K62" s="67">
        <v>0.06</v>
      </c>
      <c r="L62" s="28"/>
      <c r="M62" s="28"/>
      <c r="N62" s="21"/>
      <c r="O62" s="21"/>
      <c r="P62" s="21"/>
      <c r="Q62" s="29"/>
      <c r="S62" s="66" t="s">
        <v>99</v>
      </c>
      <c r="T62" s="67">
        <f>IF(AND(K29&gt;=12,K29&lt;=24),0.0105,IF(AND(K29&gt;=48),-0.0075,0))</f>
        <v>0</v>
      </c>
      <c r="U62" s="28"/>
      <c r="V62" s="28"/>
      <c r="W62" s="21"/>
      <c r="X62" s="21"/>
      <c r="Y62" s="21"/>
      <c r="Z62" s="29"/>
      <c r="AB62" s="66" t="s">
        <v>99</v>
      </c>
      <c r="AC62" s="67">
        <f>IF(AND(K29&gt;=12,K29&lt;=24),0.0105,IF(AND(K29&gt;=48),-0.0075,0))</f>
        <v>0</v>
      </c>
      <c r="AD62" s="28"/>
      <c r="AE62" s="28"/>
      <c r="AF62" s="21"/>
      <c r="AG62" s="21"/>
      <c r="AH62" s="21"/>
      <c r="AI62" s="29"/>
    </row>
    <row r="63" spans="1:35">
      <c r="A63" s="68" t="s">
        <v>100</v>
      </c>
      <c r="B63" s="69">
        <v>7.0000000000000007E-2</v>
      </c>
      <c r="C63" s="28"/>
      <c r="D63" s="28"/>
      <c r="E63" s="21"/>
      <c r="F63" s="21"/>
      <c r="G63" s="21"/>
      <c r="H63" s="29"/>
      <c r="J63" s="68" t="s">
        <v>100</v>
      </c>
      <c r="K63" s="69">
        <v>0.08</v>
      </c>
      <c r="L63" s="28"/>
      <c r="M63" s="28"/>
      <c r="N63" s="21"/>
      <c r="O63" s="21"/>
      <c r="P63" s="21"/>
      <c r="Q63" s="29"/>
      <c r="S63" s="68" t="s">
        <v>100</v>
      </c>
      <c r="T63" s="69">
        <v>5.8999999999999997E-2</v>
      </c>
      <c r="U63" s="28"/>
      <c r="V63" s="28"/>
      <c r="W63" s="21"/>
      <c r="X63" s="21"/>
      <c r="Y63" s="21"/>
      <c r="Z63" s="29"/>
      <c r="AB63" s="68" t="s">
        <v>100</v>
      </c>
      <c r="AC63" s="69">
        <v>5.8999999999999997E-2</v>
      </c>
      <c r="AD63" s="28"/>
      <c r="AE63" s="28"/>
      <c r="AF63" s="21"/>
      <c r="AG63" s="21"/>
      <c r="AH63" s="21"/>
      <c r="AI63" s="29"/>
    </row>
    <row r="64" spans="1:35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J64" s="70" t="s">
        <v>101</v>
      </c>
      <c r="K64" s="71">
        <v>0.1</v>
      </c>
      <c r="L64" s="28"/>
      <c r="M64" s="28"/>
      <c r="N64" s="21"/>
      <c r="O64" s="21"/>
      <c r="P64" s="21"/>
      <c r="Q64" s="29"/>
      <c r="S64" s="70" t="s">
        <v>101</v>
      </c>
      <c r="T64" s="71">
        <f>IF(T108=AP108,2.4%,7.2%)</f>
        <v>7.2000000000000008E-2</v>
      </c>
      <c r="U64" s="28"/>
      <c r="V64" s="28"/>
      <c r="W64" s="21"/>
      <c r="X64" s="21"/>
      <c r="Y64" s="21"/>
      <c r="Z64" s="29"/>
      <c r="AB64" s="70" t="s">
        <v>101</v>
      </c>
      <c r="AC64" s="71">
        <f>IF(AC108=AP108,2.4%,7.2%)</f>
        <v>7.2000000000000008E-2</v>
      </c>
      <c r="AD64" s="28"/>
      <c r="AE64" s="28"/>
      <c r="AF64" s="21"/>
      <c r="AG64" s="21"/>
      <c r="AH64" s="21"/>
      <c r="AI64" s="29"/>
    </row>
    <row r="65" spans="1:35">
      <c r="A65" s="49" t="s">
        <v>102</v>
      </c>
      <c r="B65" s="57">
        <f>(B89*B59)-(K47*K29)</f>
        <v>13570.409944072893</v>
      </c>
      <c r="C65" s="28"/>
      <c r="D65" s="28"/>
      <c r="E65" s="21"/>
      <c r="F65" s="21"/>
      <c r="G65" s="21"/>
      <c r="H65" s="29"/>
      <c r="J65" s="49" t="s">
        <v>102</v>
      </c>
      <c r="K65" s="57">
        <f>(K89*K59)-(K47*K29)</f>
        <v>28290.156711547887</v>
      </c>
      <c r="L65" s="28"/>
      <c r="M65" s="28"/>
      <c r="N65" s="21"/>
      <c r="O65" s="21"/>
      <c r="P65" s="21"/>
      <c r="Q65" s="29"/>
      <c r="S65" s="49" t="s">
        <v>102</v>
      </c>
      <c r="T65" s="57">
        <f>(T89*T59)-(K47*K29)</f>
        <v>7939.4288280157052</v>
      </c>
      <c r="U65" s="28"/>
      <c r="V65" s="28"/>
      <c r="W65" s="21"/>
      <c r="X65" s="21"/>
      <c r="Y65" s="21"/>
      <c r="Z65" s="29"/>
      <c r="AB65" s="49" t="s">
        <v>102</v>
      </c>
      <c r="AC65" s="57">
        <f>(AC89*AC59)-(K47*K29)</f>
        <v>705.96396861341054</v>
      </c>
      <c r="AD65" s="28"/>
      <c r="AE65" s="28"/>
      <c r="AF65" s="21"/>
      <c r="AG65" s="21"/>
      <c r="AH65" s="21"/>
      <c r="AI65" s="29"/>
    </row>
    <row r="66" spans="1:35">
      <c r="A66" s="66" t="s">
        <v>103</v>
      </c>
      <c r="B66" s="67">
        <v>0.05</v>
      </c>
      <c r="C66" s="28"/>
      <c r="D66" s="28"/>
      <c r="E66" s="21"/>
      <c r="F66" s="21"/>
      <c r="G66" s="21"/>
      <c r="H66" s="29"/>
      <c r="J66" s="66" t="s">
        <v>103</v>
      </c>
      <c r="K66" s="67">
        <v>0.05</v>
      </c>
      <c r="L66" s="28"/>
      <c r="M66" s="28"/>
      <c r="N66" s="21"/>
      <c r="O66" s="21"/>
      <c r="P66" s="21"/>
      <c r="Q66" s="29"/>
      <c r="S66" s="66" t="s">
        <v>103</v>
      </c>
      <c r="T66" s="67">
        <v>5.0000000000000001E-3</v>
      </c>
      <c r="U66" s="28"/>
      <c r="V66" s="28"/>
      <c r="W66" s="21"/>
      <c r="X66" s="21"/>
      <c r="Y66" s="21"/>
      <c r="Z66" s="29"/>
      <c r="AB66" s="66" t="s">
        <v>103</v>
      </c>
      <c r="AC66" s="67">
        <v>5.0000000000000001E-3</v>
      </c>
      <c r="AD66" s="28"/>
      <c r="AE66" s="28"/>
      <c r="AF66" s="21"/>
      <c r="AG66" s="21"/>
      <c r="AH66" s="21"/>
      <c r="AI66" s="29"/>
    </row>
    <row r="67" spans="1:35">
      <c r="A67" s="27"/>
      <c r="B67" s="72">
        <f>B66</f>
        <v>0.05</v>
      </c>
      <c r="C67" s="28"/>
      <c r="D67" s="28"/>
      <c r="E67" s="21"/>
      <c r="F67" s="21"/>
      <c r="G67" s="21"/>
      <c r="H67" s="29"/>
      <c r="J67" s="27" t="s">
        <v>104</v>
      </c>
      <c r="K67" s="72">
        <f>K66+(K66*0.25*(K29/12-1))</f>
        <v>7.3958333333333334E-2</v>
      </c>
      <c r="L67" s="28"/>
      <c r="M67" s="28"/>
      <c r="N67" s="21"/>
      <c r="O67" s="21"/>
      <c r="P67" s="21"/>
      <c r="Q67" s="29"/>
      <c r="S67" s="27" t="s">
        <v>104</v>
      </c>
      <c r="T67" s="72">
        <f>T66+(T66*0.5*(K29/12-1))</f>
        <v>9.7916666666666673E-3</v>
      </c>
      <c r="U67" s="28"/>
      <c r="V67" s="28"/>
      <c r="W67" s="21"/>
      <c r="X67" s="21"/>
      <c r="Y67" s="21"/>
      <c r="Z67" s="29"/>
      <c r="AB67" s="27" t="s">
        <v>104</v>
      </c>
      <c r="AC67" s="72">
        <f>AC66+(AC66*0.5*(K29/12-1))</f>
        <v>9.7916666666666673E-3</v>
      </c>
      <c r="AD67" s="28"/>
      <c r="AE67" s="28"/>
      <c r="AF67" s="21"/>
      <c r="AG67" s="21"/>
      <c r="AH67" s="21"/>
      <c r="AI67" s="29"/>
    </row>
    <row r="68" spans="1:35">
      <c r="A68" s="49" t="s">
        <v>105</v>
      </c>
      <c r="B68" s="57">
        <f>(G158*B67)</f>
        <v>1579.8001999999999</v>
      </c>
      <c r="C68" s="28"/>
      <c r="D68" s="28"/>
      <c r="E68" s="21"/>
      <c r="F68" s="21"/>
      <c r="G68" s="21"/>
      <c r="H68" s="29"/>
      <c r="J68" s="49" t="s">
        <v>105</v>
      </c>
      <c r="K68" s="57">
        <f>K61*K67</f>
        <v>1859.3125</v>
      </c>
      <c r="L68" s="28"/>
      <c r="M68" s="28"/>
      <c r="N68" s="21"/>
      <c r="O68" s="21"/>
      <c r="P68" s="21"/>
      <c r="Q68" s="29"/>
      <c r="S68" s="49" t="s">
        <v>105</v>
      </c>
      <c r="T68" s="57">
        <f>T61*T67</f>
        <v>246.16250000000002</v>
      </c>
      <c r="U68" s="28"/>
      <c r="V68" s="28"/>
      <c r="W68" s="21"/>
      <c r="X68" s="21"/>
      <c r="Y68" s="21"/>
      <c r="Z68" s="29"/>
      <c r="AB68" s="49" t="s">
        <v>105</v>
      </c>
      <c r="AC68" s="57">
        <f>AH158*AC67</f>
        <v>199.68635416666669</v>
      </c>
      <c r="AD68" s="28"/>
      <c r="AE68" s="28"/>
      <c r="AF68" s="21"/>
      <c r="AG68" s="21"/>
      <c r="AH68" s="21"/>
      <c r="AI68" s="29"/>
    </row>
    <row r="69" spans="1:35">
      <c r="A69" s="66" t="s">
        <v>106</v>
      </c>
      <c r="B69" s="67">
        <v>0</v>
      </c>
      <c r="C69" s="28"/>
      <c r="D69" s="28"/>
      <c r="E69" s="21"/>
      <c r="F69" s="21"/>
      <c r="G69" s="21"/>
      <c r="H69" s="29"/>
      <c r="J69" s="66" t="s">
        <v>106</v>
      </c>
      <c r="K69" s="67">
        <v>0</v>
      </c>
      <c r="L69" s="28"/>
      <c r="M69" s="28"/>
      <c r="N69" s="21"/>
      <c r="O69" s="21"/>
      <c r="P69" s="21"/>
      <c r="Q69" s="29"/>
      <c r="S69" s="66" t="s">
        <v>106</v>
      </c>
      <c r="T69" s="67">
        <v>0</v>
      </c>
      <c r="U69" s="28"/>
      <c r="V69" s="28"/>
      <c r="W69" s="21"/>
      <c r="X69" s="21"/>
      <c r="Y69" s="21"/>
      <c r="Z69" s="29"/>
      <c r="AB69" s="66" t="s">
        <v>106</v>
      </c>
      <c r="AC69" s="67">
        <v>0</v>
      </c>
      <c r="AD69" s="28"/>
      <c r="AE69" s="28"/>
      <c r="AF69" s="21"/>
      <c r="AG69" s="21"/>
      <c r="AH69" s="21"/>
      <c r="AI69" s="29"/>
    </row>
    <row r="70" spans="1:35">
      <c r="A70" s="68" t="s">
        <v>107</v>
      </c>
      <c r="B70" s="69">
        <v>0</v>
      </c>
      <c r="C70" s="28"/>
      <c r="D70" s="28"/>
      <c r="E70" s="21"/>
      <c r="F70" s="21"/>
      <c r="G70" s="21"/>
      <c r="H70" s="29"/>
      <c r="J70" s="68" t="s">
        <v>107</v>
      </c>
      <c r="K70" s="69">
        <v>0</v>
      </c>
      <c r="L70" s="28"/>
      <c r="M70" s="28"/>
      <c r="N70" s="21"/>
      <c r="O70" s="21"/>
      <c r="P70" s="21"/>
      <c r="Q70" s="29"/>
      <c r="S70" s="68" t="s">
        <v>107</v>
      </c>
      <c r="T70" s="69">
        <v>0</v>
      </c>
      <c r="U70" s="28"/>
      <c r="V70" s="28"/>
      <c r="W70" s="21"/>
      <c r="X70" s="21"/>
      <c r="Y70" s="21"/>
      <c r="Z70" s="29"/>
      <c r="AB70" s="68" t="s">
        <v>107</v>
      </c>
      <c r="AC70" s="69">
        <v>0</v>
      </c>
      <c r="AD70" s="28"/>
      <c r="AE70" s="28"/>
      <c r="AF70" s="21"/>
      <c r="AG70" s="21"/>
      <c r="AH70" s="21"/>
      <c r="AI70" s="29"/>
    </row>
    <row r="71" spans="1:35">
      <c r="A71" s="49" t="s">
        <v>108</v>
      </c>
      <c r="B71" s="73">
        <f>B69*(1+B70)</f>
        <v>0</v>
      </c>
      <c r="C71" s="28"/>
      <c r="D71" s="28"/>
      <c r="E71" s="21"/>
      <c r="F71" s="21"/>
      <c r="G71" s="21"/>
      <c r="H71" s="29"/>
      <c r="J71" s="49" t="s">
        <v>108</v>
      </c>
      <c r="K71" s="73">
        <f>K69*(1+K70)</f>
        <v>0</v>
      </c>
      <c r="L71" s="28"/>
      <c r="M71" s="28"/>
      <c r="N71" s="21"/>
      <c r="O71" s="21"/>
      <c r="P71" s="21"/>
      <c r="Q71" s="29"/>
      <c r="S71" s="49" t="s">
        <v>108</v>
      </c>
      <c r="T71" s="73">
        <f>T69*(1+T70)</f>
        <v>0</v>
      </c>
      <c r="U71" s="28"/>
      <c r="V71" s="28"/>
      <c r="W71" s="21"/>
      <c r="X71" s="21"/>
      <c r="Y71" s="21"/>
      <c r="Z71" s="29"/>
      <c r="AB71" s="49" t="s">
        <v>108</v>
      </c>
      <c r="AC71" s="73">
        <f>AC69*(1+AC70)</f>
        <v>0</v>
      </c>
      <c r="AD71" s="28"/>
      <c r="AE71" s="28"/>
      <c r="AF71" s="21"/>
      <c r="AG71" s="21"/>
      <c r="AH71" s="21"/>
      <c r="AI71" s="29"/>
    </row>
    <row r="72" spans="1:35">
      <c r="A72" s="66" t="s">
        <v>109</v>
      </c>
      <c r="B72" s="74">
        <v>0</v>
      </c>
      <c r="C72" s="28"/>
      <c r="D72" s="28"/>
      <c r="E72" s="21"/>
      <c r="F72" s="21"/>
      <c r="G72" s="21"/>
      <c r="H72" s="29"/>
      <c r="J72" s="66" t="s">
        <v>109</v>
      </c>
      <c r="K72" s="74">
        <v>0</v>
      </c>
      <c r="L72" s="28"/>
      <c r="M72" s="28"/>
      <c r="N72" s="21"/>
      <c r="O72" s="21"/>
      <c r="P72" s="21"/>
      <c r="Q72" s="29"/>
      <c r="S72" s="66" t="s">
        <v>109</v>
      </c>
      <c r="T72" s="74">
        <v>0</v>
      </c>
      <c r="U72" s="28"/>
      <c r="V72" s="28"/>
      <c r="W72" s="21"/>
      <c r="X72" s="21"/>
      <c r="Y72" s="21"/>
      <c r="Z72" s="29"/>
      <c r="AB72" s="66" t="s">
        <v>109</v>
      </c>
      <c r="AC72" s="74">
        <v>0</v>
      </c>
      <c r="AD72" s="28"/>
      <c r="AE72" s="28"/>
      <c r="AF72" s="21"/>
      <c r="AG72" s="21"/>
      <c r="AH72" s="21"/>
      <c r="AI72" s="29"/>
    </row>
    <row r="73" spans="1:35">
      <c r="A73" s="68" t="s">
        <v>110</v>
      </c>
      <c r="B73" s="65">
        <v>0.05</v>
      </c>
      <c r="C73" s="28"/>
      <c r="D73" s="28"/>
      <c r="E73" s="21"/>
      <c r="F73" s="21"/>
      <c r="G73" s="21"/>
      <c r="H73" s="29"/>
      <c r="J73" s="68" t="s">
        <v>110</v>
      </c>
      <c r="K73" s="65">
        <v>0</v>
      </c>
      <c r="L73" s="28"/>
      <c r="M73" s="28"/>
      <c r="N73" s="21"/>
      <c r="O73" s="21"/>
      <c r="P73" s="21"/>
      <c r="Q73" s="29"/>
      <c r="S73" s="68" t="s">
        <v>110</v>
      </c>
      <c r="T73" s="65">
        <v>0</v>
      </c>
      <c r="U73" s="28"/>
      <c r="V73" s="28"/>
      <c r="W73" s="21"/>
      <c r="X73" s="21"/>
      <c r="Y73" s="21"/>
      <c r="Z73" s="29"/>
      <c r="AB73" s="68" t="s">
        <v>110</v>
      </c>
      <c r="AC73" s="65">
        <v>0</v>
      </c>
      <c r="AD73" s="28"/>
      <c r="AE73" s="28"/>
      <c r="AF73" s="21"/>
      <c r="AG73" s="21"/>
      <c r="AH73" s="21"/>
      <c r="AI73" s="29"/>
    </row>
    <row r="74" spans="1:35">
      <c r="A74" s="49" t="s">
        <v>111</v>
      </c>
      <c r="B74" s="57">
        <f>B73*B29</f>
        <v>0</v>
      </c>
      <c r="C74" s="28"/>
      <c r="D74" s="28">
        <f>B74+B72</f>
        <v>0</v>
      </c>
      <c r="E74" s="21"/>
      <c r="F74" s="21"/>
      <c r="G74" s="21"/>
      <c r="H74" s="29"/>
      <c r="J74" s="49" t="s">
        <v>111</v>
      </c>
      <c r="K74" s="57">
        <f>K73*K29</f>
        <v>0</v>
      </c>
      <c r="L74" s="28"/>
      <c r="M74" s="28">
        <f>K74+K72</f>
        <v>0</v>
      </c>
      <c r="N74" s="21"/>
      <c r="O74" s="21"/>
      <c r="P74" s="21"/>
      <c r="Q74" s="29"/>
      <c r="S74" s="49" t="s">
        <v>111</v>
      </c>
      <c r="T74" s="57">
        <f>T73*K29</f>
        <v>0</v>
      </c>
      <c r="U74" s="28"/>
      <c r="V74" s="28">
        <f>T74+T72</f>
        <v>0</v>
      </c>
      <c r="W74" s="21"/>
      <c r="X74" s="21"/>
      <c r="Y74" s="21"/>
      <c r="Z74" s="29"/>
      <c r="AB74" s="49" t="s">
        <v>111</v>
      </c>
      <c r="AC74" s="57">
        <f>AC73*K29</f>
        <v>0</v>
      </c>
      <c r="AD74" s="28"/>
      <c r="AE74" s="28">
        <f>AC74+AC72</f>
        <v>0</v>
      </c>
      <c r="AF74" s="21"/>
      <c r="AG74" s="21"/>
      <c r="AH74" s="21"/>
      <c r="AI74" s="29"/>
    </row>
    <row r="75" spans="1:35">
      <c r="A75" s="68" t="s">
        <v>112</v>
      </c>
      <c r="B75" s="65">
        <v>0</v>
      </c>
      <c r="C75" s="28"/>
      <c r="D75" s="28">
        <f>B75</f>
        <v>0</v>
      </c>
      <c r="E75" s="21"/>
      <c r="F75" s="21"/>
      <c r="G75" s="21"/>
      <c r="H75" s="29"/>
      <c r="J75" s="68" t="s">
        <v>112</v>
      </c>
      <c r="K75" s="65">
        <v>0</v>
      </c>
      <c r="L75" s="28"/>
      <c r="M75" s="28">
        <f>K75</f>
        <v>0</v>
      </c>
      <c r="N75" s="21"/>
      <c r="O75" s="21"/>
      <c r="P75" s="21"/>
      <c r="Q75" s="29"/>
      <c r="S75" s="68" t="s">
        <v>112</v>
      </c>
      <c r="T75" s="65">
        <v>0</v>
      </c>
      <c r="U75" s="28"/>
      <c r="V75" s="28">
        <f>T75</f>
        <v>0</v>
      </c>
      <c r="W75" s="21"/>
      <c r="X75" s="21"/>
      <c r="Y75" s="21"/>
      <c r="Z75" s="29"/>
      <c r="AB75" s="68" t="s">
        <v>112</v>
      </c>
      <c r="AC75" s="65">
        <v>0</v>
      </c>
      <c r="AD75" s="28"/>
      <c r="AE75" s="28">
        <f>AC75</f>
        <v>0</v>
      </c>
      <c r="AF75" s="21"/>
      <c r="AG75" s="21"/>
      <c r="AH75" s="21"/>
      <c r="AI75" s="29"/>
    </row>
    <row r="76" spans="1:35">
      <c r="A76" s="70" t="s">
        <v>113</v>
      </c>
      <c r="B76" s="75">
        <v>0</v>
      </c>
      <c r="C76" s="28"/>
      <c r="D76" s="28">
        <f>B76</f>
        <v>0</v>
      </c>
      <c r="E76" s="21"/>
      <c r="F76" s="21"/>
      <c r="G76" s="21"/>
      <c r="H76" s="29"/>
      <c r="J76" s="70" t="s">
        <v>113</v>
      </c>
      <c r="K76" s="75">
        <v>0</v>
      </c>
      <c r="L76" s="28"/>
      <c r="M76" s="28">
        <f>K76</f>
        <v>0</v>
      </c>
      <c r="N76" s="21"/>
      <c r="O76" s="21"/>
      <c r="P76" s="21"/>
      <c r="Q76" s="29"/>
      <c r="S76" s="70" t="s">
        <v>113</v>
      </c>
      <c r="T76" s="75">
        <v>0</v>
      </c>
      <c r="U76" s="28"/>
      <c r="V76" s="28">
        <f>T76</f>
        <v>0</v>
      </c>
      <c r="W76" s="21"/>
      <c r="X76" s="21"/>
      <c r="Y76" s="21"/>
      <c r="Z76" s="29"/>
      <c r="AB76" s="70" t="s">
        <v>113</v>
      </c>
      <c r="AC76" s="75">
        <v>0</v>
      </c>
      <c r="AD76" s="28"/>
      <c r="AE76" s="28">
        <f>AC76</f>
        <v>0</v>
      </c>
      <c r="AF76" s="21"/>
      <c r="AG76" s="21"/>
      <c r="AH76" s="21"/>
      <c r="AI76" s="29"/>
    </row>
    <row r="77" spans="1:35">
      <c r="A77" s="76" t="s">
        <v>114</v>
      </c>
      <c r="B77" s="77">
        <f>SUM(D65:D76)</f>
        <v>0</v>
      </c>
      <c r="C77" s="28"/>
      <c r="D77" s="28"/>
      <c r="E77" s="21"/>
      <c r="F77" s="21"/>
      <c r="G77" s="21"/>
      <c r="H77" s="29"/>
      <c r="J77" s="76" t="s">
        <v>114</v>
      </c>
      <c r="K77" s="77">
        <f>SUM(M65:M76)</f>
        <v>0</v>
      </c>
      <c r="L77" s="28"/>
      <c r="M77" s="28"/>
      <c r="N77" s="21"/>
      <c r="O77" s="21"/>
      <c r="P77" s="21"/>
      <c r="Q77" s="29"/>
      <c r="S77" s="76" t="s">
        <v>114</v>
      </c>
      <c r="T77" s="77">
        <f>SUM(V65:V76)</f>
        <v>0</v>
      </c>
      <c r="U77" s="28"/>
      <c r="V77" s="28"/>
      <c r="W77" s="21"/>
      <c r="X77" s="21"/>
      <c r="Y77" s="21"/>
      <c r="Z77" s="29"/>
      <c r="AB77" s="76" t="s">
        <v>114</v>
      </c>
      <c r="AC77" s="77">
        <f>SUM(AE65:AE76)</f>
        <v>0</v>
      </c>
      <c r="AD77" s="28"/>
      <c r="AE77" s="28"/>
      <c r="AF77" s="21"/>
      <c r="AG77" s="21"/>
      <c r="AH77" s="21"/>
      <c r="AI77" s="29"/>
    </row>
    <row r="78" spans="1:35">
      <c r="A78" s="27" t="s">
        <v>115</v>
      </c>
      <c r="B78" s="29">
        <f>B77/K29</f>
        <v>0</v>
      </c>
      <c r="C78" s="28"/>
      <c r="D78" s="28"/>
      <c r="E78" s="21"/>
      <c r="F78" s="21"/>
      <c r="G78" s="21"/>
      <c r="H78" s="29"/>
      <c r="J78" s="27" t="s">
        <v>115</v>
      </c>
      <c r="K78" s="29">
        <f>K77/K29</f>
        <v>0</v>
      </c>
      <c r="L78" s="28"/>
      <c r="M78" s="28"/>
      <c r="N78" s="21"/>
      <c r="O78" s="21"/>
      <c r="P78" s="21"/>
      <c r="Q78" s="29"/>
      <c r="S78" s="27" t="s">
        <v>115</v>
      </c>
      <c r="T78" s="29">
        <f>T77/K29</f>
        <v>0</v>
      </c>
      <c r="U78" s="28"/>
      <c r="V78" s="28"/>
      <c r="W78" s="21"/>
      <c r="X78" s="21"/>
      <c r="Y78" s="21"/>
      <c r="Z78" s="29"/>
      <c r="AB78" s="27" t="s">
        <v>115</v>
      </c>
      <c r="AC78" s="29">
        <f>AC77/K29</f>
        <v>0</v>
      </c>
      <c r="AD78" s="28"/>
      <c r="AE78" s="28"/>
      <c r="AF78" s="21"/>
      <c r="AG78" s="21"/>
      <c r="AH78" s="21"/>
      <c r="AI78" s="29"/>
    </row>
    <row r="79" spans="1:35">
      <c r="A79" s="78" t="s">
        <v>116</v>
      </c>
      <c r="B79" s="52">
        <f>K47</f>
        <v>610.8123360460205</v>
      </c>
      <c r="C79" s="28"/>
      <c r="D79" s="28"/>
      <c r="E79" s="21"/>
      <c r="F79" s="21"/>
      <c r="G79" s="21"/>
      <c r="H79" s="29"/>
      <c r="J79" s="78" t="s">
        <v>116</v>
      </c>
      <c r="K79" s="52">
        <f>K47</f>
        <v>610.8123360460205</v>
      </c>
      <c r="L79" s="28"/>
      <c r="M79" s="28"/>
      <c r="N79" s="21"/>
      <c r="O79" s="21"/>
      <c r="P79" s="21"/>
      <c r="Q79" s="29"/>
      <c r="S79" s="78" t="s">
        <v>116</v>
      </c>
      <c r="T79" s="52">
        <f>B52</f>
        <v>687.51233604602055</v>
      </c>
      <c r="U79" s="28"/>
      <c r="V79" s="28"/>
      <c r="W79" s="21"/>
      <c r="X79" s="21"/>
      <c r="Y79" s="21"/>
      <c r="Z79" s="29"/>
      <c r="AB79" s="78" t="s">
        <v>116</v>
      </c>
      <c r="AC79" s="52">
        <f>B52</f>
        <v>687.51233604602055</v>
      </c>
      <c r="AD79" s="28"/>
      <c r="AE79" s="28"/>
      <c r="AF79" s="21"/>
      <c r="AG79" s="21"/>
      <c r="AH79" s="21"/>
      <c r="AI79" s="29"/>
    </row>
    <row r="80" spans="1:35">
      <c r="A80" s="27"/>
      <c r="B80" s="28"/>
      <c r="C80" s="28"/>
      <c r="D80" s="28"/>
      <c r="E80" s="21"/>
      <c r="F80" s="21"/>
      <c r="G80" s="21"/>
      <c r="H80" s="29"/>
      <c r="J80" s="27"/>
      <c r="K80" s="28"/>
      <c r="L80" s="28"/>
      <c r="M80" s="28"/>
      <c r="N80" s="21"/>
      <c r="O80" s="21"/>
      <c r="P80" s="21"/>
      <c r="Q80" s="29"/>
      <c r="S80" s="27"/>
      <c r="T80" s="28"/>
      <c r="U80" s="28"/>
      <c r="V80" s="28"/>
      <c r="W80" s="21"/>
      <c r="X80" s="21"/>
      <c r="Y80" s="21"/>
      <c r="Z80" s="29"/>
      <c r="AB80" s="27"/>
      <c r="AC80" s="28"/>
      <c r="AD80" s="28"/>
      <c r="AE80" s="28"/>
      <c r="AF80" s="21"/>
      <c r="AG80" s="21"/>
      <c r="AH80" s="21"/>
      <c r="AI80" s="29"/>
    </row>
    <row r="81" spans="1:35">
      <c r="A81" s="22" t="s">
        <v>117</v>
      </c>
      <c r="B81" s="24">
        <f>G158</f>
        <v>31596.003999999997</v>
      </c>
      <c r="C81" s="28"/>
      <c r="D81" s="28"/>
      <c r="E81" s="21"/>
      <c r="F81" s="22" t="s">
        <v>117</v>
      </c>
      <c r="G81" s="24">
        <f>G158</f>
        <v>31596.003999999997</v>
      </c>
      <c r="H81" s="29"/>
      <c r="J81" s="22" t="s">
        <v>117</v>
      </c>
      <c r="K81" s="24">
        <f>P158</f>
        <v>36519.004000000001</v>
      </c>
      <c r="L81" s="28"/>
      <c r="M81" s="28"/>
      <c r="N81" s="21"/>
      <c r="O81" s="21"/>
      <c r="P81" s="21"/>
      <c r="Q81" s="29"/>
      <c r="S81" s="22" t="s">
        <v>117</v>
      </c>
      <c r="T81" s="24">
        <f>Y158</f>
        <v>26409.235000000001</v>
      </c>
      <c r="U81" s="28"/>
      <c r="V81" s="28"/>
      <c r="W81" s="21"/>
      <c r="X81" s="21"/>
      <c r="Y81" s="21"/>
      <c r="Z81" s="29"/>
      <c r="AB81" s="22" t="s">
        <v>117</v>
      </c>
      <c r="AC81" s="24">
        <f>AH158</f>
        <v>20393.5</v>
      </c>
      <c r="AD81" s="28"/>
      <c r="AE81" s="28"/>
      <c r="AF81" s="21"/>
      <c r="AG81" s="21"/>
      <c r="AH81" s="21"/>
      <c r="AI81" s="29"/>
    </row>
    <row r="82" spans="1:35">
      <c r="A82" s="27" t="s">
        <v>118</v>
      </c>
      <c r="B82" s="29">
        <f>IF(A111="YES",A40,0)</f>
        <v>2964</v>
      </c>
      <c r="C82" s="28"/>
      <c r="D82" s="28"/>
      <c r="E82" s="21"/>
      <c r="F82" s="27" t="s">
        <v>118</v>
      </c>
      <c r="G82" s="29">
        <f>IF(A111="YES",A40,0)</f>
        <v>2964</v>
      </c>
      <c r="H82" s="29"/>
      <c r="J82" s="27" t="s">
        <v>118</v>
      </c>
      <c r="K82" s="29">
        <f>IF(J111="YES",A40,0)</f>
        <v>0</v>
      </c>
      <c r="L82" s="28"/>
      <c r="M82" s="28"/>
      <c r="N82" s="21"/>
      <c r="O82" s="21"/>
      <c r="P82" s="21"/>
      <c r="Q82" s="29"/>
      <c r="S82" s="27" t="s">
        <v>118</v>
      </c>
      <c r="T82" s="29">
        <f>A40</f>
        <v>2964</v>
      </c>
      <c r="U82" s="28"/>
      <c r="V82" s="28"/>
      <c r="W82" s="21"/>
      <c r="X82" s="21"/>
      <c r="Y82" s="21"/>
      <c r="Z82" s="29"/>
      <c r="AB82" s="27" t="s">
        <v>118</v>
      </c>
      <c r="AC82" s="29">
        <f>A40</f>
        <v>2964</v>
      </c>
      <c r="AD82" s="28"/>
      <c r="AE82" s="28"/>
      <c r="AF82" s="21"/>
      <c r="AG82" s="21"/>
      <c r="AH82" s="21"/>
      <c r="AI82" s="29"/>
    </row>
    <row r="83" spans="1:35">
      <c r="A83" s="27" t="s">
        <v>119</v>
      </c>
      <c r="B83" s="72">
        <f>B62+B63+B64</f>
        <v>0.12000000000000001</v>
      </c>
      <c r="C83" s="28"/>
      <c r="D83" s="28"/>
      <c r="E83" s="21"/>
      <c r="F83" s="27" t="s">
        <v>119</v>
      </c>
      <c r="G83" s="79">
        <f>B63</f>
        <v>7.0000000000000007E-2</v>
      </c>
      <c r="H83" s="29"/>
      <c r="J83" s="27" t="s">
        <v>119</v>
      </c>
      <c r="K83" s="72">
        <f>K62+K63+K64</f>
        <v>0.24000000000000002</v>
      </c>
      <c r="L83" s="28"/>
      <c r="M83" s="28"/>
      <c r="N83" s="21"/>
      <c r="O83" s="21"/>
      <c r="P83" s="21"/>
      <c r="Q83" s="29"/>
      <c r="S83" s="27" t="s">
        <v>119</v>
      </c>
      <c r="T83" s="72">
        <f>T62+T63+T64</f>
        <v>0.13100000000000001</v>
      </c>
      <c r="U83" s="28"/>
      <c r="V83" s="28"/>
      <c r="W83" s="21"/>
      <c r="X83" s="21"/>
      <c r="Y83" s="21"/>
      <c r="Z83" s="29"/>
      <c r="AB83" s="27" t="s">
        <v>119</v>
      </c>
      <c r="AC83" s="72">
        <f>AC62+AC63+AC64</f>
        <v>0.13100000000000001</v>
      </c>
      <c r="AD83" s="28"/>
      <c r="AE83" s="28"/>
      <c r="AF83" s="21"/>
      <c r="AG83" s="21"/>
      <c r="AH83" s="21"/>
      <c r="AI83" s="29"/>
    </row>
    <row r="84" spans="1:35">
      <c r="A84" s="27" t="s">
        <v>120</v>
      </c>
      <c r="B84" s="72">
        <f>B83/12</f>
        <v>0.01</v>
      </c>
      <c r="C84" s="28"/>
      <c r="D84" s="28"/>
      <c r="E84" s="21"/>
      <c r="F84" s="27" t="s">
        <v>120</v>
      </c>
      <c r="G84" s="72">
        <f>G83/12</f>
        <v>5.8333333333333336E-3</v>
      </c>
      <c r="H84" s="29"/>
      <c r="J84" s="27" t="s">
        <v>120</v>
      </c>
      <c r="K84" s="72">
        <f>K83/12</f>
        <v>0.02</v>
      </c>
      <c r="L84" s="28"/>
      <c r="M84" s="28"/>
      <c r="N84" s="21"/>
      <c r="O84" s="21"/>
      <c r="P84" s="21"/>
      <c r="Q84" s="29"/>
      <c r="S84" s="27" t="s">
        <v>120</v>
      </c>
      <c r="T84" s="72">
        <f>T83/12</f>
        <v>1.0916666666666667E-2</v>
      </c>
      <c r="U84" s="28"/>
      <c r="V84" s="28"/>
      <c r="W84" s="21"/>
      <c r="X84" s="21"/>
      <c r="Y84" s="21"/>
      <c r="Z84" s="29"/>
      <c r="AB84" s="27" t="s">
        <v>120</v>
      </c>
      <c r="AC84" s="72">
        <f>AC83/12</f>
        <v>1.0916666666666667E-2</v>
      </c>
      <c r="AD84" s="28"/>
      <c r="AE84" s="28"/>
      <c r="AF84" s="21"/>
      <c r="AG84" s="21"/>
      <c r="AH84" s="21"/>
      <c r="AI84" s="29"/>
    </row>
    <row r="85" spans="1:35">
      <c r="A85" s="27" t="s">
        <v>121</v>
      </c>
      <c r="B85" s="29">
        <f>IF(B82=0,(B59+B58),(B59))</f>
        <v>34</v>
      </c>
      <c r="C85" s="28"/>
      <c r="D85" s="28"/>
      <c r="E85" s="21"/>
      <c r="F85" s="27" t="s">
        <v>121</v>
      </c>
      <c r="G85" s="29">
        <f>IF(G82=0,(B59+B58),(B59))</f>
        <v>34</v>
      </c>
      <c r="H85" s="29"/>
      <c r="J85" s="27" t="s">
        <v>121</v>
      </c>
      <c r="K85" s="29">
        <f>IF(K82=0,(K59+K58),(K59))</f>
        <v>35</v>
      </c>
      <c r="L85" s="28"/>
      <c r="M85" s="28"/>
      <c r="N85" s="21"/>
      <c r="O85" s="21"/>
      <c r="P85" s="21"/>
      <c r="Q85" s="29"/>
      <c r="S85" s="27" t="s">
        <v>121</v>
      </c>
      <c r="T85" s="29">
        <f>T59</f>
        <v>34</v>
      </c>
      <c r="U85" s="28"/>
      <c r="V85" s="28"/>
      <c r="W85" s="21"/>
      <c r="X85" s="21"/>
      <c r="Y85" s="21"/>
      <c r="Z85" s="29"/>
      <c r="AB85" s="27" t="s">
        <v>121</v>
      </c>
      <c r="AC85" s="29">
        <f>AC59</f>
        <v>34</v>
      </c>
      <c r="AD85" s="28"/>
      <c r="AE85" s="28"/>
      <c r="AF85" s="21"/>
      <c r="AG85" s="21"/>
      <c r="AH85" s="21"/>
      <c r="AI85" s="29"/>
    </row>
    <row r="86" spans="1:35">
      <c r="A86" s="27" t="s">
        <v>122</v>
      </c>
      <c r="B86" s="29">
        <f>(B82/((1+B84)^(B85+1)))</f>
        <v>2092.3296862021471</v>
      </c>
      <c r="C86" s="28"/>
      <c r="D86" s="28"/>
      <c r="E86" s="21"/>
      <c r="F86" s="27" t="s">
        <v>122</v>
      </c>
      <c r="G86" s="29">
        <f>(G82/((1+G84)^(G85+1)))</f>
        <v>2418.0615848041116</v>
      </c>
      <c r="H86" s="29"/>
      <c r="J86" s="27" t="s">
        <v>122</v>
      </c>
      <c r="K86" s="29">
        <f>(K82/((1+K84)^(K85+1)))</f>
        <v>0</v>
      </c>
      <c r="L86" s="28"/>
      <c r="M86" s="28"/>
      <c r="N86" s="21"/>
      <c r="O86" s="21"/>
      <c r="P86" s="21"/>
      <c r="Q86" s="29"/>
      <c r="S86" s="27" t="s">
        <v>122</v>
      </c>
      <c r="T86" s="29">
        <f>(T82/((1+T84)^(T85+1)))</f>
        <v>2026.9391705142555</v>
      </c>
      <c r="U86" s="28"/>
      <c r="V86" s="28"/>
      <c r="W86" s="21"/>
      <c r="X86" s="21"/>
      <c r="Y86" s="21"/>
      <c r="Z86" s="29"/>
      <c r="AB86" s="27" t="s">
        <v>122</v>
      </c>
      <c r="AC86" s="29">
        <f>(AC82/((1+AC84)^(AC85+1)))</f>
        <v>2026.9391705142555</v>
      </c>
      <c r="AD86" s="28"/>
      <c r="AE86" s="28"/>
      <c r="AF86" s="21"/>
      <c r="AG86" s="21"/>
      <c r="AH86" s="21"/>
      <c r="AI86" s="29"/>
    </row>
    <row r="87" spans="1:35">
      <c r="A87" s="27" t="s">
        <v>123</v>
      </c>
      <c r="B87" s="29">
        <f>((1-(1/((1+B84)^B85)))/B84)</f>
        <v>28.702665888523338</v>
      </c>
      <c r="C87" s="28"/>
      <c r="D87" s="28"/>
      <c r="E87" s="21"/>
      <c r="F87" s="27" t="s">
        <v>123</v>
      </c>
      <c r="G87" s="29">
        <f>((1-(1/((1+G84)^G85)))/G84)</f>
        <v>30.759575242984265</v>
      </c>
      <c r="H87" s="29"/>
      <c r="J87" s="27" t="s">
        <v>123</v>
      </c>
      <c r="K87" s="29">
        <f>((1-(1/((1+K84)^K85)))/K84)</f>
        <v>24.998619332035133</v>
      </c>
      <c r="L87" s="28"/>
      <c r="M87" s="28"/>
      <c r="N87" s="21"/>
      <c r="O87" s="21"/>
      <c r="P87" s="21"/>
      <c r="Q87" s="29"/>
      <c r="S87" s="27" t="s">
        <v>123</v>
      </c>
      <c r="T87" s="29">
        <f>((1-(1/((1+T84)^T85)))/T84)</f>
        <v>28.276212572476751</v>
      </c>
      <c r="U87" s="28"/>
      <c r="V87" s="28"/>
      <c r="W87" s="21"/>
      <c r="X87" s="21"/>
      <c r="Y87" s="21"/>
      <c r="Z87" s="29"/>
      <c r="AB87" s="27" t="s">
        <v>123</v>
      </c>
      <c r="AC87" s="29">
        <f>((1-(1/((1+AC84)^AC85)))/AC84)</f>
        <v>28.276212572476751</v>
      </c>
      <c r="AD87" s="28"/>
      <c r="AE87" s="28"/>
      <c r="AF87" s="21"/>
      <c r="AG87" s="21"/>
      <c r="AH87" s="21"/>
      <c r="AI87" s="29"/>
    </row>
    <row r="88" spans="1:35">
      <c r="A88" s="27" t="s">
        <v>124</v>
      </c>
      <c r="B88" s="29">
        <f>B81-B86</f>
        <v>29503.674313797848</v>
      </c>
      <c r="C88" s="28"/>
      <c r="D88" s="28"/>
      <c r="E88" s="21"/>
      <c r="F88" s="27" t="s">
        <v>124</v>
      </c>
      <c r="G88" s="29">
        <f>G81-G86</f>
        <v>29177.942415195885</v>
      </c>
      <c r="H88" s="29"/>
      <c r="J88" s="27" t="s">
        <v>124</v>
      </c>
      <c r="K88" s="29">
        <f>K81-K86</f>
        <v>36519.004000000001</v>
      </c>
      <c r="L88" s="28"/>
      <c r="M88" s="28"/>
      <c r="N88" s="21"/>
      <c r="O88" s="21"/>
      <c r="P88" s="21"/>
      <c r="Q88" s="29"/>
      <c r="S88" s="27" t="s">
        <v>124</v>
      </c>
      <c r="T88" s="29">
        <f>T81-T86</f>
        <v>24382.295829485745</v>
      </c>
      <c r="U88" s="28"/>
      <c r="V88" s="28"/>
      <c r="W88" s="21"/>
      <c r="X88" s="21"/>
      <c r="Y88" s="21"/>
      <c r="Z88" s="29"/>
      <c r="AB88" s="27" t="s">
        <v>124</v>
      </c>
      <c r="AC88" s="29">
        <f>AC81-AC86</f>
        <v>18366.560829485745</v>
      </c>
      <c r="AD88" s="28"/>
      <c r="AE88" s="28"/>
      <c r="AF88" s="21"/>
      <c r="AG88" s="21"/>
      <c r="AH88" s="21"/>
      <c r="AI88" s="29"/>
    </row>
    <row r="89" spans="1:35">
      <c r="A89" s="27" t="s">
        <v>125</v>
      </c>
      <c r="B89" s="29">
        <f>(B88/B87)</f>
        <v>1027.9071089906945</v>
      </c>
      <c r="C89" s="28"/>
      <c r="D89" s="28"/>
      <c r="E89" s="21"/>
      <c r="F89" s="27" t="s">
        <v>125</v>
      </c>
      <c r="G89" s="29">
        <f>(G88/G87)</f>
        <v>948.5807975144545</v>
      </c>
      <c r="H89" s="29"/>
      <c r="J89" s="27" t="s">
        <v>125</v>
      </c>
      <c r="K89" s="29">
        <f>(K88/K87)</f>
        <v>1460.8408374458413</v>
      </c>
      <c r="L89" s="28"/>
      <c r="M89" s="28"/>
      <c r="N89" s="21"/>
      <c r="O89" s="21"/>
      <c r="P89" s="21"/>
      <c r="Q89" s="29"/>
      <c r="S89" s="27" t="s">
        <v>125</v>
      </c>
      <c r="T89" s="29">
        <f>(T88/T87)</f>
        <v>862.29001734195367</v>
      </c>
      <c r="U89" s="28"/>
      <c r="V89" s="28"/>
      <c r="W89" s="21"/>
      <c r="X89" s="21"/>
      <c r="Y89" s="21"/>
      <c r="Z89" s="29"/>
      <c r="AB89" s="27" t="s">
        <v>125</v>
      </c>
      <c r="AC89" s="29">
        <f>(AC88/AC87)</f>
        <v>649.54105088894494</v>
      </c>
      <c r="AD89" s="28"/>
      <c r="AE89" s="28"/>
      <c r="AF89" s="21"/>
      <c r="AG89" s="21"/>
      <c r="AH89" s="21"/>
      <c r="AI89" s="29"/>
    </row>
    <row r="90" spans="1:35">
      <c r="A90" s="27" t="s">
        <v>126</v>
      </c>
      <c r="B90" s="29">
        <f>((B89*(B85))+B77)</f>
        <v>34948.841705683612</v>
      </c>
      <c r="C90" s="28"/>
      <c r="D90" s="28"/>
      <c r="E90" s="21"/>
      <c r="F90" s="27" t="s">
        <v>126</v>
      </c>
      <c r="G90" s="29">
        <f>((G89*(G85))+G77)</f>
        <v>32251.747115491453</v>
      </c>
      <c r="H90" s="29"/>
      <c r="J90" s="27" t="s">
        <v>126</v>
      </c>
      <c r="K90" s="29">
        <f>((K89*(K85))+K77)</f>
        <v>51129.42931060445</v>
      </c>
      <c r="L90" s="28"/>
      <c r="M90" s="28"/>
      <c r="N90" s="21"/>
      <c r="O90" s="21"/>
      <c r="P90" s="21"/>
      <c r="Q90" s="29"/>
      <c r="S90" s="27" t="s">
        <v>126</v>
      </c>
      <c r="T90" s="29">
        <f>(T89*(T85))+T77</f>
        <v>29317.860589626423</v>
      </c>
      <c r="U90" s="28"/>
      <c r="V90" s="28"/>
      <c r="W90" s="21"/>
      <c r="X90" s="21"/>
      <c r="Y90" s="21"/>
      <c r="Z90" s="29"/>
      <c r="AB90" s="27" t="s">
        <v>126</v>
      </c>
      <c r="AC90" s="29">
        <f>(AC89*(AC59))+AC77</f>
        <v>22084.395730224129</v>
      </c>
      <c r="AD90" s="28"/>
      <c r="AE90" s="28"/>
      <c r="AF90" s="21"/>
      <c r="AG90" s="21"/>
      <c r="AH90" s="21"/>
      <c r="AI90" s="29"/>
    </row>
    <row r="91" spans="1:35">
      <c r="A91" s="27" t="s">
        <v>127</v>
      </c>
      <c r="B91" s="29">
        <f>(B90/(1-B71))*B71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  <c r="J91" s="27" t="s">
        <v>127</v>
      </c>
      <c r="K91" s="29">
        <f>(K90/(1-K71))*K71</f>
        <v>0</v>
      </c>
      <c r="L91" s="28"/>
      <c r="M91" s="28"/>
      <c r="N91" s="21"/>
      <c r="O91" s="21"/>
      <c r="P91" s="21"/>
      <c r="Q91" s="29"/>
      <c r="S91" s="27" t="s">
        <v>127</v>
      </c>
      <c r="T91" s="29">
        <f>(T90/(1-T71))*T71</f>
        <v>0</v>
      </c>
      <c r="U91" s="28"/>
      <c r="V91" s="28"/>
      <c r="W91" s="21"/>
      <c r="X91" s="21"/>
      <c r="Y91" s="21"/>
      <c r="Z91" s="29"/>
      <c r="AB91" s="27" t="s">
        <v>127</v>
      </c>
      <c r="AC91" s="29">
        <f>(AC90/(1-AC71))*AC71</f>
        <v>0</v>
      </c>
      <c r="AD91" s="28"/>
      <c r="AE91" s="28"/>
      <c r="AF91" s="21"/>
      <c r="AG91" s="21"/>
      <c r="AH91" s="21"/>
      <c r="AI91" s="29"/>
    </row>
    <row r="92" spans="1:35">
      <c r="A92" s="49" t="s">
        <v>128</v>
      </c>
      <c r="B92" s="57">
        <f>(B90+B91)</f>
        <v>34948.841705683612</v>
      </c>
      <c r="C92" s="28"/>
      <c r="D92" s="28"/>
      <c r="E92" s="21"/>
      <c r="F92" s="49" t="s">
        <v>128</v>
      </c>
      <c r="G92" s="57">
        <f>(G90+G91)</f>
        <v>32251.747115491453</v>
      </c>
      <c r="H92" s="29"/>
      <c r="J92" s="49" t="s">
        <v>128</v>
      </c>
      <c r="K92" s="57">
        <f>(K90+K91)</f>
        <v>51129.42931060445</v>
      </c>
      <c r="L92" s="28"/>
      <c r="M92" s="28"/>
      <c r="N92" s="21"/>
      <c r="O92" s="21"/>
      <c r="P92" s="21"/>
      <c r="Q92" s="29"/>
      <c r="S92" s="49" t="s">
        <v>128</v>
      </c>
      <c r="T92" s="57">
        <f>(T90+T91)</f>
        <v>29317.860589626423</v>
      </c>
      <c r="U92" s="28"/>
      <c r="V92" s="28"/>
      <c r="W92" s="21"/>
      <c r="X92" s="21"/>
      <c r="Y92" s="21"/>
      <c r="Z92" s="29"/>
      <c r="AB92" s="49" t="s">
        <v>128</v>
      </c>
      <c r="AC92" s="57">
        <f>(AC90+AC91)</f>
        <v>22084.395730224129</v>
      </c>
      <c r="AD92" s="28"/>
      <c r="AE92" s="28"/>
      <c r="AF92" s="21"/>
      <c r="AG92" s="21"/>
      <c r="AH92" s="21"/>
      <c r="AI92" s="29"/>
    </row>
    <row r="93" spans="1:35">
      <c r="A93" s="27"/>
      <c r="B93" s="28"/>
      <c r="C93" s="28"/>
      <c r="D93" s="28"/>
      <c r="E93" s="21"/>
      <c r="F93" s="27"/>
      <c r="G93" s="28"/>
      <c r="H93" s="29"/>
      <c r="J93" s="27"/>
      <c r="K93" s="28"/>
      <c r="L93" s="28"/>
      <c r="M93" s="28"/>
      <c r="N93" s="21"/>
      <c r="O93" s="21"/>
      <c r="P93" s="21"/>
      <c r="Q93" s="29"/>
      <c r="S93" s="27"/>
      <c r="T93" s="28"/>
      <c r="U93" s="28"/>
      <c r="V93" s="28"/>
      <c r="W93" s="21"/>
      <c r="X93" s="21"/>
      <c r="Y93" s="21"/>
      <c r="Z93" s="29"/>
      <c r="AB93" s="27"/>
      <c r="AC93" s="28"/>
      <c r="AD93" s="28"/>
      <c r="AE93" s="28"/>
      <c r="AF93" s="21"/>
      <c r="AG93" s="21"/>
      <c r="AH93" s="21"/>
      <c r="AI93" s="29"/>
    </row>
    <row r="94" spans="1:35">
      <c r="A94" s="76" t="s">
        <v>129</v>
      </c>
      <c r="B94" s="77">
        <f>IF(B26="YES",((E40/B85)*(1+A108)*1.2*(C45/100)),"0")</f>
        <v>123.17117647058822</v>
      </c>
      <c r="C94" s="28"/>
      <c r="D94" s="28"/>
      <c r="E94" s="21"/>
      <c r="F94" s="76" t="s">
        <v>129</v>
      </c>
      <c r="G94" s="80">
        <f>IF(B26="YES",((E40/B85)*(1+A108)*(C45/100)),"0")</f>
        <v>102.64264705882353</v>
      </c>
      <c r="H94" s="29"/>
      <c r="J94" s="76" t="s">
        <v>129</v>
      </c>
      <c r="K94" s="77">
        <f>((E40/K85)*(1+J108))*1.2</f>
        <v>119.652</v>
      </c>
      <c r="L94" s="28"/>
      <c r="M94" s="28"/>
      <c r="N94" s="21"/>
      <c r="O94" s="21"/>
      <c r="P94" s="21"/>
      <c r="Q94" s="29"/>
      <c r="S94" s="76" t="s">
        <v>129</v>
      </c>
      <c r="T94" s="77">
        <f>((E40/T85)*(1+S108))</f>
        <v>94.7470588235294</v>
      </c>
      <c r="U94" s="28"/>
      <c r="V94" s="28"/>
      <c r="W94" s="21"/>
      <c r="X94" s="21"/>
      <c r="Y94" s="21"/>
      <c r="Z94" s="29"/>
      <c r="AB94" s="76" t="s">
        <v>129</v>
      </c>
      <c r="AC94" s="77">
        <f>((E40/AC85)*(1+AB108))*1.2</f>
        <v>113.69647058823527</v>
      </c>
      <c r="AD94" s="28"/>
      <c r="AE94" s="28"/>
      <c r="AF94" s="21"/>
      <c r="AG94" s="21"/>
      <c r="AH94" s="21"/>
      <c r="AI94" s="29"/>
    </row>
    <row r="95" spans="1:35">
      <c r="A95" s="81" t="s">
        <v>130</v>
      </c>
      <c r="B95" s="82">
        <f>B92/(B85)</f>
        <v>1027.9071089906945</v>
      </c>
      <c r="C95" s="28"/>
      <c r="D95" s="28"/>
      <c r="E95" s="21"/>
      <c r="F95" s="81" t="s">
        <v>130</v>
      </c>
      <c r="G95" s="82">
        <f>G92/(G85)</f>
        <v>948.5807975144545</v>
      </c>
      <c r="H95" s="29"/>
      <c r="J95" s="81" t="s">
        <v>130</v>
      </c>
      <c r="K95" s="82">
        <f>K92/(K85)</f>
        <v>1460.8408374458413</v>
      </c>
      <c r="L95" s="28"/>
      <c r="M95" s="28"/>
      <c r="N95" s="21"/>
      <c r="O95" s="21"/>
      <c r="P95" s="21"/>
      <c r="Q95" s="29"/>
      <c r="S95" s="81" t="s">
        <v>130</v>
      </c>
      <c r="T95" s="82">
        <f>T92/(T85)</f>
        <v>862.29001734195367</v>
      </c>
      <c r="U95" s="28"/>
      <c r="V95" s="28"/>
      <c r="W95" s="21"/>
      <c r="X95" s="21"/>
      <c r="Y95" s="21"/>
      <c r="Z95" s="29"/>
      <c r="AB95" s="81" t="s">
        <v>130</v>
      </c>
      <c r="AC95" s="82">
        <f>AC92/(AC59)</f>
        <v>649.54105088894494</v>
      </c>
      <c r="AD95" s="28"/>
      <c r="AE95" s="28"/>
      <c r="AF95" s="21"/>
      <c r="AG95" s="21"/>
      <c r="AH95" s="21"/>
      <c r="AI95" s="29"/>
    </row>
    <row r="96" spans="1:35">
      <c r="A96" s="83" t="s">
        <v>131</v>
      </c>
      <c r="B96" s="84">
        <f>(B94+B95)</f>
        <v>1151.0782854612828</v>
      </c>
      <c r="C96" s="28"/>
      <c r="D96" s="28"/>
      <c r="E96" s="21"/>
      <c r="F96" s="83" t="s">
        <v>131</v>
      </c>
      <c r="G96" s="84">
        <f>G94+G95</f>
        <v>1051.2234445732781</v>
      </c>
      <c r="H96" s="29"/>
      <c r="J96" s="83" t="s">
        <v>131</v>
      </c>
      <c r="K96" s="84">
        <f>(K94+K95)</f>
        <v>1580.4928374458414</v>
      </c>
      <c r="L96" s="28"/>
      <c r="M96" s="28"/>
      <c r="N96" s="21"/>
      <c r="O96" s="21"/>
      <c r="P96" s="21"/>
      <c r="Q96" s="29"/>
      <c r="S96" s="83" t="s">
        <v>131</v>
      </c>
      <c r="T96" s="84">
        <f>T94+T95</f>
        <v>957.03707616548309</v>
      </c>
      <c r="U96" s="28"/>
      <c r="V96" s="28"/>
      <c r="W96" s="21"/>
      <c r="X96" s="21"/>
      <c r="Y96" s="21"/>
      <c r="Z96" s="29"/>
      <c r="AB96" s="83" t="s">
        <v>131</v>
      </c>
      <c r="AC96" s="84">
        <f>AC94+AC95</f>
        <v>763.23752147718017</v>
      </c>
      <c r="AD96" s="28"/>
      <c r="AE96" s="28"/>
      <c r="AF96" s="21"/>
      <c r="AG96" s="21"/>
      <c r="AH96" s="21"/>
      <c r="AI96" s="29"/>
    </row>
    <row r="97" spans="1:42">
      <c r="A97" s="49"/>
      <c r="B97" s="50"/>
      <c r="C97" s="50"/>
      <c r="D97" s="50"/>
      <c r="E97" s="85"/>
      <c r="F97" s="85"/>
      <c r="G97" s="85"/>
      <c r="H97" s="57"/>
      <c r="J97" s="49"/>
      <c r="K97" s="50"/>
      <c r="L97" s="50"/>
      <c r="M97" s="50"/>
      <c r="N97" s="85"/>
      <c r="O97" s="85"/>
      <c r="P97" s="85"/>
      <c r="Q97" s="57"/>
      <c r="S97" s="49"/>
      <c r="T97" s="50"/>
      <c r="U97" s="50"/>
      <c r="V97" s="50"/>
      <c r="W97" s="85"/>
      <c r="X97" s="85"/>
      <c r="Y97" s="85"/>
      <c r="Z97" s="57"/>
      <c r="AB97" s="49"/>
      <c r="AC97" s="50"/>
      <c r="AD97" s="50"/>
      <c r="AE97" s="50"/>
      <c r="AF97" s="85"/>
      <c r="AG97" s="85"/>
      <c r="AH97" s="85"/>
      <c r="AI97" s="57"/>
    </row>
    <row r="98" spans="1:42" ht="14.25">
      <c r="A98" s="21"/>
      <c r="B98" s="21"/>
      <c r="C98" s="21"/>
      <c r="D98" s="21"/>
      <c r="E98" s="21"/>
      <c r="F98" s="21"/>
      <c r="G98" s="21"/>
      <c r="H98" s="21"/>
      <c r="J98" s="21"/>
      <c r="K98" s="21"/>
      <c r="L98" s="21"/>
      <c r="M98" s="21"/>
      <c r="N98" s="21"/>
      <c r="O98" s="21"/>
      <c r="P98" s="21"/>
      <c r="Q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</row>
    <row r="99" spans="1:42" ht="14.25">
      <c r="A99" s="21"/>
      <c r="B99" s="21"/>
      <c r="C99" s="21"/>
      <c r="D99" s="21"/>
      <c r="E99" s="21"/>
      <c r="F99" s="21"/>
      <c r="G99" s="21"/>
      <c r="H99" s="21"/>
      <c r="J99" s="21"/>
      <c r="K99" s="21"/>
      <c r="L99" s="21"/>
      <c r="M99" s="21"/>
      <c r="N99" s="21"/>
      <c r="O99" s="21"/>
      <c r="P99" s="21"/>
      <c r="Q99" s="21"/>
      <c r="S99" s="21"/>
      <c r="T99" s="21"/>
      <c r="U99" s="21"/>
      <c r="V99" s="21"/>
      <c r="W99" s="21"/>
      <c r="X99" s="21"/>
      <c r="Y99" s="21"/>
      <c r="Z99" s="21"/>
      <c r="AB99" s="21"/>
      <c r="AC99" s="21"/>
      <c r="AD99" s="21"/>
      <c r="AE99" s="21"/>
      <c r="AF99" s="21"/>
      <c r="AG99" s="21"/>
      <c r="AH99" s="21"/>
      <c r="AI99" s="21"/>
    </row>
    <row r="100" spans="1:42" ht="47.25" customHeight="1">
      <c r="A100" s="344" t="s">
        <v>135</v>
      </c>
      <c r="B100" s="344"/>
      <c r="C100" s="344"/>
      <c r="D100" s="344"/>
      <c r="E100" s="344"/>
      <c r="F100" s="344"/>
      <c r="G100" s="344"/>
      <c r="H100" s="344"/>
      <c r="J100" s="344" t="s">
        <v>133</v>
      </c>
      <c r="K100" s="344"/>
      <c r="L100" s="344"/>
      <c r="M100" s="344"/>
      <c r="N100" s="344"/>
      <c r="O100" s="344"/>
      <c r="P100" s="344"/>
      <c r="Q100" s="344"/>
      <c r="S100" s="344" t="s">
        <v>134</v>
      </c>
      <c r="T100" s="344"/>
      <c r="U100" s="344"/>
      <c r="V100" s="344"/>
      <c r="W100" s="344"/>
      <c r="X100" s="344"/>
      <c r="Y100" s="344"/>
      <c r="Z100" s="344"/>
      <c r="AB100" s="344" t="s">
        <v>135</v>
      </c>
      <c r="AC100" s="344"/>
      <c r="AD100" s="344"/>
      <c r="AE100" s="344"/>
      <c r="AF100" s="344"/>
      <c r="AG100" s="344"/>
      <c r="AH100" s="344"/>
      <c r="AI100" s="344"/>
    </row>
    <row r="101" spans="1:42">
      <c r="A101" s="22"/>
      <c r="B101" s="23"/>
      <c r="C101" s="23"/>
      <c r="D101" s="23"/>
      <c r="E101" s="63"/>
      <c r="F101" s="63"/>
      <c r="G101" s="63"/>
      <c r="H101" s="87"/>
      <c r="J101" s="22"/>
      <c r="K101" s="23"/>
      <c r="L101" s="23"/>
      <c r="M101" s="23"/>
      <c r="N101" s="63"/>
      <c r="O101" s="63"/>
      <c r="P101" s="63"/>
      <c r="Q101" s="87"/>
      <c r="S101" s="22"/>
      <c r="T101" s="23"/>
      <c r="U101" s="23"/>
      <c r="V101" s="23"/>
      <c r="W101" s="63"/>
      <c r="X101" s="63"/>
      <c r="Y101" s="63"/>
      <c r="Z101" s="87"/>
      <c r="AB101" s="22"/>
      <c r="AC101" s="23"/>
      <c r="AD101" s="23"/>
      <c r="AE101" s="23"/>
      <c r="AF101" s="63"/>
      <c r="AG101" s="63"/>
      <c r="AH101" s="63"/>
      <c r="AI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35" t="s">
        <v>136</v>
      </c>
      <c r="K102" s="335"/>
      <c r="L102" s="335"/>
      <c r="M102" s="335"/>
      <c r="N102" s="335"/>
      <c r="O102" s="335"/>
      <c r="P102" s="335"/>
      <c r="Q102" s="335"/>
      <c r="S102" s="335" t="s">
        <v>136</v>
      </c>
      <c r="T102" s="335"/>
      <c r="U102" s="335"/>
      <c r="V102" s="335"/>
      <c r="W102" s="335"/>
      <c r="X102" s="335"/>
      <c r="Y102" s="335"/>
      <c r="Z102" s="335"/>
      <c r="AB102" s="335" t="s">
        <v>136</v>
      </c>
      <c r="AC102" s="335"/>
      <c r="AD102" s="335"/>
      <c r="AE102" s="335"/>
      <c r="AF102" s="335"/>
      <c r="AG102" s="335"/>
      <c r="AH102" s="335"/>
      <c r="AI102" s="335"/>
    </row>
    <row r="103" spans="1:42">
      <c r="A103" s="27"/>
      <c r="B103" s="28"/>
      <c r="C103" s="28"/>
      <c r="D103" s="28"/>
      <c r="E103" s="21"/>
      <c r="F103" s="21"/>
      <c r="G103" s="21"/>
      <c r="H103" s="88"/>
      <c r="J103" s="27"/>
      <c r="K103" s="28"/>
      <c r="L103" s="28"/>
      <c r="M103" s="28"/>
      <c r="N103" s="21"/>
      <c r="O103" s="21"/>
      <c r="P103" s="21"/>
      <c r="Q103" s="88"/>
      <c r="S103" s="27"/>
      <c r="T103" s="28"/>
      <c r="U103" s="28"/>
      <c r="V103" s="28"/>
      <c r="W103" s="21"/>
      <c r="X103" s="21"/>
      <c r="Y103" s="21"/>
      <c r="Z103" s="88"/>
      <c r="AB103" s="27"/>
      <c r="AC103" s="28"/>
      <c r="AD103" s="28"/>
      <c r="AE103" s="28"/>
      <c r="AF103" s="21"/>
      <c r="AG103" s="21"/>
      <c r="AH103" s="21"/>
      <c r="AI103" s="88"/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J104" s="27" t="s">
        <v>137</v>
      </c>
      <c r="K104" s="28" t="s">
        <v>36</v>
      </c>
      <c r="L104" s="28"/>
      <c r="M104" s="28"/>
      <c r="N104" s="28" t="s">
        <v>138</v>
      </c>
      <c r="O104" s="28"/>
      <c r="P104" s="28"/>
      <c r="Q104" s="29"/>
      <c r="S104" s="27" t="s">
        <v>137</v>
      </c>
      <c r="T104" s="28" t="s">
        <v>36</v>
      </c>
      <c r="U104" s="28"/>
      <c r="V104" s="28"/>
      <c r="W104" s="28" t="s">
        <v>138</v>
      </c>
      <c r="X104" s="28"/>
      <c r="Y104" s="28"/>
      <c r="Z104" s="29"/>
      <c r="AB104" s="27" t="s">
        <v>137</v>
      </c>
      <c r="AC104" s="28" t="s">
        <v>36</v>
      </c>
      <c r="AD104" s="28"/>
      <c r="AE104" s="28"/>
      <c r="AF104" s="28" t="s">
        <v>138</v>
      </c>
      <c r="AG104" s="28"/>
      <c r="AH104" s="28"/>
      <c r="AI104" s="29"/>
    </row>
    <row r="105" spans="1:42">
      <c r="A105" s="32" t="s">
        <v>139</v>
      </c>
      <c r="B105" s="345" t="s">
        <v>140</v>
      </c>
      <c r="C105" s="345"/>
      <c r="D105" s="345"/>
      <c r="E105" s="346" t="s">
        <v>385</v>
      </c>
      <c r="F105" s="346"/>
      <c r="G105" s="346"/>
      <c r="H105" s="88"/>
      <c r="J105" s="32" t="s">
        <v>139</v>
      </c>
      <c r="K105" s="345" t="s">
        <v>140</v>
      </c>
      <c r="L105" s="345"/>
      <c r="M105" s="345"/>
      <c r="N105" s="346" t="s">
        <v>31</v>
      </c>
      <c r="O105" s="346"/>
      <c r="P105" s="346"/>
      <c r="Q105" s="88"/>
      <c r="S105" s="32" t="s">
        <v>139</v>
      </c>
      <c r="T105" s="345" t="s">
        <v>140</v>
      </c>
      <c r="U105" s="345"/>
      <c r="V105" s="345"/>
      <c r="W105" s="346" t="s">
        <v>31</v>
      </c>
      <c r="X105" s="346"/>
      <c r="Y105" s="346"/>
      <c r="Z105" s="88"/>
      <c r="AB105" s="32" t="s">
        <v>139</v>
      </c>
      <c r="AC105" s="345" t="s">
        <v>140</v>
      </c>
      <c r="AD105" s="345"/>
      <c r="AE105" s="345"/>
      <c r="AF105" s="346" t="s">
        <v>31</v>
      </c>
      <c r="AG105" s="346"/>
      <c r="AH105" s="346"/>
      <c r="AI105" s="88"/>
    </row>
    <row r="106" spans="1:42">
      <c r="A106" s="27"/>
      <c r="B106" s="28"/>
      <c r="C106" s="28"/>
      <c r="D106" s="21"/>
      <c r="E106" s="28"/>
      <c r="F106" s="28"/>
      <c r="G106" s="21"/>
      <c r="H106" s="29"/>
      <c r="J106" s="27"/>
      <c r="K106" s="28"/>
      <c r="L106" s="28"/>
      <c r="M106" s="21"/>
      <c r="N106" s="28"/>
      <c r="O106" s="28"/>
      <c r="P106" s="21"/>
      <c r="Q106" s="29"/>
      <c r="S106" s="27"/>
      <c r="T106" s="28"/>
      <c r="U106" s="28"/>
      <c r="V106" s="21"/>
      <c r="W106" s="28"/>
      <c r="X106" s="28"/>
      <c r="Y106" s="21"/>
      <c r="Z106" s="29"/>
      <c r="AB106" s="27"/>
      <c r="AC106" s="28"/>
      <c r="AD106" s="28"/>
      <c r="AE106" s="21"/>
      <c r="AF106" s="28"/>
      <c r="AG106" s="28"/>
      <c r="AH106" s="21"/>
      <c r="AI106" s="29"/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J107" s="27" t="s">
        <v>141</v>
      </c>
      <c r="K107" s="28" t="s">
        <v>142</v>
      </c>
      <c r="L107" s="28"/>
      <c r="M107" s="21"/>
      <c r="N107" s="28" t="s">
        <v>143</v>
      </c>
      <c r="O107" s="28"/>
      <c r="P107" s="21"/>
      <c r="Q107" s="88"/>
      <c r="S107" s="27" t="s">
        <v>141</v>
      </c>
      <c r="T107" s="28" t="s">
        <v>142</v>
      </c>
      <c r="U107" s="28"/>
      <c r="V107" s="21"/>
      <c r="W107" s="28" t="s">
        <v>143</v>
      </c>
      <c r="X107" s="28"/>
      <c r="Y107" s="21"/>
      <c r="Z107" s="88"/>
      <c r="AB107" s="27" t="s">
        <v>141</v>
      </c>
      <c r="AC107" s="28" t="s">
        <v>142</v>
      </c>
      <c r="AD107" s="28"/>
      <c r="AE107" s="21"/>
      <c r="AF107" s="28" t="s">
        <v>143</v>
      </c>
      <c r="AG107" s="28"/>
      <c r="AH107" s="21"/>
      <c r="AI107" s="88"/>
    </row>
    <row r="108" spans="1:42">
      <c r="A108" s="91">
        <v>0.3</v>
      </c>
      <c r="B108" s="348" t="s">
        <v>389</v>
      </c>
      <c r="C108" s="348"/>
      <c r="D108" s="348"/>
      <c r="E108" s="349">
        <f>B83</f>
        <v>0.12000000000000001</v>
      </c>
      <c r="F108" s="349"/>
      <c r="G108" s="349"/>
      <c r="H108" s="42"/>
      <c r="J108" s="91">
        <v>0.3</v>
      </c>
      <c r="K108" s="348" t="s">
        <v>144</v>
      </c>
      <c r="L108" s="348"/>
      <c r="M108" s="348"/>
      <c r="N108" s="349">
        <f>K83</f>
        <v>0.24000000000000002</v>
      </c>
      <c r="O108" s="349"/>
      <c r="P108" s="349"/>
      <c r="Q108" s="42"/>
      <c r="S108" s="91">
        <v>0.2</v>
      </c>
      <c r="T108" s="348" t="s">
        <v>145</v>
      </c>
      <c r="U108" s="348"/>
      <c r="V108" s="348"/>
      <c r="W108" s="349">
        <f>T83</f>
        <v>0.13100000000000001</v>
      </c>
      <c r="X108" s="349"/>
      <c r="Y108" s="349"/>
      <c r="Z108" s="42"/>
      <c r="AB108" s="91">
        <v>0.2</v>
      </c>
      <c r="AC108" s="348" t="s">
        <v>145</v>
      </c>
      <c r="AD108" s="348"/>
      <c r="AE108" s="348"/>
      <c r="AF108" s="350">
        <f>AC83</f>
        <v>0.13100000000000001</v>
      </c>
      <c r="AG108" s="350"/>
      <c r="AH108" s="350"/>
      <c r="AI108" s="42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J109" s="27"/>
      <c r="K109" s="28"/>
      <c r="L109" s="28"/>
      <c r="M109" s="28"/>
      <c r="N109" s="28"/>
      <c r="O109" s="28"/>
      <c r="P109" s="28"/>
      <c r="Q109" s="29"/>
      <c r="S109" s="27"/>
      <c r="T109" s="28"/>
      <c r="U109" s="28"/>
      <c r="V109" s="28"/>
      <c r="W109" s="28"/>
      <c r="X109" s="28"/>
      <c r="Y109" s="28"/>
      <c r="Z109" s="29"/>
      <c r="AB109" s="27"/>
      <c r="AC109" s="28"/>
      <c r="AD109" s="28"/>
      <c r="AE109" s="28"/>
      <c r="AF109" s="28"/>
      <c r="AG109" s="28"/>
      <c r="AH109" s="28"/>
      <c r="AI109" s="29"/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J110" s="27" t="s">
        <v>147</v>
      </c>
      <c r="K110" s="28" t="s">
        <v>148</v>
      </c>
      <c r="L110" s="28"/>
      <c r="M110" s="28"/>
      <c r="N110" s="28" t="s">
        <v>149</v>
      </c>
      <c r="O110" s="28"/>
      <c r="P110" s="28"/>
      <c r="Q110" s="29"/>
      <c r="S110" s="27" t="s">
        <v>147</v>
      </c>
      <c r="T110" s="28" t="s">
        <v>148</v>
      </c>
      <c r="U110" s="28"/>
      <c r="V110" s="28"/>
      <c r="W110" s="28" t="s">
        <v>149</v>
      </c>
      <c r="X110" s="28"/>
      <c r="Y110" s="28"/>
      <c r="Z110" s="29"/>
      <c r="AB110" s="27" t="s">
        <v>147</v>
      </c>
      <c r="AC110" s="28" t="s">
        <v>148</v>
      </c>
      <c r="AD110" s="28"/>
      <c r="AE110" s="28"/>
      <c r="AF110" s="28" t="s">
        <v>149</v>
      </c>
      <c r="AG110" s="28"/>
      <c r="AH110" s="28"/>
      <c r="AI110" s="29"/>
    </row>
    <row r="111" spans="1:42">
      <c r="A111" s="36" t="s">
        <v>385</v>
      </c>
      <c r="B111" s="348">
        <v>200</v>
      </c>
      <c r="C111" s="348"/>
      <c r="D111" s="348"/>
      <c r="E111" s="348">
        <v>200</v>
      </c>
      <c r="F111" s="348"/>
      <c r="G111" s="348"/>
      <c r="H111" s="88"/>
      <c r="J111" s="36" t="s">
        <v>32</v>
      </c>
      <c r="K111" s="348">
        <v>1000</v>
      </c>
      <c r="L111" s="348"/>
      <c r="M111" s="348"/>
      <c r="N111" s="348">
        <v>0</v>
      </c>
      <c r="O111" s="348"/>
      <c r="P111" s="348"/>
      <c r="Q111" s="88"/>
      <c r="S111" s="36" t="s">
        <v>31</v>
      </c>
      <c r="T111" s="348">
        <v>1000</v>
      </c>
      <c r="U111" s="348"/>
      <c r="V111" s="348"/>
      <c r="W111" s="348">
        <v>0</v>
      </c>
      <c r="X111" s="348"/>
      <c r="Y111" s="348"/>
      <c r="Z111" s="88"/>
      <c r="AB111" s="36" t="s">
        <v>31</v>
      </c>
      <c r="AC111" s="348">
        <v>1000</v>
      </c>
      <c r="AD111" s="348"/>
      <c r="AE111" s="348"/>
      <c r="AF111" s="348">
        <v>0</v>
      </c>
      <c r="AG111" s="348"/>
      <c r="AH111" s="348"/>
      <c r="AI111" s="88"/>
    </row>
    <row r="112" spans="1:42">
      <c r="A112" s="27"/>
      <c r="B112" s="28"/>
      <c r="C112" s="28"/>
      <c r="D112" s="28"/>
      <c r="E112" s="28"/>
      <c r="F112" s="28"/>
      <c r="G112" s="21"/>
      <c r="H112" s="88"/>
      <c r="J112" s="27"/>
      <c r="K112" s="28"/>
      <c r="L112" s="28"/>
      <c r="M112" s="28"/>
      <c r="N112" s="28"/>
      <c r="O112" s="28"/>
      <c r="P112" s="21"/>
      <c r="Q112" s="88"/>
      <c r="S112" s="27"/>
      <c r="T112" s="28"/>
      <c r="U112" s="28"/>
      <c r="V112" s="28"/>
      <c r="W112" s="28"/>
      <c r="X112" s="28"/>
      <c r="Y112" s="21"/>
      <c r="Z112" s="88"/>
      <c r="AB112" s="27"/>
      <c r="AC112" s="28"/>
      <c r="AD112" s="28"/>
      <c r="AE112" s="28"/>
      <c r="AF112" s="28"/>
      <c r="AG112" s="28"/>
      <c r="AH112" s="21"/>
      <c r="AI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  <c r="J113" s="93" t="s">
        <v>150</v>
      </c>
      <c r="K113" s="28" t="s">
        <v>151</v>
      </c>
      <c r="L113" s="28"/>
      <c r="M113" s="28"/>
      <c r="N113" s="28" t="s">
        <v>152</v>
      </c>
      <c r="O113" s="28"/>
      <c r="P113" s="21"/>
      <c r="Q113" s="88"/>
      <c r="S113" s="93" t="s">
        <v>150</v>
      </c>
      <c r="T113" s="28" t="s">
        <v>151</v>
      </c>
      <c r="U113" s="28"/>
      <c r="V113" s="28"/>
      <c r="W113" s="28" t="s">
        <v>152</v>
      </c>
      <c r="X113" s="28"/>
      <c r="Y113" s="21"/>
      <c r="Z113" s="88"/>
      <c r="AB113" s="93" t="s">
        <v>150</v>
      </c>
      <c r="AC113" s="28" t="s">
        <v>151</v>
      </c>
      <c r="AD113" s="28"/>
      <c r="AE113" s="28"/>
      <c r="AF113" s="28" t="s">
        <v>152</v>
      </c>
      <c r="AG113" s="28"/>
      <c r="AH113" s="21"/>
      <c r="AI113" s="88"/>
    </row>
    <row r="114" spans="1:35">
      <c r="A114" s="94">
        <f>B111+E111</f>
        <v>400</v>
      </c>
      <c r="B114" s="348">
        <v>1000</v>
      </c>
      <c r="C114" s="348"/>
      <c r="D114" s="348"/>
      <c r="E114" s="348">
        <v>0</v>
      </c>
      <c r="F114" s="348"/>
      <c r="G114" s="348"/>
      <c r="H114" s="88"/>
      <c r="J114" s="94">
        <f>K111+N111</f>
        <v>1000</v>
      </c>
      <c r="K114" s="348">
        <v>239.99</v>
      </c>
      <c r="L114" s="348"/>
      <c r="M114" s="348"/>
      <c r="N114" s="348">
        <v>0</v>
      </c>
      <c r="O114" s="348"/>
      <c r="P114" s="348"/>
      <c r="Q114" s="88"/>
      <c r="S114" s="94">
        <f>T111+W111</f>
        <v>1000</v>
      </c>
      <c r="T114" s="348">
        <v>199.99</v>
      </c>
      <c r="U114" s="348"/>
      <c r="V114" s="348"/>
      <c r="W114" s="348">
        <v>0</v>
      </c>
      <c r="X114" s="348"/>
      <c r="Y114" s="348"/>
      <c r="Z114" s="88"/>
      <c r="AB114" s="94">
        <f>AC111+AF111</f>
        <v>1000</v>
      </c>
      <c r="AC114" s="348">
        <v>239.99</v>
      </c>
      <c r="AD114" s="348"/>
      <c r="AE114" s="348"/>
      <c r="AF114" s="348">
        <v>0</v>
      </c>
      <c r="AG114" s="348"/>
      <c r="AH114" s="348"/>
      <c r="AI114" s="88"/>
    </row>
    <row r="115" spans="1:35" ht="14.25">
      <c r="A115" s="95"/>
      <c r="B115" s="21"/>
      <c r="C115" s="21"/>
      <c r="D115" s="21"/>
      <c r="E115" s="21"/>
      <c r="F115" s="21"/>
      <c r="G115" s="21"/>
      <c r="H115" s="88"/>
      <c r="J115" s="95"/>
      <c r="K115" s="21"/>
      <c r="L115" s="21"/>
      <c r="M115" s="21"/>
      <c r="N115" s="21"/>
      <c r="O115" s="21"/>
      <c r="P115" s="21"/>
      <c r="Q115" s="88"/>
      <c r="S115" s="95"/>
      <c r="T115" s="21"/>
      <c r="U115" s="21"/>
      <c r="V115" s="21"/>
      <c r="W115" s="21"/>
      <c r="X115" s="21"/>
      <c r="Y115" s="21"/>
      <c r="Z115" s="88"/>
      <c r="AB115" s="95"/>
      <c r="AC115" s="21"/>
      <c r="AD115" s="21"/>
      <c r="AE115" s="21"/>
      <c r="AF115" s="21"/>
      <c r="AG115" s="21"/>
      <c r="AH115" s="21"/>
      <c r="AI115" s="88"/>
    </row>
    <row r="116" spans="1:35" ht="14.25">
      <c r="A116" s="95"/>
      <c r="B116" s="21"/>
      <c r="C116" s="21"/>
      <c r="D116" s="21"/>
      <c r="E116" s="21"/>
      <c r="F116" s="21"/>
      <c r="G116" s="21"/>
      <c r="H116" s="88"/>
      <c r="J116" s="95"/>
      <c r="K116" s="21"/>
      <c r="L116" s="21"/>
      <c r="M116" s="21"/>
      <c r="N116" s="21"/>
      <c r="O116" s="21"/>
      <c r="P116" s="21"/>
      <c r="Q116" s="88"/>
      <c r="S116" s="95"/>
      <c r="T116" s="21"/>
      <c r="U116" s="21"/>
      <c r="V116" s="21"/>
      <c r="W116" s="21"/>
      <c r="X116" s="21"/>
      <c r="Y116" s="21"/>
      <c r="Z116" s="88"/>
      <c r="AB116" s="95"/>
      <c r="AC116" s="21"/>
      <c r="AD116" s="21"/>
      <c r="AE116" s="21"/>
      <c r="AF116" s="21"/>
      <c r="AG116" s="21"/>
      <c r="AH116" s="21"/>
      <c r="AI116" s="88"/>
    </row>
    <row r="117" spans="1:35" ht="23.25">
      <c r="A117" s="335" t="s">
        <v>153</v>
      </c>
      <c r="B117" s="335"/>
      <c r="C117" s="335"/>
      <c r="D117" s="335"/>
      <c r="E117" s="335"/>
      <c r="F117" s="335"/>
      <c r="G117" s="335"/>
      <c r="H117" s="335"/>
      <c r="J117" s="335" t="s">
        <v>153</v>
      </c>
      <c r="K117" s="335"/>
      <c r="L117" s="335"/>
      <c r="M117" s="335"/>
      <c r="N117" s="335"/>
      <c r="O117" s="335"/>
      <c r="P117" s="335"/>
      <c r="Q117" s="335"/>
      <c r="S117" s="335" t="s">
        <v>153</v>
      </c>
      <c r="T117" s="335"/>
      <c r="U117" s="335"/>
      <c r="V117" s="335"/>
      <c r="W117" s="335"/>
      <c r="X117" s="335"/>
      <c r="Y117" s="335"/>
      <c r="Z117" s="335"/>
      <c r="AB117" s="335" t="s">
        <v>153</v>
      </c>
      <c r="AC117" s="335"/>
      <c r="AD117" s="335"/>
      <c r="AE117" s="335"/>
      <c r="AF117" s="335"/>
      <c r="AG117" s="335"/>
      <c r="AH117" s="335"/>
      <c r="AI117" s="335"/>
    </row>
    <row r="118" spans="1:35" ht="14.25">
      <c r="A118" s="95"/>
      <c r="B118" s="21"/>
      <c r="C118" s="21"/>
      <c r="D118" s="21"/>
      <c r="E118" s="21"/>
      <c r="F118" s="21"/>
      <c r="G118" s="21"/>
      <c r="H118" s="88"/>
      <c r="J118" s="95"/>
      <c r="K118" s="21"/>
      <c r="L118" s="21"/>
      <c r="M118" s="21"/>
      <c r="N118" s="21"/>
      <c r="O118" s="21"/>
      <c r="P118" s="21"/>
      <c r="Q118" s="88"/>
      <c r="S118" s="95"/>
      <c r="T118" s="21"/>
      <c r="U118" s="21"/>
      <c r="V118" s="21"/>
      <c r="W118" s="21"/>
      <c r="X118" s="21"/>
      <c r="Y118" s="21"/>
      <c r="Z118" s="88"/>
      <c r="AB118" s="95"/>
      <c r="AC118" s="21"/>
      <c r="AD118" s="21"/>
      <c r="AE118" s="21"/>
      <c r="AF118" s="21"/>
      <c r="AG118" s="21"/>
      <c r="AH118" s="21"/>
      <c r="AI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J119" s="66"/>
      <c r="K119" s="351" t="s">
        <v>154</v>
      </c>
      <c r="L119" s="351"/>
      <c r="M119" s="351" t="s">
        <v>155</v>
      </c>
      <c r="N119" s="351"/>
      <c r="O119" s="351" t="s">
        <v>156</v>
      </c>
      <c r="P119" s="351"/>
      <c r="Q119" s="96" t="s">
        <v>157</v>
      </c>
      <c r="S119" s="66"/>
      <c r="T119" s="351" t="s">
        <v>154</v>
      </c>
      <c r="U119" s="351"/>
      <c r="V119" s="351" t="s">
        <v>155</v>
      </c>
      <c r="W119" s="351"/>
      <c r="X119" s="351" t="s">
        <v>156</v>
      </c>
      <c r="Y119" s="351"/>
      <c r="Z119" s="96" t="s">
        <v>157</v>
      </c>
      <c r="AB119" s="66"/>
      <c r="AC119" s="351" t="s">
        <v>154</v>
      </c>
      <c r="AD119" s="351"/>
      <c r="AE119" s="351" t="s">
        <v>155</v>
      </c>
      <c r="AF119" s="351"/>
      <c r="AG119" s="351" t="s">
        <v>156</v>
      </c>
      <c r="AH119" s="351"/>
      <c r="AI119" s="96" t="s">
        <v>157</v>
      </c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  <c r="J120" s="68"/>
      <c r="K120" s="97" t="s">
        <v>158</v>
      </c>
      <c r="L120" s="98" t="s">
        <v>159</v>
      </c>
      <c r="M120" s="97" t="s">
        <v>158</v>
      </c>
      <c r="N120" s="99" t="s">
        <v>159</v>
      </c>
      <c r="O120" s="97" t="s">
        <v>158</v>
      </c>
      <c r="P120" s="99" t="s">
        <v>159</v>
      </c>
      <c r="Q120" s="100"/>
      <c r="S120" s="68"/>
      <c r="T120" s="97" t="s">
        <v>158</v>
      </c>
      <c r="U120" s="98" t="s">
        <v>159</v>
      </c>
      <c r="V120" s="97" t="s">
        <v>158</v>
      </c>
      <c r="W120" s="99" t="s">
        <v>159</v>
      </c>
      <c r="X120" s="97" t="s">
        <v>158</v>
      </c>
      <c r="Y120" s="99" t="s">
        <v>159</v>
      </c>
      <c r="Z120" s="100"/>
      <c r="AB120" s="68"/>
      <c r="AC120" s="97" t="s">
        <v>158</v>
      </c>
      <c r="AD120" s="98" t="s">
        <v>159</v>
      </c>
      <c r="AE120" s="97" t="s">
        <v>158</v>
      </c>
      <c r="AF120" s="99" t="s">
        <v>159</v>
      </c>
      <c r="AG120" s="97" t="s">
        <v>158</v>
      </c>
      <c r="AH120" s="99" t="s">
        <v>159</v>
      </c>
      <c r="AI120" s="100"/>
    </row>
    <row r="121" spans="1:35">
      <c r="A121" s="22" t="s">
        <v>160</v>
      </c>
      <c r="B121" s="22">
        <f>B3</f>
        <v>20255</v>
      </c>
      <c r="C121" s="36">
        <f>B121</f>
        <v>20255</v>
      </c>
      <c r="D121" s="22">
        <f>D3</f>
        <v>0</v>
      </c>
      <c r="E121" s="36">
        <f>D121</f>
        <v>0</v>
      </c>
      <c r="F121" s="22">
        <f>F3</f>
        <v>0</v>
      </c>
      <c r="G121" s="36">
        <f>F121</f>
        <v>0</v>
      </c>
      <c r="H121" s="101">
        <f>H3</f>
        <v>0</v>
      </c>
      <c r="J121" s="22" t="s">
        <v>160</v>
      </c>
      <c r="K121" s="22">
        <f>B3</f>
        <v>20255</v>
      </c>
      <c r="L121" s="36">
        <v>28629.17</v>
      </c>
      <c r="M121" s="22">
        <f>D3</f>
        <v>0</v>
      </c>
      <c r="N121" s="36">
        <f>M121</f>
        <v>0</v>
      </c>
      <c r="O121" s="22">
        <f>F3</f>
        <v>0</v>
      </c>
      <c r="P121" s="36">
        <f>O121</f>
        <v>0</v>
      </c>
      <c r="Q121" s="101">
        <f>H3</f>
        <v>0</v>
      </c>
      <c r="S121" s="22" t="s">
        <v>160</v>
      </c>
      <c r="T121" s="22">
        <f>B3</f>
        <v>20255</v>
      </c>
      <c r="U121" s="36">
        <f>T121</f>
        <v>20255</v>
      </c>
      <c r="V121" s="22">
        <f>D3</f>
        <v>0</v>
      </c>
      <c r="W121" s="36">
        <f>V121</f>
        <v>0</v>
      </c>
      <c r="X121" s="22">
        <f>F3</f>
        <v>0</v>
      </c>
      <c r="Y121" s="36">
        <f>X121</f>
        <v>0</v>
      </c>
      <c r="Z121" s="101">
        <f>H3</f>
        <v>0</v>
      </c>
      <c r="AB121" s="22" t="s">
        <v>160</v>
      </c>
      <c r="AC121" s="22">
        <f>B3</f>
        <v>20255</v>
      </c>
      <c r="AD121" s="36">
        <f>AC121</f>
        <v>20255</v>
      </c>
      <c r="AE121" s="22">
        <f>D3</f>
        <v>0</v>
      </c>
      <c r="AF121" s="36">
        <f>AE121</f>
        <v>0</v>
      </c>
      <c r="AG121" s="22">
        <f>F3</f>
        <v>0</v>
      </c>
      <c r="AH121" s="36">
        <f>AG121</f>
        <v>0</v>
      </c>
      <c r="AI121" s="101">
        <f>H3</f>
        <v>0</v>
      </c>
    </row>
    <row r="122" spans="1:35">
      <c r="A122" s="27" t="s">
        <v>161</v>
      </c>
      <c r="B122" s="102">
        <f>B4</f>
        <v>0</v>
      </c>
      <c r="C122" s="103">
        <v>0</v>
      </c>
      <c r="D122" s="102">
        <f>D4</f>
        <v>0</v>
      </c>
      <c r="E122" s="103">
        <v>0</v>
      </c>
      <c r="F122" s="102">
        <f>F4</f>
        <v>0</v>
      </c>
      <c r="G122" s="296">
        <v>0</v>
      </c>
      <c r="H122" s="105"/>
      <c r="J122" s="27" t="s">
        <v>161</v>
      </c>
      <c r="K122" s="102">
        <f>B4</f>
        <v>0</v>
      </c>
      <c r="L122" s="103">
        <v>0</v>
      </c>
      <c r="M122" s="102">
        <f>D4</f>
        <v>0</v>
      </c>
      <c r="N122" s="103">
        <f>M122</f>
        <v>0</v>
      </c>
      <c r="O122" s="102">
        <f>F4</f>
        <v>0</v>
      </c>
      <c r="P122" s="296">
        <f>O122</f>
        <v>0</v>
      </c>
      <c r="Q122" s="105"/>
      <c r="S122" s="27" t="s">
        <v>161</v>
      </c>
      <c r="T122" s="102">
        <f>B4</f>
        <v>0</v>
      </c>
      <c r="U122" s="103">
        <v>0.25</v>
      </c>
      <c r="V122" s="102">
        <f>D4</f>
        <v>0</v>
      </c>
      <c r="W122" s="103">
        <f>V122</f>
        <v>0</v>
      </c>
      <c r="X122" s="102">
        <f>F4</f>
        <v>0</v>
      </c>
      <c r="Y122" s="296">
        <f>X122</f>
        <v>0</v>
      </c>
      <c r="Z122" s="105"/>
      <c r="AB122" s="27" t="s">
        <v>161</v>
      </c>
      <c r="AC122" s="102">
        <f>B4</f>
        <v>0</v>
      </c>
      <c r="AD122" s="103">
        <v>0.25</v>
      </c>
      <c r="AE122" s="102">
        <f>D4</f>
        <v>0</v>
      </c>
      <c r="AF122" s="103">
        <f>AE122</f>
        <v>0</v>
      </c>
      <c r="AG122" s="102">
        <f>F4</f>
        <v>0</v>
      </c>
      <c r="AH122" s="296">
        <f>AG122</f>
        <v>0</v>
      </c>
      <c r="AI122" s="105"/>
    </row>
    <row r="123" spans="1:35">
      <c r="A123" s="27" t="s">
        <v>162</v>
      </c>
      <c r="B123" s="27">
        <f>B5</f>
        <v>0</v>
      </c>
      <c r="C123" s="36">
        <v>-4246.67</v>
      </c>
      <c r="D123" s="27">
        <f>D5</f>
        <v>0</v>
      </c>
      <c r="E123" s="36">
        <v>0</v>
      </c>
      <c r="F123" s="27">
        <f>F5</f>
        <v>0</v>
      </c>
      <c r="G123" s="36">
        <v>0</v>
      </c>
      <c r="H123" s="29"/>
      <c r="J123" s="27" t="s">
        <v>162</v>
      </c>
      <c r="K123" s="27">
        <f>B5</f>
        <v>0</v>
      </c>
      <c r="L123" s="36">
        <v>0</v>
      </c>
      <c r="M123" s="27">
        <f>D5</f>
        <v>0</v>
      </c>
      <c r="N123" s="36">
        <f>M123</f>
        <v>0</v>
      </c>
      <c r="O123" s="27">
        <f>F5</f>
        <v>0</v>
      </c>
      <c r="P123" s="36">
        <f>O123</f>
        <v>0</v>
      </c>
      <c r="Q123" s="29"/>
      <c r="S123" s="27" t="s">
        <v>162</v>
      </c>
      <c r="T123" s="27">
        <f>B5</f>
        <v>0</v>
      </c>
      <c r="U123" s="36">
        <v>0</v>
      </c>
      <c r="V123" s="27">
        <f>D5</f>
        <v>0</v>
      </c>
      <c r="W123" s="36">
        <f>V123</f>
        <v>0</v>
      </c>
      <c r="X123" s="27">
        <f>F5</f>
        <v>0</v>
      </c>
      <c r="Y123" s="36">
        <f>X123</f>
        <v>0</v>
      </c>
      <c r="Z123" s="29"/>
      <c r="AB123" s="27" t="s">
        <v>162</v>
      </c>
      <c r="AC123" s="27">
        <f>B5</f>
        <v>0</v>
      </c>
      <c r="AD123" s="36">
        <v>0</v>
      </c>
      <c r="AE123" s="27">
        <f>D5</f>
        <v>0</v>
      </c>
      <c r="AF123" s="36">
        <f>AE123</f>
        <v>0</v>
      </c>
      <c r="AG123" s="27">
        <f>F5</f>
        <v>0</v>
      </c>
      <c r="AH123" s="36">
        <f>AG123</f>
        <v>0</v>
      </c>
      <c r="AI123" s="29"/>
    </row>
    <row r="124" spans="1:35">
      <c r="A124" s="27" t="s">
        <v>163</v>
      </c>
      <c r="B124" s="27">
        <f>(B121*B122)+B123</f>
        <v>0</v>
      </c>
      <c r="C124" s="24">
        <f>(C121*C122/100)+C123</f>
        <v>-4246.67</v>
      </c>
      <c r="D124" s="27">
        <f>(D121*D122)+D123</f>
        <v>0</v>
      </c>
      <c r="E124" s="24">
        <f>(E121*E122/100)+E123</f>
        <v>0</v>
      </c>
      <c r="F124" s="27">
        <f>(F121*F122)+F123</f>
        <v>0</v>
      </c>
      <c r="G124" s="24">
        <f>(G121*G122/100)+G123</f>
        <v>0</v>
      </c>
      <c r="H124" s="29"/>
      <c r="J124" s="27" t="s">
        <v>163</v>
      </c>
      <c r="K124" s="27">
        <f t="shared" ref="K124:P124" si="0">(K121*K122)+K123</f>
        <v>0</v>
      </c>
      <c r="L124" s="24">
        <f t="shared" si="0"/>
        <v>0</v>
      </c>
      <c r="M124" s="27">
        <f t="shared" si="0"/>
        <v>0</v>
      </c>
      <c r="N124" s="24">
        <f t="shared" si="0"/>
        <v>0</v>
      </c>
      <c r="O124" s="27">
        <f t="shared" si="0"/>
        <v>0</v>
      </c>
      <c r="P124" s="24">
        <f t="shared" si="0"/>
        <v>0</v>
      </c>
      <c r="Q124" s="29"/>
      <c r="S124" s="27" t="s">
        <v>163</v>
      </c>
      <c r="T124" s="27">
        <f>(T121*T122)+T123</f>
        <v>0</v>
      </c>
      <c r="U124" s="24">
        <f>(U121*U122/100)+U123</f>
        <v>50.637500000000003</v>
      </c>
      <c r="V124" s="27">
        <f>(V121*V122)+V123</f>
        <v>0</v>
      </c>
      <c r="W124" s="24">
        <f>(W121*W122/100)+W123</f>
        <v>0</v>
      </c>
      <c r="X124" s="27">
        <f>(X121*X122)+X123</f>
        <v>0</v>
      </c>
      <c r="Y124" s="24">
        <f>(Y121*Y122/100)+Y123</f>
        <v>0</v>
      </c>
      <c r="Z124" s="29"/>
      <c r="AB124" s="27" t="s">
        <v>163</v>
      </c>
      <c r="AC124" s="27">
        <f t="shared" ref="AC124:AH124" si="1">(AC121*AC122)+AC123</f>
        <v>0</v>
      </c>
      <c r="AD124" s="24">
        <f t="shared" si="1"/>
        <v>5063.75</v>
      </c>
      <c r="AE124" s="27">
        <f t="shared" si="1"/>
        <v>0</v>
      </c>
      <c r="AF124" s="24">
        <f t="shared" si="1"/>
        <v>0</v>
      </c>
      <c r="AG124" s="27">
        <f t="shared" si="1"/>
        <v>0</v>
      </c>
      <c r="AH124" s="24">
        <f t="shared" si="1"/>
        <v>0</v>
      </c>
      <c r="AI124" s="29"/>
    </row>
    <row r="125" spans="1:35">
      <c r="A125" s="49" t="s">
        <v>164</v>
      </c>
      <c r="B125" s="49">
        <f t="shared" ref="B125:G125" si="2">B121-B124</f>
        <v>20255</v>
      </c>
      <c r="C125" s="57">
        <f t="shared" si="2"/>
        <v>24501.67</v>
      </c>
      <c r="D125" s="49">
        <f t="shared" si="2"/>
        <v>0</v>
      </c>
      <c r="E125" s="57">
        <f t="shared" si="2"/>
        <v>0</v>
      </c>
      <c r="F125" s="49">
        <f t="shared" si="2"/>
        <v>0</v>
      </c>
      <c r="G125" s="57">
        <f t="shared" si="2"/>
        <v>0</v>
      </c>
      <c r="H125" s="57"/>
      <c r="J125" s="49" t="s">
        <v>164</v>
      </c>
      <c r="K125" s="49">
        <f t="shared" ref="K125:P125" si="3">K121-K124</f>
        <v>20255</v>
      </c>
      <c r="L125" s="57">
        <f t="shared" si="3"/>
        <v>28629.17</v>
      </c>
      <c r="M125" s="49">
        <f t="shared" si="3"/>
        <v>0</v>
      </c>
      <c r="N125" s="57">
        <f t="shared" si="3"/>
        <v>0</v>
      </c>
      <c r="O125" s="49">
        <f t="shared" si="3"/>
        <v>0</v>
      </c>
      <c r="P125" s="57">
        <f t="shared" si="3"/>
        <v>0</v>
      </c>
      <c r="Q125" s="57"/>
      <c r="S125" s="49" t="s">
        <v>164</v>
      </c>
      <c r="T125" s="49">
        <f t="shared" ref="T125:Y125" si="4">T121-T124</f>
        <v>20255</v>
      </c>
      <c r="U125" s="57">
        <f t="shared" si="4"/>
        <v>20204.362499999999</v>
      </c>
      <c r="V125" s="49">
        <f t="shared" si="4"/>
        <v>0</v>
      </c>
      <c r="W125" s="57">
        <f t="shared" si="4"/>
        <v>0</v>
      </c>
      <c r="X125" s="49">
        <f t="shared" si="4"/>
        <v>0</v>
      </c>
      <c r="Y125" s="57">
        <f t="shared" si="4"/>
        <v>0</v>
      </c>
      <c r="Z125" s="57"/>
      <c r="AB125" s="49" t="s">
        <v>164</v>
      </c>
      <c r="AC125" s="49">
        <f t="shared" ref="AC125:AH125" si="5">AC121-AC124</f>
        <v>20255</v>
      </c>
      <c r="AD125" s="57">
        <f t="shared" si="5"/>
        <v>15191.25</v>
      </c>
      <c r="AE125" s="49">
        <f t="shared" si="5"/>
        <v>0</v>
      </c>
      <c r="AF125" s="57">
        <f t="shared" si="5"/>
        <v>0</v>
      </c>
      <c r="AG125" s="49">
        <f t="shared" si="5"/>
        <v>0</v>
      </c>
      <c r="AH125" s="57">
        <f t="shared" si="5"/>
        <v>0</v>
      </c>
      <c r="AI125" s="57"/>
    </row>
    <row r="126" spans="1:35">
      <c r="A126" s="27"/>
      <c r="B126" s="28"/>
      <c r="C126" s="28"/>
      <c r="D126" s="28"/>
      <c r="E126" s="28"/>
      <c r="F126" s="28"/>
      <c r="G126" s="28"/>
      <c r="H126" s="29"/>
      <c r="J126" s="27"/>
      <c r="K126" s="28"/>
      <c r="L126" s="28"/>
      <c r="M126" s="28"/>
      <c r="N126" s="28"/>
      <c r="O126" s="28"/>
      <c r="P126" s="28"/>
      <c r="Q126" s="29"/>
      <c r="S126" s="27"/>
      <c r="T126" s="28"/>
      <c r="U126" s="28"/>
      <c r="V126" s="28"/>
      <c r="W126" s="28"/>
      <c r="X126" s="28"/>
      <c r="Y126" s="28"/>
      <c r="Z126" s="29"/>
      <c r="AB126" s="27"/>
      <c r="AC126" s="28"/>
      <c r="AD126" s="28"/>
      <c r="AE126" s="28"/>
      <c r="AF126" s="28"/>
      <c r="AG126" s="28"/>
      <c r="AH126" s="28"/>
      <c r="AI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  <c r="J127" s="107"/>
      <c r="K127" s="108"/>
      <c r="L127" s="108"/>
      <c r="M127" s="108"/>
      <c r="N127" s="108"/>
      <c r="O127" s="108"/>
      <c r="P127" s="109" t="s">
        <v>158</v>
      </c>
      <c r="Q127" s="110" t="s">
        <v>159</v>
      </c>
      <c r="S127" s="107"/>
      <c r="T127" s="108"/>
      <c r="U127" s="108"/>
      <c r="V127" s="108"/>
      <c r="W127" s="108"/>
      <c r="X127" s="108"/>
      <c r="Y127" s="109" t="s">
        <v>158</v>
      </c>
      <c r="Z127" s="110" t="s">
        <v>159</v>
      </c>
      <c r="AB127" s="107"/>
      <c r="AC127" s="108"/>
      <c r="AD127" s="108"/>
      <c r="AE127" s="108"/>
      <c r="AF127" s="108"/>
      <c r="AG127" s="108"/>
      <c r="AH127" s="109" t="s">
        <v>158</v>
      </c>
      <c r="AI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  <c r="J128" s="111" t="s">
        <v>165</v>
      </c>
      <c r="K128" s="112"/>
      <c r="L128" s="112"/>
      <c r="M128" s="112"/>
      <c r="N128" s="112"/>
      <c r="O128" s="112"/>
      <c r="P128" s="113">
        <f>Q121</f>
        <v>0</v>
      </c>
      <c r="Q128" s="114">
        <f>SUM(Q131:Q133)</f>
        <v>0</v>
      </c>
      <c r="S128" s="111" t="s">
        <v>165</v>
      </c>
      <c r="T128" s="112"/>
      <c r="U128" s="112"/>
      <c r="V128" s="112"/>
      <c r="W128" s="112"/>
      <c r="X128" s="112"/>
      <c r="Y128" s="113">
        <f>Z121</f>
        <v>0</v>
      </c>
      <c r="Z128" s="114">
        <f>SUM(Z131:Z133)</f>
        <v>0</v>
      </c>
      <c r="AB128" s="111" t="s">
        <v>165</v>
      </c>
      <c r="AC128" s="112"/>
      <c r="AD128" s="112"/>
      <c r="AE128" s="112"/>
      <c r="AF128" s="112"/>
      <c r="AG128" s="112"/>
      <c r="AH128" s="113">
        <f>AI121</f>
        <v>0</v>
      </c>
      <c r="AI128" s="114">
        <f>SUM(AI131:AI133)</f>
        <v>0</v>
      </c>
    </row>
    <row r="129" spans="1:35">
      <c r="A129" s="27"/>
      <c r="B129" s="28"/>
      <c r="C129" s="28"/>
      <c r="D129" s="28"/>
      <c r="E129" s="28"/>
      <c r="F129" s="28"/>
      <c r="G129" s="115"/>
      <c r="H129" s="116"/>
      <c r="J129" s="27"/>
      <c r="K129" s="28"/>
      <c r="L129" s="28"/>
      <c r="M129" s="28"/>
      <c r="N129" s="28"/>
      <c r="O129" s="28"/>
      <c r="P129" s="115"/>
      <c r="Q129" s="116"/>
      <c r="S129" s="27"/>
      <c r="T129" s="28"/>
      <c r="U129" s="28"/>
      <c r="V129" s="28"/>
      <c r="W129" s="28"/>
      <c r="X129" s="28"/>
      <c r="Y129" s="115"/>
      <c r="Z129" s="116"/>
      <c r="AB129" s="27"/>
      <c r="AC129" s="28"/>
      <c r="AD129" s="28"/>
      <c r="AE129" s="28"/>
      <c r="AF129" s="28"/>
      <c r="AG129" s="28"/>
      <c r="AH129" s="115"/>
      <c r="AI129" s="116"/>
    </row>
    <row r="130" spans="1:35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J130" s="117" t="s">
        <v>166</v>
      </c>
      <c r="K130" s="352" t="s">
        <v>167</v>
      </c>
      <c r="L130" s="352"/>
      <c r="M130" s="352" t="s">
        <v>168</v>
      </c>
      <c r="N130" s="352"/>
      <c r="O130" s="352" t="s">
        <v>162</v>
      </c>
      <c r="P130" s="352"/>
      <c r="Q130" s="116" t="s">
        <v>159</v>
      </c>
      <c r="S130" s="117" t="s">
        <v>166</v>
      </c>
      <c r="T130" s="352" t="s">
        <v>167</v>
      </c>
      <c r="U130" s="352"/>
      <c r="V130" s="352" t="s">
        <v>168</v>
      </c>
      <c r="W130" s="352"/>
      <c r="X130" s="352" t="s">
        <v>162</v>
      </c>
      <c r="Y130" s="352"/>
      <c r="Z130" s="116" t="s">
        <v>159</v>
      </c>
      <c r="AB130" s="117" t="s">
        <v>166</v>
      </c>
      <c r="AC130" s="352" t="s">
        <v>167</v>
      </c>
      <c r="AD130" s="352"/>
      <c r="AE130" s="352" t="s">
        <v>168</v>
      </c>
      <c r="AF130" s="352"/>
      <c r="AG130" s="352" t="s">
        <v>162</v>
      </c>
      <c r="AH130" s="352"/>
      <c r="AI130" s="116" t="s">
        <v>159</v>
      </c>
    </row>
    <row r="131" spans="1:35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J131" s="27" t="s">
        <v>169</v>
      </c>
      <c r="K131" s="354">
        <f>P128</f>
        <v>0</v>
      </c>
      <c r="L131" s="354"/>
      <c r="M131" s="355">
        <v>0</v>
      </c>
      <c r="N131" s="355"/>
      <c r="O131" s="354">
        <v>0</v>
      </c>
      <c r="P131" s="354"/>
      <c r="Q131" s="119">
        <f>(K131-(K131*M131))-O131</f>
        <v>0</v>
      </c>
      <c r="S131" s="27" t="s">
        <v>169</v>
      </c>
      <c r="T131" s="354">
        <f>Y128</f>
        <v>0</v>
      </c>
      <c r="U131" s="354"/>
      <c r="V131" s="355">
        <v>0</v>
      </c>
      <c r="W131" s="355"/>
      <c r="X131" s="354">
        <v>0</v>
      </c>
      <c r="Y131" s="354"/>
      <c r="Z131" s="119">
        <f>(T131-(T131*V131))-X131</f>
        <v>0</v>
      </c>
      <c r="AB131" s="27" t="s">
        <v>169</v>
      </c>
      <c r="AC131" s="354">
        <f>AH128</f>
        <v>0</v>
      </c>
      <c r="AD131" s="354"/>
      <c r="AE131" s="355">
        <v>0</v>
      </c>
      <c r="AF131" s="355"/>
      <c r="AG131" s="354">
        <v>0</v>
      </c>
      <c r="AH131" s="354"/>
      <c r="AI131" s="119">
        <f>(AC131-(AC131*AE131))-AG131</f>
        <v>0</v>
      </c>
    </row>
    <row r="132" spans="1:35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J132" s="27" t="s">
        <v>170</v>
      </c>
      <c r="K132" s="354">
        <v>0</v>
      </c>
      <c r="L132" s="354"/>
      <c r="M132" s="355">
        <v>0</v>
      </c>
      <c r="N132" s="355"/>
      <c r="O132" s="354">
        <v>0</v>
      </c>
      <c r="P132" s="354"/>
      <c r="Q132" s="119">
        <f>(K132-(K132*M132))-O132</f>
        <v>0</v>
      </c>
      <c r="S132" s="27" t="s">
        <v>170</v>
      </c>
      <c r="T132" s="354">
        <v>0</v>
      </c>
      <c r="U132" s="354"/>
      <c r="V132" s="355">
        <v>0</v>
      </c>
      <c r="W132" s="355"/>
      <c r="X132" s="354">
        <v>0</v>
      </c>
      <c r="Y132" s="354"/>
      <c r="Z132" s="119">
        <f>(T132-(T132*V132))-X132</f>
        <v>0</v>
      </c>
      <c r="AB132" s="27" t="s">
        <v>170</v>
      </c>
      <c r="AC132" s="354">
        <v>0</v>
      </c>
      <c r="AD132" s="354"/>
      <c r="AE132" s="355">
        <v>0</v>
      </c>
      <c r="AF132" s="355"/>
      <c r="AG132" s="354">
        <v>0</v>
      </c>
      <c r="AH132" s="354"/>
      <c r="AI132" s="119">
        <f>(AC132-(AC132*AE132))-AG132</f>
        <v>0</v>
      </c>
    </row>
    <row r="133" spans="1:35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J133" s="27" t="s">
        <v>171</v>
      </c>
      <c r="K133" s="354">
        <v>0</v>
      </c>
      <c r="L133" s="354"/>
      <c r="M133" s="355">
        <v>0</v>
      </c>
      <c r="N133" s="355"/>
      <c r="O133" s="354">
        <v>0</v>
      </c>
      <c r="P133" s="354"/>
      <c r="Q133" s="119">
        <f>(K133-(K133*M133))-O133</f>
        <v>0</v>
      </c>
      <c r="S133" s="27" t="s">
        <v>171</v>
      </c>
      <c r="T133" s="354">
        <v>0</v>
      </c>
      <c r="U133" s="354"/>
      <c r="V133" s="355">
        <v>0</v>
      </c>
      <c r="W133" s="355"/>
      <c r="X133" s="354">
        <v>0</v>
      </c>
      <c r="Y133" s="354"/>
      <c r="Z133" s="119">
        <f>(T133-(T133*V133))-X133</f>
        <v>0</v>
      </c>
      <c r="AB133" s="27" t="s">
        <v>171</v>
      </c>
      <c r="AC133" s="354">
        <v>0</v>
      </c>
      <c r="AD133" s="354"/>
      <c r="AE133" s="355">
        <v>0</v>
      </c>
      <c r="AF133" s="355"/>
      <c r="AG133" s="354">
        <v>0</v>
      </c>
      <c r="AH133" s="354"/>
      <c r="AI133" s="119">
        <f>(AC133-(AC133*AE133))-AG133</f>
        <v>0</v>
      </c>
    </row>
    <row r="134" spans="1:35">
      <c r="A134" s="27"/>
      <c r="B134" s="28"/>
      <c r="C134" s="28"/>
      <c r="D134" s="28"/>
      <c r="E134" s="28"/>
      <c r="F134" s="28"/>
      <c r="G134" s="115"/>
      <c r="H134" s="116"/>
      <c r="J134" s="27"/>
      <c r="K134" s="28"/>
      <c r="L134" s="28"/>
      <c r="M134" s="28"/>
      <c r="N134" s="28"/>
      <c r="O134" s="28"/>
      <c r="P134" s="115"/>
      <c r="Q134" s="116"/>
      <c r="S134" s="27"/>
      <c r="T134" s="28"/>
      <c r="U134" s="28"/>
      <c r="V134" s="28"/>
      <c r="W134" s="28"/>
      <c r="X134" s="28"/>
      <c r="Y134" s="115"/>
      <c r="Z134" s="116"/>
      <c r="AB134" s="27"/>
      <c r="AC134" s="28"/>
      <c r="AD134" s="28"/>
      <c r="AE134" s="28"/>
      <c r="AF134" s="28"/>
      <c r="AG134" s="28"/>
      <c r="AH134" s="115"/>
      <c r="AI134" s="116"/>
    </row>
    <row r="135" spans="1:35" ht="21">
      <c r="A135" s="356" t="s">
        <v>172</v>
      </c>
      <c r="B135" s="356"/>
      <c r="C135" s="356"/>
      <c r="D135" s="356"/>
      <c r="E135" s="356"/>
      <c r="F135" s="356"/>
      <c r="G135" s="109">
        <f t="shared" ref="G135:G142" si="6">H9</f>
        <v>20255</v>
      </c>
      <c r="H135" s="120">
        <f>C125+E125+G125+H128</f>
        <v>24501.67</v>
      </c>
      <c r="J135" s="356" t="s">
        <v>172</v>
      </c>
      <c r="K135" s="356"/>
      <c r="L135" s="356"/>
      <c r="M135" s="356"/>
      <c r="N135" s="356"/>
      <c r="O135" s="356"/>
      <c r="P135" s="109">
        <f t="shared" ref="P135:P142" si="7">H9</f>
        <v>20255</v>
      </c>
      <c r="Q135" s="120">
        <f>L125+N125+P125+Q128</f>
        <v>28629.17</v>
      </c>
      <c r="S135" s="356" t="s">
        <v>172</v>
      </c>
      <c r="T135" s="356"/>
      <c r="U135" s="356"/>
      <c r="V135" s="356"/>
      <c r="W135" s="356"/>
      <c r="X135" s="356"/>
      <c r="Y135" s="109">
        <f t="shared" ref="Y135:Y142" si="8">H9</f>
        <v>20255</v>
      </c>
      <c r="Z135" s="120">
        <f>U125+W125+Y125+Z128</f>
        <v>20204.362499999999</v>
      </c>
      <c r="AB135" s="356" t="s">
        <v>172</v>
      </c>
      <c r="AC135" s="356"/>
      <c r="AD135" s="356"/>
      <c r="AE135" s="356"/>
      <c r="AF135" s="356"/>
      <c r="AG135" s="356"/>
      <c r="AH135" s="109">
        <f t="shared" ref="AH135:AH142" si="9">H9</f>
        <v>20255</v>
      </c>
      <c r="AI135" s="120">
        <f>AD125+AF125+AH125+AI128</f>
        <v>15191.25</v>
      </c>
    </row>
    <row r="136" spans="1:35">
      <c r="A136" s="357" t="s">
        <v>173</v>
      </c>
      <c r="B136" s="357"/>
      <c r="C136" s="357"/>
      <c r="D136" s="357"/>
      <c r="E136" s="357"/>
      <c r="F136" s="357"/>
      <c r="G136" s="121">
        <f t="shared" si="6"/>
        <v>695</v>
      </c>
      <c r="H136" s="29">
        <f>G136</f>
        <v>695</v>
      </c>
      <c r="J136" s="357" t="s">
        <v>173</v>
      </c>
      <c r="K136" s="357"/>
      <c r="L136" s="357"/>
      <c r="M136" s="357"/>
      <c r="N136" s="357"/>
      <c r="O136" s="357"/>
      <c r="P136" s="121">
        <f t="shared" si="7"/>
        <v>695</v>
      </c>
      <c r="Q136" s="29">
        <f>P136</f>
        <v>695</v>
      </c>
      <c r="S136" s="357" t="s">
        <v>173</v>
      </c>
      <c r="T136" s="357"/>
      <c r="U136" s="357"/>
      <c r="V136" s="357"/>
      <c r="W136" s="357"/>
      <c r="X136" s="357"/>
      <c r="Y136" s="121">
        <f t="shared" si="8"/>
        <v>695</v>
      </c>
      <c r="Z136" s="29">
        <f>Y136</f>
        <v>695</v>
      </c>
      <c r="AB136" s="357" t="s">
        <v>173</v>
      </c>
      <c r="AC136" s="357"/>
      <c r="AD136" s="357"/>
      <c r="AE136" s="357"/>
      <c r="AF136" s="357"/>
      <c r="AG136" s="357"/>
      <c r="AH136" s="121">
        <f t="shared" si="9"/>
        <v>695</v>
      </c>
      <c r="AI136" s="29">
        <f>AH136</f>
        <v>695</v>
      </c>
    </row>
    <row r="137" spans="1:35">
      <c r="A137" s="357" t="s">
        <v>174</v>
      </c>
      <c r="B137" s="357"/>
      <c r="C137" s="357"/>
      <c r="D137" s="357"/>
      <c r="E137" s="357"/>
      <c r="F137" s="357"/>
      <c r="G137" s="121">
        <f t="shared" si="6"/>
        <v>4190</v>
      </c>
      <c r="H137" s="29">
        <f>(H135+H136)*20%</f>
        <v>5039.3339999999998</v>
      </c>
      <c r="J137" s="357" t="s">
        <v>174</v>
      </c>
      <c r="K137" s="357"/>
      <c r="L137" s="357"/>
      <c r="M137" s="357"/>
      <c r="N137" s="357"/>
      <c r="O137" s="357"/>
      <c r="P137" s="121">
        <f t="shared" si="7"/>
        <v>4190</v>
      </c>
      <c r="Q137" s="29">
        <f>(Q135+Q136)*20%</f>
        <v>5864.8339999999998</v>
      </c>
      <c r="S137" s="357" t="s">
        <v>174</v>
      </c>
      <c r="T137" s="357"/>
      <c r="U137" s="357"/>
      <c r="V137" s="357"/>
      <c r="W137" s="357"/>
      <c r="X137" s="357"/>
      <c r="Y137" s="121">
        <f t="shared" si="8"/>
        <v>4190</v>
      </c>
      <c r="Z137" s="29">
        <f>(Z135+Z136)*20%</f>
        <v>4179.8725000000004</v>
      </c>
      <c r="AB137" s="357" t="s">
        <v>174</v>
      </c>
      <c r="AC137" s="357"/>
      <c r="AD137" s="357"/>
      <c r="AE137" s="357"/>
      <c r="AF137" s="357"/>
      <c r="AG137" s="357"/>
      <c r="AH137" s="121">
        <f t="shared" si="9"/>
        <v>4190</v>
      </c>
      <c r="AI137" s="29">
        <f>(AI135+AI136)*20%</f>
        <v>3177.25</v>
      </c>
    </row>
    <row r="138" spans="1:35">
      <c r="A138" s="357" t="s">
        <v>175</v>
      </c>
      <c r="B138" s="357"/>
      <c r="C138" s="357"/>
      <c r="D138" s="357"/>
      <c r="E138" s="357"/>
      <c r="F138" s="357"/>
      <c r="G138" s="121">
        <f t="shared" si="6"/>
        <v>0</v>
      </c>
      <c r="H138" s="29">
        <f>G138</f>
        <v>0</v>
      </c>
      <c r="J138" s="357" t="s">
        <v>175</v>
      </c>
      <c r="K138" s="357"/>
      <c r="L138" s="357"/>
      <c r="M138" s="357"/>
      <c r="N138" s="357"/>
      <c r="O138" s="357"/>
      <c r="P138" s="121">
        <f t="shared" si="7"/>
        <v>0</v>
      </c>
      <c r="Q138" s="29">
        <f>P138</f>
        <v>0</v>
      </c>
      <c r="S138" s="357" t="s">
        <v>175</v>
      </c>
      <c r="T138" s="357"/>
      <c r="U138" s="357"/>
      <c r="V138" s="357"/>
      <c r="W138" s="357"/>
      <c r="X138" s="357"/>
      <c r="Y138" s="121">
        <f t="shared" si="8"/>
        <v>0</v>
      </c>
      <c r="Z138" s="29">
        <f>Y138</f>
        <v>0</v>
      </c>
      <c r="AB138" s="357" t="s">
        <v>175</v>
      </c>
      <c r="AC138" s="357"/>
      <c r="AD138" s="357"/>
      <c r="AE138" s="357"/>
      <c r="AF138" s="357"/>
      <c r="AG138" s="357"/>
      <c r="AH138" s="121">
        <f t="shared" si="9"/>
        <v>0</v>
      </c>
      <c r="AI138" s="29">
        <f>AH138</f>
        <v>0</v>
      </c>
    </row>
    <row r="139" spans="1:35">
      <c r="A139" s="357" t="s">
        <v>176</v>
      </c>
      <c r="B139" s="357"/>
      <c r="C139" s="357"/>
      <c r="D139" s="357"/>
      <c r="E139" s="357"/>
      <c r="F139" s="357"/>
      <c r="G139" s="121">
        <f t="shared" si="6"/>
        <v>275</v>
      </c>
      <c r="H139" s="29">
        <f>G139</f>
        <v>275</v>
      </c>
      <c r="J139" s="357" t="s">
        <v>176</v>
      </c>
      <c r="K139" s="357"/>
      <c r="L139" s="357"/>
      <c r="M139" s="357"/>
      <c r="N139" s="357"/>
      <c r="O139" s="357"/>
      <c r="P139" s="121">
        <f t="shared" si="7"/>
        <v>275</v>
      </c>
      <c r="Q139" s="29">
        <f>P139</f>
        <v>275</v>
      </c>
      <c r="S139" s="357" t="s">
        <v>176</v>
      </c>
      <c r="T139" s="357"/>
      <c r="U139" s="357"/>
      <c r="V139" s="357"/>
      <c r="W139" s="357"/>
      <c r="X139" s="357"/>
      <c r="Y139" s="121">
        <f t="shared" si="8"/>
        <v>275</v>
      </c>
      <c r="Z139" s="29">
        <f>Y139</f>
        <v>275</v>
      </c>
      <c r="AB139" s="357" t="s">
        <v>176</v>
      </c>
      <c r="AC139" s="357"/>
      <c r="AD139" s="357"/>
      <c r="AE139" s="357"/>
      <c r="AF139" s="357"/>
      <c r="AG139" s="357"/>
      <c r="AH139" s="121">
        <f t="shared" si="9"/>
        <v>275</v>
      </c>
      <c r="AI139" s="29">
        <f>AH139</f>
        <v>275</v>
      </c>
    </row>
    <row r="140" spans="1:35">
      <c r="A140" s="357" t="s">
        <v>177</v>
      </c>
      <c r="B140" s="357"/>
      <c r="C140" s="357"/>
      <c r="D140" s="357"/>
      <c r="E140" s="357"/>
      <c r="F140" s="357"/>
      <c r="G140" s="121">
        <f t="shared" si="6"/>
        <v>65</v>
      </c>
      <c r="H140" s="29">
        <f>G140</f>
        <v>65</v>
      </c>
      <c r="J140" s="357" t="s">
        <v>177</v>
      </c>
      <c r="K140" s="357"/>
      <c r="L140" s="357"/>
      <c r="M140" s="357"/>
      <c r="N140" s="357"/>
      <c r="O140" s="357"/>
      <c r="P140" s="121">
        <f t="shared" si="7"/>
        <v>65</v>
      </c>
      <c r="Q140" s="29">
        <v>55</v>
      </c>
      <c r="S140" s="357" t="s">
        <v>177</v>
      </c>
      <c r="T140" s="357"/>
      <c r="U140" s="357"/>
      <c r="V140" s="357"/>
      <c r="W140" s="357"/>
      <c r="X140" s="357"/>
      <c r="Y140" s="121">
        <f t="shared" si="8"/>
        <v>65</v>
      </c>
      <c r="Z140" s="29">
        <v>55</v>
      </c>
      <c r="AB140" s="357" t="s">
        <v>177</v>
      </c>
      <c r="AC140" s="357"/>
      <c r="AD140" s="357"/>
      <c r="AE140" s="357"/>
      <c r="AF140" s="357"/>
      <c r="AG140" s="357"/>
      <c r="AH140" s="121">
        <f t="shared" si="9"/>
        <v>65</v>
      </c>
      <c r="AI140" s="29">
        <v>55</v>
      </c>
    </row>
    <row r="141" spans="1:35" ht="21">
      <c r="A141" s="357" t="s">
        <v>178</v>
      </c>
      <c r="B141" s="357"/>
      <c r="C141" s="357"/>
      <c r="D141" s="357"/>
      <c r="E141" s="357"/>
      <c r="F141" s="357"/>
      <c r="G141" s="123">
        <f t="shared" si="6"/>
        <v>25480</v>
      </c>
      <c r="H141" s="122">
        <f>(H135+H136+H139+H140+H137)-H138</f>
        <v>30576.003999999997</v>
      </c>
      <c r="J141" s="357" t="s">
        <v>178</v>
      </c>
      <c r="K141" s="357"/>
      <c r="L141" s="357"/>
      <c r="M141" s="357"/>
      <c r="N141" s="357"/>
      <c r="O141" s="357"/>
      <c r="P141" s="123">
        <f t="shared" si="7"/>
        <v>25480</v>
      </c>
      <c r="Q141" s="122">
        <f>(Q135+Q136+Q139+Q140+Q137)-Q138</f>
        <v>35519.004000000001</v>
      </c>
      <c r="S141" s="357" t="s">
        <v>178</v>
      </c>
      <c r="T141" s="357"/>
      <c r="U141" s="357"/>
      <c r="V141" s="357"/>
      <c r="W141" s="357"/>
      <c r="X141" s="357"/>
      <c r="Y141" s="123">
        <f t="shared" si="8"/>
        <v>25480</v>
      </c>
      <c r="Z141" s="122">
        <f>(Z135+Z136+Z139+Z140+Z137)-Z138</f>
        <v>25409.235000000001</v>
      </c>
      <c r="AB141" s="357" t="s">
        <v>178</v>
      </c>
      <c r="AC141" s="357"/>
      <c r="AD141" s="357"/>
      <c r="AE141" s="357"/>
      <c r="AF141" s="357"/>
      <c r="AG141" s="357"/>
      <c r="AH141" s="123">
        <f t="shared" si="9"/>
        <v>25480</v>
      </c>
      <c r="AI141" s="122">
        <f>(AI135+AI136+AI139+AI140+AI137)-AI138</f>
        <v>19393.5</v>
      </c>
    </row>
    <row r="142" spans="1:35">
      <c r="A142" s="357" t="s">
        <v>179</v>
      </c>
      <c r="B142" s="357"/>
      <c r="C142" s="357"/>
      <c r="D142" s="357"/>
      <c r="E142" s="357"/>
      <c r="F142" s="357"/>
      <c r="G142" s="121">
        <f t="shared" si="6"/>
        <v>0</v>
      </c>
      <c r="H142" s="36">
        <f>G142</f>
        <v>0</v>
      </c>
      <c r="J142" s="357" t="s">
        <v>179</v>
      </c>
      <c r="K142" s="357"/>
      <c r="L142" s="357"/>
      <c r="M142" s="357"/>
      <c r="N142" s="357"/>
      <c r="O142" s="357"/>
      <c r="P142" s="121">
        <f t="shared" si="7"/>
        <v>0</v>
      </c>
      <c r="Q142" s="36">
        <f>P142</f>
        <v>0</v>
      </c>
      <c r="S142" s="357" t="s">
        <v>179</v>
      </c>
      <c r="T142" s="357"/>
      <c r="U142" s="357"/>
      <c r="V142" s="357"/>
      <c r="W142" s="357"/>
      <c r="X142" s="357"/>
      <c r="Y142" s="121">
        <f t="shared" si="8"/>
        <v>0</v>
      </c>
      <c r="Z142" s="36">
        <f>Y142</f>
        <v>0</v>
      </c>
      <c r="AB142" s="357" t="s">
        <v>179</v>
      </c>
      <c r="AC142" s="357"/>
      <c r="AD142" s="357"/>
      <c r="AE142" s="357"/>
      <c r="AF142" s="357"/>
      <c r="AG142" s="357"/>
      <c r="AH142" s="121">
        <f t="shared" si="9"/>
        <v>0</v>
      </c>
      <c r="AI142" s="36">
        <f>AH142</f>
        <v>0</v>
      </c>
    </row>
    <row r="143" spans="1:35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58" t="s">
        <v>180</v>
      </c>
      <c r="K143" s="358"/>
      <c r="L143" s="358"/>
      <c r="M143" s="358"/>
      <c r="N143" s="358"/>
      <c r="O143" s="358"/>
      <c r="P143" s="34"/>
      <c r="Q143" s="29"/>
      <c r="S143" s="358" t="s">
        <v>180</v>
      </c>
      <c r="T143" s="358"/>
      <c r="U143" s="358"/>
      <c r="V143" s="358"/>
      <c r="W143" s="358"/>
      <c r="X143" s="358"/>
      <c r="Y143" s="34"/>
      <c r="Z143" s="29"/>
      <c r="AB143" s="358" t="s">
        <v>180</v>
      </c>
      <c r="AC143" s="358"/>
      <c r="AD143" s="358"/>
      <c r="AE143" s="358"/>
      <c r="AF143" s="358"/>
      <c r="AG143" s="358"/>
      <c r="AH143" s="34"/>
      <c r="AI143" s="29"/>
    </row>
    <row r="144" spans="1:35">
      <c r="A144" s="124" t="s">
        <v>26</v>
      </c>
      <c r="B144" s="360" t="s">
        <v>181</v>
      </c>
      <c r="C144" s="360"/>
      <c r="D144" s="360"/>
      <c r="E144" s="360"/>
      <c r="F144" s="360"/>
      <c r="G144" s="121">
        <f>H18</f>
        <v>0</v>
      </c>
      <c r="H144" s="36">
        <f>G144</f>
        <v>0</v>
      </c>
      <c r="J144" s="124" t="s">
        <v>26</v>
      </c>
      <c r="K144" s="360" t="s">
        <v>181</v>
      </c>
      <c r="L144" s="360"/>
      <c r="M144" s="360"/>
      <c r="N144" s="360"/>
      <c r="O144" s="360"/>
      <c r="P144" s="121">
        <f>H18</f>
        <v>0</v>
      </c>
      <c r="Q144" s="36">
        <f>P144</f>
        <v>0</v>
      </c>
      <c r="S144" s="124" t="s">
        <v>26</v>
      </c>
      <c r="T144" s="360" t="s">
        <v>181</v>
      </c>
      <c r="U144" s="360"/>
      <c r="V144" s="360"/>
      <c r="W144" s="360"/>
      <c r="X144" s="360"/>
      <c r="Y144" s="121">
        <f>H18</f>
        <v>0</v>
      </c>
      <c r="Z144" s="36">
        <f>Y144</f>
        <v>0</v>
      </c>
      <c r="AB144" s="124" t="s">
        <v>26</v>
      </c>
      <c r="AC144" s="360" t="s">
        <v>181</v>
      </c>
      <c r="AD144" s="360"/>
      <c r="AE144" s="360"/>
      <c r="AF144" s="360"/>
      <c r="AG144" s="360"/>
      <c r="AH144" s="121">
        <f>H18</f>
        <v>0</v>
      </c>
      <c r="AI144" s="36">
        <f>AH144</f>
        <v>0</v>
      </c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f>G145</f>
        <v>0</v>
      </c>
      <c r="I145" s="4">
        <f>(G142+G145+G146+G144)</f>
        <v>0</v>
      </c>
      <c r="J145" s="124" t="s">
        <v>28</v>
      </c>
      <c r="K145" s="360" t="s">
        <v>181</v>
      </c>
      <c r="L145" s="360"/>
      <c r="M145" s="360"/>
      <c r="N145" s="360"/>
      <c r="O145" s="360"/>
      <c r="P145" s="121">
        <f>H19</f>
        <v>0</v>
      </c>
      <c r="Q145" s="36">
        <f>P145</f>
        <v>0</v>
      </c>
      <c r="S145" s="124" t="s">
        <v>28</v>
      </c>
      <c r="T145" s="360" t="s">
        <v>181</v>
      </c>
      <c r="U145" s="360"/>
      <c r="V145" s="360"/>
      <c r="W145" s="360"/>
      <c r="X145" s="360"/>
      <c r="Y145" s="121">
        <f>H19</f>
        <v>0</v>
      </c>
      <c r="Z145" s="36">
        <f>Y145</f>
        <v>0</v>
      </c>
      <c r="AB145" s="124" t="s">
        <v>28</v>
      </c>
      <c r="AC145" s="360" t="s">
        <v>181</v>
      </c>
      <c r="AD145" s="360"/>
      <c r="AE145" s="360"/>
      <c r="AF145" s="360"/>
      <c r="AG145" s="360"/>
      <c r="AH145" s="121">
        <f>H19</f>
        <v>0</v>
      </c>
      <c r="AI145" s="36">
        <f>AH145</f>
        <v>0</v>
      </c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f>G146</f>
        <v>0</v>
      </c>
      <c r="I146" s="4">
        <f>(H142+H144+H145+H146)</f>
        <v>0</v>
      </c>
      <c r="J146" s="125" t="s">
        <v>29</v>
      </c>
      <c r="K146" s="361" t="s">
        <v>181</v>
      </c>
      <c r="L146" s="361"/>
      <c r="M146" s="361"/>
      <c r="N146" s="361"/>
      <c r="O146" s="361"/>
      <c r="P146" s="121">
        <f>H20</f>
        <v>0</v>
      </c>
      <c r="Q146" s="36">
        <f>P146</f>
        <v>0</v>
      </c>
      <c r="S146" s="125" t="s">
        <v>29</v>
      </c>
      <c r="T146" s="361" t="s">
        <v>181</v>
      </c>
      <c r="U146" s="361"/>
      <c r="V146" s="361"/>
      <c r="W146" s="361"/>
      <c r="X146" s="361"/>
      <c r="Y146" s="121">
        <f>H20</f>
        <v>0</v>
      </c>
      <c r="Z146" s="36">
        <f>Y146</f>
        <v>0</v>
      </c>
      <c r="AB146" s="125" t="s">
        <v>29</v>
      </c>
      <c r="AC146" s="361" t="s">
        <v>181</v>
      </c>
      <c r="AD146" s="361"/>
      <c r="AE146" s="361"/>
      <c r="AF146" s="361"/>
      <c r="AG146" s="361"/>
      <c r="AH146" s="121">
        <f>H20</f>
        <v>0</v>
      </c>
      <c r="AI146" s="36">
        <f>AH146</f>
        <v>0</v>
      </c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25480</v>
      </c>
      <c r="H147" s="126">
        <f>H141-((H144*1.2)+(H145*1.2)+(H146*1.2)+(H142*1.2))</f>
        <v>30576.003999999997</v>
      </c>
      <c r="J147" s="357" t="s">
        <v>182</v>
      </c>
      <c r="K147" s="357"/>
      <c r="L147" s="357"/>
      <c r="M147" s="357"/>
      <c r="N147" s="357"/>
      <c r="O147" s="357"/>
      <c r="P147" s="123">
        <f>P141-((P144*1.2)+(P145*1.2)+(P146*1.2)+(P142*1.2))</f>
        <v>25480</v>
      </c>
      <c r="Q147" s="126">
        <f>Q141-((Q144*1.2)+(Q145*1.2)+(Q146*1.2)+(Q142*1.2))</f>
        <v>35519.004000000001</v>
      </c>
      <c r="S147" s="357" t="s">
        <v>182</v>
      </c>
      <c r="T147" s="357"/>
      <c r="U147" s="357"/>
      <c r="V147" s="357"/>
      <c r="W147" s="357"/>
      <c r="X147" s="357"/>
      <c r="Y147" s="123">
        <f>Y141-((Y144*1.2)+(Y145*1.2)+(Y146*1.2)+(Y142*1.2))</f>
        <v>25480</v>
      </c>
      <c r="Z147" s="126">
        <f>Z141-((Z144*1.2)+(Z145*1.2)+(Z146*1.2)+(Z142*1.2))</f>
        <v>25409.235000000001</v>
      </c>
      <c r="AB147" s="357" t="s">
        <v>182</v>
      </c>
      <c r="AC147" s="357"/>
      <c r="AD147" s="357"/>
      <c r="AE147" s="357"/>
      <c r="AF147" s="357"/>
      <c r="AG147" s="357"/>
      <c r="AH147" s="123">
        <f>AH141-((AH144*1.2)+(AH145*1.2)+(AH146*1.2)+(AH142*1.2))</f>
        <v>25480</v>
      </c>
      <c r="AI147" s="126">
        <f>AI141-((AI144*1.2)+(AI145*1.2)+(AI146*1.2)+(AI142*1.2))</f>
        <v>19393.5</v>
      </c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4246.6699999999973</v>
      </c>
      <c r="I148" s="4">
        <f>(H148-G81)/1.2</f>
        <v>-22791.111666666668</v>
      </c>
      <c r="J148" s="357" t="s">
        <v>183</v>
      </c>
      <c r="K148" s="357"/>
      <c r="L148" s="357"/>
      <c r="M148" s="357"/>
      <c r="N148" s="357"/>
      <c r="O148" s="357"/>
      <c r="P148" s="121"/>
      <c r="Q148" s="36">
        <f>Q147-P147</f>
        <v>10039.004000000001</v>
      </c>
      <c r="S148" s="357" t="s">
        <v>183</v>
      </c>
      <c r="T148" s="357"/>
      <c r="U148" s="357"/>
      <c r="V148" s="357"/>
      <c r="W148" s="357"/>
      <c r="X148" s="357"/>
      <c r="Y148" s="121"/>
      <c r="Z148" s="36">
        <f>Z147-Y147</f>
        <v>-70.764999999999418</v>
      </c>
      <c r="AB148" s="357" t="s">
        <v>183</v>
      </c>
      <c r="AC148" s="357"/>
      <c r="AD148" s="357"/>
      <c r="AE148" s="357"/>
      <c r="AF148" s="357"/>
      <c r="AG148" s="357"/>
      <c r="AH148" s="121"/>
      <c r="AI148" s="36">
        <f>AI147-AH147</f>
        <v>-6086.5</v>
      </c>
    </row>
    <row r="149" spans="1:35">
      <c r="A149" s="27"/>
      <c r="B149" s="28"/>
      <c r="C149" s="28"/>
      <c r="D149" s="28"/>
      <c r="E149" s="21"/>
      <c r="F149" s="21"/>
      <c r="G149" s="21"/>
      <c r="H149" s="29"/>
      <c r="J149" s="27"/>
      <c r="K149" s="28"/>
      <c r="L149" s="28"/>
      <c r="M149" s="28"/>
      <c r="N149" s="21"/>
      <c r="O149" s="21"/>
      <c r="P149" s="21"/>
      <c r="Q149" s="29"/>
      <c r="S149" s="27"/>
      <c r="T149" s="28"/>
      <c r="U149" s="28"/>
      <c r="V149" s="28"/>
      <c r="W149" s="21"/>
      <c r="X149" s="21"/>
      <c r="Y149" s="21"/>
      <c r="Z149" s="29"/>
      <c r="AB149" s="27"/>
      <c r="AC149" s="28"/>
      <c r="AD149" s="28"/>
      <c r="AE149" s="28"/>
      <c r="AF149" s="21"/>
      <c r="AG149" s="21"/>
      <c r="AH149" s="21"/>
      <c r="AI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35" t="s">
        <v>184</v>
      </c>
      <c r="K150" s="335"/>
      <c r="L150" s="335"/>
      <c r="M150" s="335"/>
      <c r="N150" s="335"/>
      <c r="O150" s="335"/>
      <c r="P150" s="335"/>
      <c r="Q150" s="335"/>
      <c r="S150" s="335" t="s">
        <v>184</v>
      </c>
      <c r="T150" s="335"/>
      <c r="U150" s="335"/>
      <c r="V150" s="335"/>
      <c r="W150" s="335"/>
      <c r="X150" s="335"/>
      <c r="Y150" s="335"/>
      <c r="Z150" s="335"/>
      <c r="AB150" s="335" t="s">
        <v>184</v>
      </c>
      <c r="AC150" s="335"/>
      <c r="AD150" s="335"/>
      <c r="AE150" s="335"/>
      <c r="AF150" s="335"/>
      <c r="AG150" s="335"/>
      <c r="AH150" s="335"/>
      <c r="AI150" s="335"/>
    </row>
    <row r="151" spans="1:35">
      <c r="A151" s="27"/>
      <c r="B151" s="28"/>
      <c r="C151" s="28"/>
      <c r="D151" s="28"/>
      <c r="E151" s="21"/>
      <c r="F151" s="21"/>
      <c r="G151" s="21"/>
      <c r="H151" s="29"/>
      <c r="J151" s="27"/>
      <c r="K151" s="28"/>
      <c r="L151" s="28"/>
      <c r="M151" s="28"/>
      <c r="N151" s="21"/>
      <c r="O151" s="21"/>
      <c r="P151" s="21"/>
      <c r="Q151" s="29"/>
      <c r="S151" s="27"/>
      <c r="T151" s="28"/>
      <c r="U151" s="28"/>
      <c r="V151" s="28"/>
      <c r="W151" s="21"/>
      <c r="X151" s="21"/>
      <c r="Y151" s="21"/>
      <c r="Z151" s="29"/>
      <c r="AB151" s="27"/>
      <c r="AC151" s="28"/>
      <c r="AD151" s="28"/>
      <c r="AE151" s="28"/>
      <c r="AF151" s="21"/>
      <c r="AG151" s="21"/>
      <c r="AH151" s="21"/>
      <c r="AI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J152" s="27" t="s">
        <v>185</v>
      </c>
      <c r="K152" s="28"/>
      <c r="L152" s="28"/>
      <c r="M152" s="21"/>
      <c r="N152" s="348">
        <v>10000</v>
      </c>
      <c r="O152" s="348"/>
      <c r="P152" s="348">
        <v>5000</v>
      </c>
      <c r="Q152" s="348"/>
      <c r="S152" s="27" t="s">
        <v>185</v>
      </c>
      <c r="T152" s="28"/>
      <c r="U152" s="28"/>
      <c r="V152" s="21"/>
      <c r="W152" s="348">
        <v>10000</v>
      </c>
      <c r="X152" s="348"/>
      <c r="Y152" s="348">
        <v>5000</v>
      </c>
      <c r="Z152" s="348"/>
      <c r="AB152" s="27" t="s">
        <v>185</v>
      </c>
      <c r="AC152" s="28"/>
      <c r="AD152" s="28"/>
      <c r="AE152" s="21"/>
      <c r="AF152" s="348">
        <v>10000</v>
      </c>
      <c r="AG152" s="348"/>
      <c r="AH152" s="348">
        <v>5000</v>
      </c>
      <c r="AI152" s="348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J153" s="27" t="s">
        <v>186</v>
      </c>
      <c r="K153" s="28"/>
      <c r="L153" s="28"/>
      <c r="M153" s="21"/>
      <c r="N153" s="363">
        <f>P153</f>
        <v>7000</v>
      </c>
      <c r="O153" s="363"/>
      <c r="P153" s="348">
        <v>7000</v>
      </c>
      <c r="Q153" s="348"/>
      <c r="S153" s="27" t="s">
        <v>186</v>
      </c>
      <c r="T153" s="28"/>
      <c r="U153" s="28"/>
      <c r="V153" s="21"/>
      <c r="W153" s="363">
        <f>Y153</f>
        <v>7000</v>
      </c>
      <c r="X153" s="363"/>
      <c r="Y153" s="348">
        <v>7000</v>
      </c>
      <c r="Z153" s="348"/>
      <c r="AB153" s="27" t="s">
        <v>186</v>
      </c>
      <c r="AC153" s="28"/>
      <c r="AD153" s="28"/>
      <c r="AE153" s="21"/>
      <c r="AF153" s="363">
        <f>AH153</f>
        <v>7000</v>
      </c>
      <c r="AG153" s="363"/>
      <c r="AH153" s="348">
        <v>7000</v>
      </c>
      <c r="AI153" s="348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J154" s="27" t="s">
        <v>187</v>
      </c>
      <c r="K154" s="28"/>
      <c r="L154" s="28"/>
      <c r="M154" s="21"/>
      <c r="N154" s="363">
        <f>N152-N153</f>
        <v>3000</v>
      </c>
      <c r="O154" s="363"/>
      <c r="P154" s="364">
        <f>P152-P153</f>
        <v>-2000</v>
      </c>
      <c r="Q154" s="364"/>
      <c r="S154" s="27" t="s">
        <v>187</v>
      </c>
      <c r="T154" s="28"/>
      <c r="U154" s="28"/>
      <c r="V154" s="21"/>
      <c r="W154" s="363">
        <f>W152-W153</f>
        <v>3000</v>
      </c>
      <c r="X154" s="363"/>
      <c r="Y154" s="364">
        <f>Y152-Y153</f>
        <v>-2000</v>
      </c>
      <c r="Z154" s="364"/>
      <c r="AB154" s="27" t="s">
        <v>187</v>
      </c>
      <c r="AC154" s="28"/>
      <c r="AD154" s="28"/>
      <c r="AE154" s="21"/>
      <c r="AF154" s="363">
        <f>AF152-AF153</f>
        <v>3000</v>
      </c>
      <c r="AG154" s="363"/>
      <c r="AH154" s="364">
        <f>AH152-AH153</f>
        <v>-2000</v>
      </c>
      <c r="AI154" s="364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J155" s="27" t="s">
        <v>188</v>
      </c>
      <c r="K155" s="28"/>
      <c r="L155" s="28"/>
      <c r="M155" s="21"/>
      <c r="N155" s="363">
        <f>N154-P154</f>
        <v>5000</v>
      </c>
      <c r="O155" s="363"/>
      <c r="P155" s="21"/>
      <c r="Q155" s="29"/>
      <c r="S155" s="27" t="s">
        <v>188</v>
      </c>
      <c r="T155" s="28"/>
      <c r="U155" s="28"/>
      <c r="V155" s="21"/>
      <c r="W155" s="363">
        <f>W154-Y154</f>
        <v>5000</v>
      </c>
      <c r="X155" s="363"/>
      <c r="Y155" s="21"/>
      <c r="Z155" s="29"/>
      <c r="AB155" s="27" t="s">
        <v>188</v>
      </c>
      <c r="AC155" s="28"/>
      <c r="AD155" s="28"/>
      <c r="AE155" s="21"/>
      <c r="AF155" s="363">
        <f>AF154-AH154</f>
        <v>5000</v>
      </c>
      <c r="AG155" s="363"/>
      <c r="AH155" s="21"/>
      <c r="AI155" s="29"/>
    </row>
    <row r="156" spans="1:35">
      <c r="A156" s="22" t="s">
        <v>189</v>
      </c>
      <c r="B156" s="23"/>
      <c r="C156" s="23"/>
      <c r="D156" s="63"/>
      <c r="E156" s="23"/>
      <c r="F156" s="63"/>
      <c r="G156" s="128" t="s">
        <v>10</v>
      </c>
      <c r="H156" s="36">
        <v>1420</v>
      </c>
      <c r="J156" s="27"/>
      <c r="K156" s="28"/>
      <c r="L156" s="28"/>
      <c r="M156" s="21"/>
      <c r="N156" s="28"/>
      <c r="O156" s="21"/>
      <c r="P156" s="21"/>
      <c r="Q156" s="29"/>
      <c r="S156" s="27"/>
      <c r="T156" s="28"/>
      <c r="U156" s="28"/>
      <c r="V156" s="21"/>
      <c r="W156" s="28"/>
      <c r="X156" s="21"/>
      <c r="Y156" s="21"/>
      <c r="Z156" s="29"/>
      <c r="AB156" s="27"/>
      <c r="AC156" s="28"/>
      <c r="AD156" s="28"/>
      <c r="AE156" s="21"/>
      <c r="AF156" s="28"/>
      <c r="AG156" s="21"/>
      <c r="AH156" s="21"/>
      <c r="AI156" s="29"/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400</v>
      </c>
      <c r="H157" s="365"/>
      <c r="J157" s="22" t="s">
        <v>190</v>
      </c>
      <c r="K157" s="23"/>
      <c r="L157" s="23"/>
      <c r="M157" s="63"/>
      <c r="N157" s="23"/>
      <c r="O157" s="63"/>
      <c r="P157" s="365">
        <f>J114</f>
        <v>1000</v>
      </c>
      <c r="Q157" s="365"/>
      <c r="S157" s="22" t="s">
        <v>190</v>
      </c>
      <c r="T157" s="23"/>
      <c r="U157" s="23"/>
      <c r="V157" s="63"/>
      <c r="W157" s="23"/>
      <c r="X157" s="63"/>
      <c r="Y157" s="365">
        <f>S114</f>
        <v>1000</v>
      </c>
      <c r="Z157" s="365"/>
      <c r="AB157" s="22" t="s">
        <v>190</v>
      </c>
      <c r="AC157" s="23"/>
      <c r="AD157" s="23"/>
      <c r="AE157" s="63"/>
      <c r="AF157" s="23"/>
      <c r="AG157" s="63"/>
      <c r="AH157" s="365">
        <f>AB114</f>
        <v>1000</v>
      </c>
      <c r="AI157" s="365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31596.003999999997</v>
      </c>
      <c r="H158" s="366"/>
      <c r="J158" s="129" t="s">
        <v>191</v>
      </c>
      <c r="K158" s="28"/>
      <c r="L158" s="28"/>
      <c r="M158" s="21"/>
      <c r="N158" s="28"/>
      <c r="O158" s="21"/>
      <c r="P158" s="366">
        <f>Q147-P154-P157</f>
        <v>36519.004000000001</v>
      </c>
      <c r="Q158" s="366"/>
      <c r="S158" s="129" t="s">
        <v>191</v>
      </c>
      <c r="T158" s="28"/>
      <c r="U158" s="28"/>
      <c r="V158" s="21"/>
      <c r="W158" s="28"/>
      <c r="X158" s="21"/>
      <c r="Y158" s="366">
        <f>Z147-Y154-Y157</f>
        <v>26409.235000000001</v>
      </c>
      <c r="Z158" s="366"/>
      <c r="AB158" s="129" t="s">
        <v>191</v>
      </c>
      <c r="AC158" s="28"/>
      <c r="AD158" s="28"/>
      <c r="AE158" s="21"/>
      <c r="AF158" s="28"/>
      <c r="AG158" s="21"/>
      <c r="AH158" s="366">
        <f>AI147-AH154-AH157</f>
        <v>20393.5</v>
      </c>
      <c r="AI158" s="366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1000</v>
      </c>
      <c r="H159" s="367"/>
      <c r="J159" s="49" t="s">
        <v>66</v>
      </c>
      <c r="K159" s="50"/>
      <c r="L159" s="50"/>
      <c r="M159" s="85"/>
      <c r="N159" s="50"/>
      <c r="O159" s="85"/>
      <c r="P159" s="367">
        <f>K114</f>
        <v>239.99</v>
      </c>
      <c r="Q159" s="367"/>
      <c r="S159" s="49" t="s">
        <v>66</v>
      </c>
      <c r="T159" s="50"/>
      <c r="U159" s="50"/>
      <c r="V159" s="85"/>
      <c r="W159" s="50"/>
      <c r="X159" s="85"/>
      <c r="Y159" s="367">
        <f>T114</f>
        <v>199.99</v>
      </c>
      <c r="Z159" s="367"/>
      <c r="AB159" s="49" t="s">
        <v>66</v>
      </c>
      <c r="AC159" s="50"/>
      <c r="AD159" s="50"/>
      <c r="AE159" s="85"/>
      <c r="AF159" s="50"/>
      <c r="AG159" s="85"/>
      <c r="AH159" s="367">
        <f>AC114</f>
        <v>239.99</v>
      </c>
      <c r="AI159" s="367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/>
      <c r="B161" s="28"/>
      <c r="C161" s="28"/>
      <c r="D161" s="28"/>
      <c r="E161" s="21"/>
      <c r="F161" s="21"/>
      <c r="G161" s="21"/>
      <c r="H161" s="29"/>
      <c r="J161" s="27"/>
      <c r="K161" s="28"/>
      <c r="L161" s="28"/>
      <c r="M161" s="28"/>
      <c r="N161" s="21"/>
      <c r="O161" s="21"/>
      <c r="P161" s="21"/>
      <c r="Q161" s="29"/>
      <c r="S161" s="27"/>
      <c r="T161" s="28"/>
      <c r="U161" s="28"/>
      <c r="V161" s="28"/>
      <c r="W161" s="21"/>
      <c r="X161" s="21"/>
      <c r="Y161" s="21"/>
      <c r="Z161" s="29"/>
      <c r="AB161" s="27"/>
      <c r="AC161" s="28"/>
      <c r="AD161" s="28"/>
      <c r="AE161" s="28"/>
      <c r="AF161" s="21"/>
      <c r="AG161" s="21"/>
      <c r="AH161" s="21"/>
      <c r="AI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35" t="s">
        <v>192</v>
      </c>
      <c r="K162" s="335"/>
      <c r="L162" s="335"/>
      <c r="M162" s="335"/>
      <c r="N162" s="335"/>
      <c r="O162" s="335"/>
      <c r="P162" s="335"/>
      <c r="Q162" s="335"/>
      <c r="S162" s="335" t="s">
        <v>192</v>
      </c>
      <c r="T162" s="335"/>
      <c r="U162" s="335"/>
      <c r="V162" s="335"/>
      <c r="W162" s="335"/>
      <c r="X162" s="335"/>
      <c r="Y162" s="335"/>
      <c r="Z162" s="335"/>
      <c r="AB162" s="335" t="s">
        <v>192</v>
      </c>
      <c r="AC162" s="335"/>
      <c r="AD162" s="335"/>
      <c r="AE162" s="335"/>
      <c r="AF162" s="335"/>
      <c r="AG162" s="335"/>
      <c r="AH162" s="335"/>
      <c r="AI162" s="335"/>
    </row>
    <row r="163" spans="1:35">
      <c r="A163" s="27"/>
      <c r="B163" s="28"/>
      <c r="C163" s="28"/>
      <c r="D163" s="28"/>
      <c r="E163" s="21"/>
      <c r="F163" s="21"/>
      <c r="G163" s="21"/>
      <c r="H163" s="29"/>
      <c r="J163" s="27"/>
      <c r="K163" s="28"/>
      <c r="L163" s="28"/>
      <c r="M163" s="28"/>
      <c r="N163" s="21"/>
      <c r="O163" s="21"/>
      <c r="P163" s="21"/>
      <c r="Q163" s="29"/>
      <c r="S163" s="27"/>
      <c r="T163" s="28"/>
      <c r="U163" s="28"/>
      <c r="V163" s="28"/>
      <c r="W163" s="21"/>
      <c r="X163" s="21"/>
      <c r="Y163" s="21"/>
      <c r="Z163" s="29"/>
      <c r="AB163" s="27"/>
      <c r="AC163" s="28"/>
      <c r="AD163" s="28"/>
      <c r="AE163" s="28"/>
      <c r="AF163" s="21"/>
      <c r="AG163" s="21"/>
      <c r="AH163" s="21"/>
      <c r="AI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J164" s="27" t="s">
        <v>193</v>
      </c>
      <c r="K164" s="368">
        <v>0</v>
      </c>
      <c r="L164" s="368"/>
      <c r="M164" s="28"/>
      <c r="N164" s="21"/>
      <c r="O164" s="21"/>
      <c r="P164" s="21"/>
      <c r="Q164" s="29"/>
      <c r="S164" s="27" t="s">
        <v>193</v>
      </c>
      <c r="T164" s="368">
        <v>0</v>
      </c>
      <c r="U164" s="368"/>
      <c r="V164" s="28"/>
      <c r="W164" s="21"/>
      <c r="X164" s="21"/>
      <c r="Y164" s="21"/>
      <c r="Z164" s="29"/>
      <c r="AB164" s="27" t="s">
        <v>193</v>
      </c>
      <c r="AC164" s="368">
        <v>0</v>
      </c>
      <c r="AD164" s="368"/>
      <c r="AE164" s="28"/>
      <c r="AF164" s="21"/>
      <c r="AG164" s="21"/>
      <c r="AH164" s="21"/>
      <c r="AI164" s="29"/>
    </row>
    <row r="165" spans="1:35">
      <c r="A165" s="27"/>
      <c r="B165" s="28"/>
      <c r="C165" s="28"/>
      <c r="D165" s="28"/>
      <c r="E165" s="21"/>
      <c r="F165" s="21"/>
      <c r="G165" s="21"/>
      <c r="H165" s="29"/>
      <c r="J165" s="27"/>
      <c r="K165" s="28"/>
      <c r="L165" s="28"/>
      <c r="M165" s="28"/>
      <c r="N165" s="21"/>
      <c r="O165" s="21"/>
      <c r="P165" s="21"/>
      <c r="Q165" s="29"/>
      <c r="S165" s="27"/>
      <c r="T165" s="28"/>
      <c r="U165" s="28"/>
      <c r="V165" s="28"/>
      <c r="W165" s="21"/>
      <c r="X165" s="21"/>
      <c r="Y165" s="21"/>
      <c r="Z165" s="29"/>
      <c r="AB165" s="27"/>
      <c r="AC165" s="28"/>
      <c r="AD165" s="28"/>
      <c r="AE165" s="28"/>
      <c r="AF165" s="21"/>
      <c r="AG165" s="21"/>
      <c r="AH165" s="21"/>
      <c r="AI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  <c r="J166" s="130" t="s">
        <v>194</v>
      </c>
      <c r="K166" s="131" t="s">
        <v>195</v>
      </c>
      <c r="L166" s="131"/>
      <c r="M166" s="131"/>
      <c r="N166" s="131" t="s">
        <v>196</v>
      </c>
      <c r="O166" s="21"/>
      <c r="P166" s="21"/>
      <c r="Q166" s="29"/>
      <c r="S166" s="130" t="s">
        <v>194</v>
      </c>
      <c r="T166" s="131" t="s">
        <v>195</v>
      </c>
      <c r="U166" s="131"/>
      <c r="V166" s="131"/>
      <c r="W166" s="131" t="s">
        <v>196</v>
      </c>
      <c r="X166" s="21"/>
      <c r="Y166" s="21"/>
      <c r="Z166" s="29"/>
      <c r="AB166" s="130" t="s">
        <v>194</v>
      </c>
      <c r="AC166" s="131" t="s">
        <v>195</v>
      </c>
      <c r="AD166" s="131"/>
      <c r="AE166" s="131"/>
      <c r="AF166" s="131" t="s">
        <v>196</v>
      </c>
      <c r="AG166" s="21"/>
      <c r="AH166" s="21"/>
      <c r="AI166" s="29"/>
    </row>
    <row r="167" spans="1:35">
      <c r="A167" s="132">
        <f>B95</f>
        <v>1027.9071089906945</v>
      </c>
      <c r="B167" s="133">
        <f>B94</f>
        <v>123.17117647058822</v>
      </c>
      <c r="C167" s="131"/>
      <c r="D167" s="131"/>
      <c r="E167" s="133">
        <f>B96</f>
        <v>1151.0782854612828</v>
      </c>
      <c r="F167" s="21"/>
      <c r="G167" s="21">
        <f>ROUND(G95,2)</f>
        <v>948.58</v>
      </c>
      <c r="H167" s="29"/>
      <c r="J167" s="132">
        <f>K95</f>
        <v>1460.8408374458413</v>
      </c>
      <c r="K167" s="133">
        <f>K94</f>
        <v>119.652</v>
      </c>
      <c r="L167" s="131"/>
      <c r="M167" s="131"/>
      <c r="N167" s="133">
        <f>K96</f>
        <v>1580.4928374458414</v>
      </c>
      <c r="O167" s="21"/>
      <c r="P167" s="21"/>
      <c r="Q167" s="29"/>
      <c r="S167" s="132">
        <f>T95</f>
        <v>862.29001734195367</v>
      </c>
      <c r="T167" s="133">
        <f>T94</f>
        <v>94.7470588235294</v>
      </c>
      <c r="U167" s="131"/>
      <c r="V167" s="131"/>
      <c r="W167" s="133">
        <f>T96</f>
        <v>957.03707616548309</v>
      </c>
      <c r="X167" s="21"/>
      <c r="Y167" s="21"/>
      <c r="Z167" s="29"/>
      <c r="AB167" s="132">
        <f>AC95</f>
        <v>649.54105088894494</v>
      </c>
      <c r="AC167" s="133">
        <f>AC94</f>
        <v>113.69647058823527</v>
      </c>
      <c r="AD167" s="131"/>
      <c r="AE167" s="131"/>
      <c r="AF167" s="133">
        <f>AC96</f>
        <v>763.23752147718017</v>
      </c>
      <c r="AG167" s="21"/>
      <c r="AH167" s="21"/>
      <c r="AI167" s="29"/>
    </row>
    <row r="168" spans="1:35">
      <c r="A168" s="27"/>
      <c r="B168" s="28"/>
      <c r="C168" s="28"/>
      <c r="D168" s="28"/>
      <c r="E168" s="21"/>
      <c r="F168" s="21"/>
      <c r="G168" s="21"/>
      <c r="H168" s="29"/>
      <c r="J168" s="27"/>
      <c r="K168" s="28"/>
      <c r="L168" s="28"/>
      <c r="M168" s="28"/>
      <c r="N168" s="21"/>
      <c r="O168" s="21"/>
      <c r="P168" s="21"/>
      <c r="Q168" s="29"/>
      <c r="S168" s="27"/>
      <c r="T168" s="28"/>
      <c r="U168" s="28"/>
      <c r="V168" s="28"/>
      <c r="W168" s="21"/>
      <c r="X168" s="21"/>
      <c r="Y168" s="21"/>
      <c r="Z168" s="29"/>
      <c r="AB168" s="27"/>
      <c r="AC168" s="28"/>
      <c r="AD168" s="28"/>
      <c r="AE168" s="28"/>
      <c r="AF168" s="21"/>
      <c r="AG168" s="21"/>
      <c r="AH168" s="21"/>
      <c r="AI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  <c r="J169" s="27" t="s">
        <v>94</v>
      </c>
      <c r="K169" s="28" t="s">
        <v>95</v>
      </c>
      <c r="L169" s="28"/>
      <c r="M169" s="21"/>
      <c r="N169" s="28" t="s">
        <v>198</v>
      </c>
      <c r="O169" s="21"/>
      <c r="P169" s="21"/>
      <c r="Q169" s="29"/>
      <c r="S169" s="27" t="s">
        <v>94</v>
      </c>
      <c r="T169" s="28" t="s">
        <v>95</v>
      </c>
      <c r="U169" s="28"/>
      <c r="V169" s="21"/>
      <c r="W169" s="28" t="s">
        <v>198</v>
      </c>
      <c r="X169" s="21"/>
      <c r="Y169" s="21"/>
      <c r="Z169" s="29"/>
      <c r="AB169" s="27" t="s">
        <v>94</v>
      </c>
      <c r="AC169" s="28" t="s">
        <v>95</v>
      </c>
      <c r="AD169" s="28"/>
      <c r="AE169" s="21"/>
      <c r="AF169" s="28" t="s">
        <v>198</v>
      </c>
      <c r="AG169" s="21"/>
      <c r="AH169" s="21"/>
      <c r="AI169" s="29"/>
    </row>
    <row r="170" spans="1:35">
      <c r="A170" s="134">
        <f>K29</f>
        <v>35</v>
      </c>
      <c r="B170" s="135">
        <f>K30</f>
        <v>35000</v>
      </c>
      <c r="C170" s="136"/>
      <c r="D170" s="21"/>
      <c r="E170" s="137">
        <f>IF(A111="YES",A40,0)</f>
        <v>2964</v>
      </c>
      <c r="F170" s="21"/>
      <c r="G170" s="21"/>
      <c r="H170" s="29"/>
      <c r="J170" s="134">
        <f>K29</f>
        <v>35</v>
      </c>
      <c r="K170" s="135">
        <f>K30</f>
        <v>35000</v>
      </c>
      <c r="L170" s="136"/>
      <c r="M170" s="21"/>
      <c r="N170" s="137">
        <f>IF(A111="YES",A40,0)</f>
        <v>2964</v>
      </c>
      <c r="O170" s="21"/>
      <c r="P170" s="21"/>
      <c r="Q170" s="29"/>
      <c r="S170" s="134">
        <f>K29</f>
        <v>35</v>
      </c>
      <c r="T170" s="135">
        <f>K30</f>
        <v>35000</v>
      </c>
      <c r="U170" s="136"/>
      <c r="V170" s="21"/>
      <c r="W170" s="137">
        <f>IF(A111="YES",A40,0)</f>
        <v>2964</v>
      </c>
      <c r="X170" s="21"/>
      <c r="Y170" s="21"/>
      <c r="Z170" s="29"/>
      <c r="AB170" s="134">
        <f>K29</f>
        <v>35</v>
      </c>
      <c r="AC170" s="135">
        <f>K30</f>
        <v>35000</v>
      </c>
      <c r="AD170" s="136"/>
      <c r="AE170" s="21"/>
      <c r="AF170" s="137">
        <f>IF(A111="YES",A40,0)</f>
        <v>2964</v>
      </c>
      <c r="AG170" s="21"/>
      <c r="AH170" s="21"/>
      <c r="AI170" s="29"/>
    </row>
    <row r="171" spans="1:35">
      <c r="A171" s="27"/>
      <c r="B171" s="28"/>
      <c r="C171" s="28"/>
      <c r="D171" s="21"/>
      <c r="E171" s="28"/>
      <c r="F171" s="21"/>
      <c r="G171" s="21"/>
      <c r="H171" s="29"/>
      <c r="J171" s="27"/>
      <c r="K171" s="28"/>
      <c r="L171" s="28"/>
      <c r="M171" s="21"/>
      <c r="N171" s="28"/>
      <c r="O171" s="21"/>
      <c r="P171" s="21"/>
      <c r="Q171" s="29"/>
      <c r="S171" s="27"/>
      <c r="T171" s="28"/>
      <c r="U171" s="28"/>
      <c r="V171" s="21"/>
      <c r="W171" s="28"/>
      <c r="X171" s="21"/>
      <c r="Y171" s="21"/>
      <c r="Z171" s="29"/>
      <c r="AB171" s="27"/>
      <c r="AC171" s="28"/>
      <c r="AD171" s="28"/>
      <c r="AE171" s="21"/>
      <c r="AF171" s="28"/>
      <c r="AG171" s="21"/>
      <c r="AH171" s="21"/>
      <c r="AI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  <c r="J172" s="27" t="s">
        <v>199</v>
      </c>
      <c r="K172" s="28" t="s">
        <v>200</v>
      </c>
      <c r="L172" s="28"/>
      <c r="M172" s="21"/>
      <c r="N172" s="28" t="s">
        <v>201</v>
      </c>
      <c r="O172" s="21"/>
      <c r="P172" s="21"/>
      <c r="Q172" s="29"/>
      <c r="S172" s="27" t="s">
        <v>199</v>
      </c>
      <c r="T172" s="28" t="s">
        <v>200</v>
      </c>
      <c r="U172" s="28"/>
      <c r="V172" s="21"/>
      <c r="W172" s="28" t="s">
        <v>201</v>
      </c>
      <c r="X172" s="21"/>
      <c r="Y172" s="21"/>
      <c r="Z172" s="29"/>
      <c r="AB172" s="27" t="s">
        <v>199</v>
      </c>
      <c r="AC172" s="28" t="s">
        <v>200</v>
      </c>
      <c r="AD172" s="28"/>
      <c r="AE172" s="21"/>
      <c r="AF172" s="28" t="s">
        <v>201</v>
      </c>
      <c r="AG172" s="21"/>
      <c r="AH172" s="21"/>
      <c r="AI172" s="29"/>
    </row>
    <row r="173" spans="1:35">
      <c r="A173" s="138">
        <f>H141-H137-H139-H140</f>
        <v>25196.67</v>
      </c>
      <c r="B173" s="34">
        <f>H137</f>
        <v>5039.3339999999998</v>
      </c>
      <c r="C173" s="38"/>
      <c r="D173" s="21"/>
      <c r="E173" s="137">
        <f>H139+H140</f>
        <v>340</v>
      </c>
      <c r="F173" s="21"/>
      <c r="G173" s="21"/>
      <c r="H173" s="29"/>
      <c r="J173" s="138">
        <f>Q141-Q137-Q139-Q140</f>
        <v>29324.170000000002</v>
      </c>
      <c r="K173" s="34">
        <f>Q137</f>
        <v>5864.8339999999998</v>
      </c>
      <c r="L173" s="38"/>
      <c r="M173" s="21"/>
      <c r="N173" s="137">
        <f>Q139+Q140</f>
        <v>330</v>
      </c>
      <c r="O173" s="21"/>
      <c r="P173" s="21"/>
      <c r="Q173" s="29"/>
      <c r="S173" s="138">
        <f>Z141-Z137-Z139-Z140</f>
        <v>20899.362499999999</v>
      </c>
      <c r="T173" s="34">
        <f>Z137</f>
        <v>4179.8725000000004</v>
      </c>
      <c r="U173" s="38"/>
      <c r="V173" s="21"/>
      <c r="W173" s="137">
        <f>Z139+Z140</f>
        <v>330</v>
      </c>
      <c r="X173" s="21"/>
      <c r="Y173" s="21"/>
      <c r="Z173" s="29"/>
      <c r="AB173" s="138">
        <f>AI141-AI137-AI139-AI140</f>
        <v>15886.25</v>
      </c>
      <c r="AC173" s="34">
        <f>AI137</f>
        <v>3177.25</v>
      </c>
      <c r="AD173" s="38"/>
      <c r="AE173" s="21"/>
      <c r="AF173" s="137">
        <f>AI139+AI140</f>
        <v>330</v>
      </c>
      <c r="AG173" s="21"/>
      <c r="AH173" s="21"/>
      <c r="AI173" s="29"/>
    </row>
    <row r="174" spans="1:35">
      <c r="A174" s="27"/>
      <c r="B174" s="28"/>
      <c r="C174" s="28"/>
      <c r="D174" s="21"/>
      <c r="E174" s="28"/>
      <c r="F174" s="21"/>
      <c r="G174" s="21"/>
      <c r="H174" s="29"/>
      <c r="J174" s="27"/>
      <c r="K174" s="28"/>
      <c r="L174" s="28"/>
      <c r="M174" s="21"/>
      <c r="N174" s="28"/>
      <c r="O174" s="21"/>
      <c r="P174" s="21"/>
      <c r="Q174" s="29"/>
      <c r="S174" s="27"/>
      <c r="T174" s="28"/>
      <c r="U174" s="28"/>
      <c r="V174" s="21"/>
      <c r="W174" s="28"/>
      <c r="X174" s="21"/>
      <c r="Y174" s="21"/>
      <c r="Z174" s="29"/>
      <c r="AB174" s="27"/>
      <c r="AC174" s="28"/>
      <c r="AD174" s="28"/>
      <c r="AE174" s="21"/>
      <c r="AF174" s="28"/>
      <c r="AG174" s="21"/>
      <c r="AH174" s="21"/>
      <c r="AI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  <c r="J175" s="27" t="s">
        <v>202</v>
      </c>
      <c r="K175" s="28" t="s">
        <v>148</v>
      </c>
      <c r="L175" s="28"/>
      <c r="M175" s="21"/>
      <c r="N175" s="28" t="s">
        <v>149</v>
      </c>
      <c r="O175" s="21"/>
      <c r="P175" s="21"/>
      <c r="Q175" s="29"/>
      <c r="S175" s="27" t="s">
        <v>202</v>
      </c>
      <c r="T175" s="28" t="s">
        <v>148</v>
      </c>
      <c r="U175" s="28"/>
      <c r="V175" s="21"/>
      <c r="W175" s="28" t="s">
        <v>149</v>
      </c>
      <c r="X175" s="21"/>
      <c r="Y175" s="21"/>
      <c r="Z175" s="29"/>
      <c r="AB175" s="27" t="s">
        <v>202</v>
      </c>
      <c r="AC175" s="28" t="s">
        <v>148</v>
      </c>
      <c r="AD175" s="28"/>
      <c r="AE175" s="21"/>
      <c r="AF175" s="28" t="s">
        <v>149</v>
      </c>
      <c r="AG175" s="21"/>
      <c r="AH175" s="21"/>
      <c r="AI175" s="29"/>
    </row>
    <row r="176" spans="1:35">
      <c r="A176" s="138">
        <f>H141</f>
        <v>30576.003999999997</v>
      </c>
      <c r="B176" s="34">
        <f>B111</f>
        <v>200</v>
      </c>
      <c r="C176" s="34"/>
      <c r="D176" s="21"/>
      <c r="E176" s="34">
        <f>E111</f>
        <v>200</v>
      </c>
      <c r="F176" s="21"/>
      <c r="G176" s="21"/>
      <c r="H176" s="90"/>
      <c r="J176" s="138">
        <f>Q141</f>
        <v>35519.004000000001</v>
      </c>
      <c r="K176" s="34">
        <f>K111</f>
        <v>1000</v>
      </c>
      <c r="L176" s="34"/>
      <c r="M176" s="21"/>
      <c r="N176" s="34">
        <f>N111</f>
        <v>0</v>
      </c>
      <c r="O176" s="21"/>
      <c r="P176" s="21"/>
      <c r="Q176" s="90"/>
      <c r="S176" s="138">
        <f>Z141</f>
        <v>25409.235000000001</v>
      </c>
      <c r="T176" s="34">
        <f>T111</f>
        <v>1000</v>
      </c>
      <c r="U176" s="34"/>
      <c r="V176" s="21"/>
      <c r="W176" s="34">
        <f>W111</f>
        <v>0</v>
      </c>
      <c r="X176" s="21"/>
      <c r="Y176" s="21"/>
      <c r="Z176" s="90"/>
      <c r="AB176" s="138">
        <f>AI141</f>
        <v>19393.5</v>
      </c>
      <c r="AC176" s="34">
        <f>AC111</f>
        <v>1000</v>
      </c>
      <c r="AD176" s="34"/>
      <c r="AE176" s="21"/>
      <c r="AF176" s="34">
        <f>AF111</f>
        <v>0</v>
      </c>
      <c r="AG176" s="21"/>
      <c r="AH176" s="21"/>
      <c r="AI176" s="90"/>
    </row>
    <row r="177" spans="1:35">
      <c r="A177" s="27"/>
      <c r="B177" s="28"/>
      <c r="C177" s="28"/>
      <c r="D177" s="21"/>
      <c r="E177" s="28"/>
      <c r="F177" s="21"/>
      <c r="G177" s="21"/>
      <c r="H177" s="29"/>
      <c r="J177" s="27"/>
      <c r="K177" s="28"/>
      <c r="L177" s="28"/>
      <c r="M177" s="21"/>
      <c r="N177" s="28"/>
      <c r="O177" s="21"/>
      <c r="P177" s="21"/>
      <c r="Q177" s="29"/>
      <c r="S177" s="27"/>
      <c r="T177" s="28"/>
      <c r="U177" s="28"/>
      <c r="V177" s="21"/>
      <c r="W177" s="28"/>
      <c r="X177" s="21"/>
      <c r="Y177" s="21"/>
      <c r="Z177" s="29"/>
      <c r="AB177" s="27"/>
      <c r="AC177" s="28"/>
      <c r="AD177" s="28"/>
      <c r="AE177" s="21"/>
      <c r="AF177" s="28"/>
      <c r="AG177" s="21"/>
      <c r="AH177" s="21"/>
      <c r="AI177" s="29"/>
    </row>
    <row r="178" spans="1:35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  <c r="J178" s="27" t="s">
        <v>150</v>
      </c>
      <c r="K178" s="28" t="s">
        <v>185</v>
      </c>
      <c r="L178" s="28"/>
      <c r="M178" s="21"/>
      <c r="N178" s="28" t="s">
        <v>191</v>
      </c>
      <c r="O178" s="21"/>
      <c r="P178" s="21"/>
      <c r="Q178" s="29"/>
      <c r="S178" s="27" t="s">
        <v>150</v>
      </c>
      <c r="T178" s="28" t="s">
        <v>185</v>
      </c>
      <c r="U178" s="28"/>
      <c r="V178" s="21"/>
      <c r="W178" s="28" t="s">
        <v>191</v>
      </c>
      <c r="X178" s="21"/>
      <c r="Y178" s="21"/>
      <c r="Z178" s="29"/>
      <c r="AB178" s="27" t="s">
        <v>150</v>
      </c>
      <c r="AC178" s="28" t="s">
        <v>185</v>
      </c>
      <c r="AD178" s="28"/>
      <c r="AE178" s="21"/>
      <c r="AF178" s="28" t="s">
        <v>191</v>
      </c>
      <c r="AG178" s="21"/>
      <c r="AH178" s="21"/>
      <c r="AI178" s="29"/>
    </row>
    <row r="179" spans="1:35">
      <c r="A179" s="94">
        <f>B176+E176</f>
        <v>400</v>
      </c>
      <c r="B179" s="34">
        <f>G154</f>
        <v>0</v>
      </c>
      <c r="C179" s="34"/>
      <c r="D179" s="21"/>
      <c r="E179" s="34">
        <f>G158</f>
        <v>31596.003999999997</v>
      </c>
      <c r="F179" s="21"/>
      <c r="G179" s="21"/>
      <c r="H179" s="90"/>
      <c r="J179" s="94">
        <f>K176+N176</f>
        <v>1000</v>
      </c>
      <c r="K179" s="34">
        <f>P154</f>
        <v>-2000</v>
      </c>
      <c r="L179" s="34"/>
      <c r="M179" s="21"/>
      <c r="N179" s="34">
        <f>J176-J179-K179</f>
        <v>36519.004000000001</v>
      </c>
      <c r="O179" s="21"/>
      <c r="P179" s="21"/>
      <c r="Q179" s="90"/>
      <c r="S179" s="94">
        <f>T176+W176</f>
        <v>1000</v>
      </c>
      <c r="T179" s="34">
        <f>Y154</f>
        <v>-2000</v>
      </c>
      <c r="U179" s="34"/>
      <c r="V179" s="21"/>
      <c r="W179" s="34">
        <f>S176-S179-T179</f>
        <v>26409.235000000001</v>
      </c>
      <c r="X179" s="21"/>
      <c r="Y179" s="21"/>
      <c r="Z179" s="90"/>
      <c r="AB179" s="94">
        <f>AC176+AF176</f>
        <v>1000</v>
      </c>
      <c r="AC179" s="34">
        <f>AH154</f>
        <v>-2000</v>
      </c>
      <c r="AD179" s="34"/>
      <c r="AE179" s="21"/>
      <c r="AF179" s="34">
        <f>AB176-AB179-AC179</f>
        <v>20393.5</v>
      </c>
      <c r="AG179" s="21"/>
      <c r="AH179" s="21"/>
      <c r="AI179" s="90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  <c r="J181" s="27" t="s">
        <v>203</v>
      </c>
      <c r="K181" s="28" t="s">
        <v>66</v>
      </c>
      <c r="L181" s="28"/>
      <c r="M181" s="21"/>
      <c r="N181" s="28" t="s">
        <v>204</v>
      </c>
      <c r="O181" s="21"/>
      <c r="P181" s="21"/>
      <c r="Q181" s="29"/>
      <c r="S181" s="27" t="s">
        <v>203</v>
      </c>
      <c r="T181" s="28" t="s">
        <v>66</v>
      </c>
      <c r="U181" s="28"/>
      <c r="V181" s="21"/>
      <c r="W181" s="28" t="s">
        <v>204</v>
      </c>
      <c r="X181" s="21"/>
      <c r="Y181" s="21"/>
      <c r="Z181" s="29"/>
      <c r="AB181" s="27" t="s">
        <v>203</v>
      </c>
      <c r="AC181" s="28" t="s">
        <v>66</v>
      </c>
      <c r="AD181" s="28"/>
      <c r="AE181" s="21"/>
      <c r="AF181" s="28" t="s">
        <v>204</v>
      </c>
      <c r="AG181" s="21"/>
      <c r="AH181" s="21"/>
      <c r="AI181" s="29"/>
    </row>
    <row r="182" spans="1:35">
      <c r="A182" s="94">
        <f>(ROUND(A167, 2)*B59)+ROUND(E185, 2)-ROUND(E179, 2)-ROUND(A185,2)</f>
        <v>6316.9400000000023</v>
      </c>
      <c r="B182" s="34">
        <f>B114</f>
        <v>1000</v>
      </c>
      <c r="C182" s="34"/>
      <c r="D182" s="21"/>
      <c r="E182" s="34">
        <f>ROUND(E179, 2) + ROUND(A182, 2) + ROUND(B182, 2) + ROUND(A185, 2)</f>
        <v>38922.94</v>
      </c>
      <c r="F182" s="21"/>
      <c r="G182" s="21"/>
      <c r="H182" s="90"/>
      <c r="J182" s="94">
        <f>(J167*K59)+N185-N179-J185</f>
        <v>16113.584473158604</v>
      </c>
      <c r="K182" s="34">
        <f>K114</f>
        <v>239.99</v>
      </c>
      <c r="L182" s="34"/>
      <c r="M182" s="21"/>
      <c r="N182" s="34">
        <f>N179+J182+K182+J185</f>
        <v>52892.578473158603</v>
      </c>
      <c r="O182" s="21"/>
      <c r="P182" s="21"/>
      <c r="Q182" s="90"/>
      <c r="S182" s="94">
        <f>(S167*T59)+W185-W179-S185</f>
        <v>5872.6255896264229</v>
      </c>
      <c r="T182" s="34">
        <f>T114</f>
        <v>199.99</v>
      </c>
      <c r="U182" s="34"/>
      <c r="V182" s="21"/>
      <c r="W182" s="34">
        <f>W179+S182+T182+S185</f>
        <v>32491.850589626425</v>
      </c>
      <c r="X182" s="21"/>
      <c r="Y182" s="21"/>
      <c r="Z182" s="90"/>
      <c r="AB182" s="94">
        <f>(AB167*AC59)+AF185-AF179-AB185</f>
        <v>4654.8957302241288</v>
      </c>
      <c r="AC182" s="34">
        <f>AC114</f>
        <v>239.99</v>
      </c>
      <c r="AD182" s="34"/>
      <c r="AE182" s="21"/>
      <c r="AF182" s="34">
        <f>AF179+AB182+AC182+AB185</f>
        <v>25298.38573022413</v>
      </c>
      <c r="AG182" s="21"/>
      <c r="AH182" s="21"/>
      <c r="AI182" s="90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  <c r="J184" s="27" t="s">
        <v>205</v>
      </c>
      <c r="K184" s="28" t="s">
        <v>206</v>
      </c>
      <c r="L184" s="28"/>
      <c r="M184" s="21"/>
      <c r="N184" s="28" t="s">
        <v>207</v>
      </c>
      <c r="O184" s="21"/>
      <c r="P184" s="21"/>
      <c r="Q184" s="29"/>
      <c r="S184" s="27" t="s">
        <v>205</v>
      </c>
      <c r="T184" s="28" t="s">
        <v>206</v>
      </c>
      <c r="U184" s="28"/>
      <c r="V184" s="21"/>
      <c r="W184" s="28" t="s">
        <v>207</v>
      </c>
      <c r="X184" s="21"/>
      <c r="Y184" s="21"/>
      <c r="Z184" s="29"/>
      <c r="AB184" s="27" t="s">
        <v>205</v>
      </c>
      <c r="AC184" s="28" t="s">
        <v>206</v>
      </c>
      <c r="AD184" s="28"/>
      <c r="AE184" s="21"/>
      <c r="AF184" s="28" t="s">
        <v>207</v>
      </c>
      <c r="AG184" s="21"/>
      <c r="AH184" s="21"/>
      <c r="AI184" s="29"/>
    </row>
    <row r="185" spans="1:35">
      <c r="A185" s="94">
        <f>B60</f>
        <v>10</v>
      </c>
      <c r="B185" s="34">
        <f>A179+B182</f>
        <v>1400</v>
      </c>
      <c r="C185" s="34"/>
      <c r="D185" s="21"/>
      <c r="E185" s="34">
        <f>IF( E170=0, A185+E167, E170+A185)</f>
        <v>2974</v>
      </c>
      <c r="F185" s="21"/>
      <c r="G185" s="21"/>
      <c r="H185" s="90"/>
      <c r="J185" s="94">
        <f>K60</f>
        <v>20</v>
      </c>
      <c r="K185" s="34">
        <f>J179+K182</f>
        <v>1239.99</v>
      </c>
      <c r="L185" s="34"/>
      <c r="M185" s="21"/>
      <c r="N185" s="34">
        <f>N170+J185</f>
        <v>2984</v>
      </c>
      <c r="O185" s="21"/>
      <c r="P185" s="21"/>
      <c r="Q185" s="90"/>
      <c r="S185" s="94">
        <f>T60</f>
        <v>10</v>
      </c>
      <c r="T185" s="34">
        <f>S179+T182</f>
        <v>1199.99</v>
      </c>
      <c r="U185" s="34"/>
      <c r="V185" s="21"/>
      <c r="W185" s="34">
        <f>W170+S185</f>
        <v>2974</v>
      </c>
      <c r="X185" s="21"/>
      <c r="Y185" s="21"/>
      <c r="Z185" s="90"/>
      <c r="AB185" s="94">
        <f>AC60</f>
        <v>10</v>
      </c>
      <c r="AC185" s="34">
        <f>AB179+AC182</f>
        <v>1239.99</v>
      </c>
      <c r="AD185" s="34"/>
      <c r="AE185" s="21"/>
      <c r="AF185" s="34">
        <f>AF170+AB185</f>
        <v>2974</v>
      </c>
      <c r="AG185" s="21"/>
      <c r="AH185" s="21"/>
      <c r="AI185" s="90"/>
    </row>
    <row r="186" spans="1:35">
      <c r="A186" s="27"/>
      <c r="B186" s="28"/>
      <c r="C186" s="28"/>
      <c r="D186" s="28"/>
      <c r="E186" s="21"/>
      <c r="F186" s="21"/>
      <c r="G186" s="21"/>
      <c r="H186" s="29"/>
      <c r="J186" s="27"/>
      <c r="K186" s="28"/>
      <c r="L186" s="28"/>
      <c r="M186" s="28"/>
      <c r="N186" s="21"/>
      <c r="O186" s="21"/>
      <c r="P186" s="21"/>
      <c r="Q186" s="29"/>
      <c r="S186" s="27"/>
      <c r="T186" s="28"/>
      <c r="U186" s="28"/>
      <c r="V186" s="28"/>
      <c r="W186" s="21"/>
      <c r="X186" s="28"/>
      <c r="Y186" s="28"/>
      <c r="Z186" s="29"/>
      <c r="AB186" s="27"/>
      <c r="AC186" s="28"/>
      <c r="AD186" s="28"/>
      <c r="AE186" s="28"/>
      <c r="AF186" s="21"/>
      <c r="AG186" s="21"/>
      <c r="AH186" s="21"/>
      <c r="AI186" s="29"/>
    </row>
    <row r="187" spans="1:35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  <c r="J187" s="27" t="s">
        <v>208</v>
      </c>
      <c r="K187" s="28" t="s">
        <v>209</v>
      </c>
      <c r="L187" s="28"/>
      <c r="M187" s="28"/>
      <c r="N187" s="35" t="s">
        <v>210</v>
      </c>
      <c r="O187" s="21"/>
      <c r="P187" s="21"/>
      <c r="Q187" s="29"/>
      <c r="S187" s="27" t="s">
        <v>208</v>
      </c>
      <c r="T187" s="28" t="s">
        <v>209</v>
      </c>
      <c r="U187" s="28"/>
      <c r="V187" s="28"/>
      <c r="W187" s="35" t="s">
        <v>210</v>
      </c>
      <c r="X187" s="28"/>
      <c r="Y187" s="28"/>
      <c r="Z187" s="29"/>
      <c r="AB187" s="27" t="s">
        <v>208</v>
      </c>
      <c r="AC187" s="28" t="s">
        <v>209</v>
      </c>
      <c r="AD187" s="28"/>
      <c r="AE187" s="28"/>
      <c r="AF187" s="35" t="s">
        <v>210</v>
      </c>
      <c r="AG187" s="28"/>
      <c r="AH187" s="28"/>
      <c r="AI187" s="29"/>
    </row>
    <row r="188" spans="1:35">
      <c r="A188" s="94">
        <f>IF(E105="YES",J18*0.000002,0)</f>
        <v>5.0279999999999998E-2</v>
      </c>
      <c r="B188" s="34">
        <f>(G158*B67)</f>
        <v>1579.8001999999999</v>
      </c>
      <c r="C188" s="28"/>
      <c r="D188" s="28"/>
      <c r="E188" s="34">
        <f>(E40*A108)*0.1*C45/100</f>
        <v>80.535000000000011</v>
      </c>
      <c r="F188" s="21"/>
      <c r="G188" s="21"/>
      <c r="H188" s="29"/>
      <c r="J188" s="94">
        <f>IF(N105="YES",H15*0.000002,0)</f>
        <v>5.0959999999999998E-2</v>
      </c>
      <c r="K188" s="34">
        <f>(P158*K67)/1.2</f>
        <v>2250.7372256944445</v>
      </c>
      <c r="L188" s="28"/>
      <c r="M188" s="28"/>
      <c r="N188" s="34">
        <f>(E40*J108)*0.1</f>
        <v>80.535000000000011</v>
      </c>
      <c r="O188" s="21"/>
      <c r="P188" s="21"/>
      <c r="Q188" s="29"/>
      <c r="S188" s="94">
        <f>IF(W105="YES",Z15*0.000002,0)</f>
        <v>0</v>
      </c>
      <c r="T188" s="34">
        <f>(Y158*T67)/1.2</f>
        <v>215.49202170138889</v>
      </c>
      <c r="U188" s="28"/>
      <c r="V188" s="28"/>
      <c r="W188" s="34">
        <f>(E40*S108)*0.1</f>
        <v>53.69</v>
      </c>
      <c r="X188" s="28"/>
      <c r="Y188" s="28"/>
      <c r="Z188" s="29"/>
      <c r="AB188" s="94">
        <f>IF(AF105="YES",AI15*0.000002,0)</f>
        <v>0</v>
      </c>
      <c r="AC188" s="34">
        <f>(AH158*AC67)/1.2</f>
        <v>166.4052951388889</v>
      </c>
      <c r="AD188" s="28"/>
      <c r="AE188" s="28"/>
      <c r="AF188" s="34">
        <f>(E40*AB108)*0.1</f>
        <v>53.69</v>
      </c>
      <c r="AG188" s="28"/>
      <c r="AH188" s="28"/>
      <c r="AI188" s="29"/>
    </row>
    <row r="189" spans="1:35">
      <c r="A189" s="94"/>
      <c r="B189" s="34"/>
      <c r="C189" s="28"/>
      <c r="D189" s="28"/>
      <c r="E189" s="21"/>
      <c r="F189" s="21"/>
      <c r="G189" s="21"/>
      <c r="H189" s="29"/>
      <c r="J189" s="94"/>
      <c r="K189" s="34"/>
      <c r="L189" s="28"/>
      <c r="M189" s="28"/>
      <c r="N189" s="21"/>
      <c r="O189" s="21"/>
      <c r="P189" s="21"/>
      <c r="Q189" s="29"/>
      <c r="S189" s="94"/>
      <c r="T189" s="34"/>
      <c r="U189" s="28"/>
      <c r="V189" s="28"/>
      <c r="W189" s="21"/>
      <c r="X189" s="28"/>
      <c r="Y189" s="28"/>
      <c r="Z189" s="29"/>
      <c r="AB189" s="94"/>
      <c r="AC189" s="34"/>
      <c r="AD189" s="28"/>
      <c r="AE189" s="28"/>
      <c r="AF189" s="21"/>
      <c r="AG189" s="28"/>
      <c r="AH189" s="28"/>
      <c r="AI189" s="29"/>
    </row>
    <row r="190" spans="1:35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  <c r="J190" s="53" t="s">
        <v>211</v>
      </c>
      <c r="K190" s="35" t="s">
        <v>212</v>
      </c>
      <c r="L190" s="28"/>
      <c r="M190" s="28"/>
      <c r="N190" s="35" t="s">
        <v>213</v>
      </c>
      <c r="O190" s="21"/>
      <c r="P190" s="21"/>
      <c r="Q190" s="29"/>
      <c r="S190" s="53" t="s">
        <v>211</v>
      </c>
      <c r="T190" s="35" t="s">
        <v>212</v>
      </c>
      <c r="U190" s="28"/>
      <c r="V190" s="28"/>
      <c r="W190" s="35" t="s">
        <v>213</v>
      </c>
      <c r="X190" s="28"/>
      <c r="Y190" s="28"/>
      <c r="Z190" s="29"/>
      <c r="AB190" s="53" t="s">
        <v>211</v>
      </c>
      <c r="AC190" s="35" t="s">
        <v>212</v>
      </c>
      <c r="AD190" s="28"/>
      <c r="AE190" s="28"/>
      <c r="AF190" s="35" t="s">
        <v>213</v>
      </c>
      <c r="AG190" s="28"/>
      <c r="AH190" s="28"/>
      <c r="AI190" s="29"/>
    </row>
    <row r="191" spans="1:35">
      <c r="A191" s="94">
        <v>10</v>
      </c>
      <c r="B191" s="34">
        <f>B188+E188+A191</f>
        <v>1670.3352</v>
      </c>
      <c r="C191" s="28"/>
      <c r="D191" s="28"/>
      <c r="E191" s="34">
        <f>H148</f>
        <v>4246.6699999999973</v>
      </c>
      <c r="F191" s="21"/>
      <c r="G191" s="21"/>
      <c r="H191" s="29"/>
      <c r="J191" s="94">
        <f>K185-100</f>
        <v>1139.99</v>
      </c>
      <c r="K191" s="34">
        <f>K188+N188+J191</f>
        <v>3471.2622256944442</v>
      </c>
      <c r="L191" s="28"/>
      <c r="M191" s="28"/>
      <c r="N191" s="34">
        <f>Q148</f>
        <v>10039.004000000001</v>
      </c>
      <c r="O191" s="21"/>
      <c r="P191" s="21"/>
      <c r="Q191" s="29"/>
      <c r="S191" s="94">
        <f>T185-100</f>
        <v>1099.99</v>
      </c>
      <c r="T191" s="34">
        <f>T188+W188+S191</f>
        <v>1369.172021701389</v>
      </c>
      <c r="U191" s="28"/>
      <c r="V191" s="28"/>
      <c r="W191" s="34">
        <f>Z148</f>
        <v>-70.764999999999418</v>
      </c>
      <c r="X191" s="28"/>
      <c r="Y191" s="28"/>
      <c r="Z191" s="29"/>
      <c r="AB191" s="94">
        <f>AC185-100</f>
        <v>1139.99</v>
      </c>
      <c r="AC191" s="34">
        <f>AC188+AF188+AB191</f>
        <v>1360.0852951388888</v>
      </c>
      <c r="AD191" s="28"/>
      <c r="AE191" s="28"/>
      <c r="AF191" s="34">
        <f>AI148</f>
        <v>-6086.5</v>
      </c>
      <c r="AG191" s="28"/>
      <c r="AH191" s="28"/>
      <c r="AI191" s="29"/>
    </row>
    <row r="192" spans="1:35">
      <c r="A192" s="27"/>
      <c r="B192" s="28"/>
      <c r="C192" s="28"/>
      <c r="D192" s="28"/>
      <c r="E192" s="21"/>
      <c r="F192" s="21"/>
      <c r="G192" s="21"/>
      <c r="H192" s="29"/>
      <c r="J192" s="27"/>
      <c r="K192" s="28"/>
      <c r="L192" s="28"/>
      <c r="M192" s="28"/>
      <c r="N192" s="21"/>
      <c r="O192" s="21"/>
      <c r="P192" s="21"/>
      <c r="Q192" s="29"/>
      <c r="S192" s="27"/>
      <c r="T192" s="28"/>
      <c r="U192" s="28"/>
      <c r="V192" s="28"/>
      <c r="W192" s="21"/>
      <c r="X192" s="21"/>
      <c r="Y192" s="21"/>
      <c r="Z192" s="29"/>
      <c r="AB192" s="27"/>
      <c r="AC192" s="28"/>
      <c r="AD192" s="28"/>
      <c r="AE192" s="28"/>
      <c r="AF192" s="21"/>
      <c r="AG192" s="21"/>
      <c r="AH192" s="21"/>
      <c r="AI192" s="29"/>
    </row>
    <row r="193" spans="1:35">
      <c r="A193" s="58" t="s">
        <v>214</v>
      </c>
      <c r="B193" s="28"/>
      <c r="C193" s="28"/>
      <c r="D193" s="59"/>
      <c r="E193" s="59"/>
      <c r="F193" s="59"/>
      <c r="G193" s="59"/>
      <c r="H193" s="60"/>
      <c r="J193" s="58" t="s">
        <v>214</v>
      </c>
      <c r="K193" s="28"/>
      <c r="L193" s="28"/>
      <c r="M193" s="59"/>
      <c r="N193" s="59"/>
      <c r="O193" s="59"/>
      <c r="P193" s="59"/>
      <c r="Q193" s="60"/>
      <c r="S193" s="58" t="s">
        <v>214</v>
      </c>
      <c r="T193" s="28"/>
      <c r="U193" s="28"/>
      <c r="V193" s="59"/>
      <c r="W193" s="59"/>
      <c r="X193" s="59"/>
      <c r="Y193" s="59"/>
      <c r="Z193" s="60"/>
      <c r="AB193" s="58" t="s">
        <v>214</v>
      </c>
      <c r="AC193" s="28"/>
      <c r="AD193" s="28"/>
      <c r="AE193" s="59"/>
      <c r="AF193" s="59"/>
      <c r="AG193" s="59"/>
      <c r="AH193" s="59"/>
      <c r="AI193" s="60"/>
    </row>
    <row r="194" spans="1:35">
      <c r="A194" s="27"/>
      <c r="B194" s="61"/>
      <c r="C194" s="61"/>
      <c r="D194" s="28"/>
      <c r="E194" s="21"/>
      <c r="F194" s="21"/>
      <c r="G194" s="21"/>
      <c r="H194" s="29"/>
      <c r="J194" s="27"/>
      <c r="K194" s="61"/>
      <c r="L194" s="61"/>
      <c r="M194" s="28"/>
      <c r="N194" s="21"/>
      <c r="O194" s="21"/>
      <c r="P194" s="21"/>
      <c r="Q194" s="29"/>
      <c r="S194" s="27"/>
      <c r="T194" s="61"/>
      <c r="U194" s="61"/>
      <c r="V194" s="28"/>
      <c r="W194" s="21"/>
      <c r="X194" s="21"/>
      <c r="Y194" s="21"/>
      <c r="Z194" s="29"/>
      <c r="AB194" s="27"/>
      <c r="AC194" s="61"/>
      <c r="AD194" s="61"/>
      <c r="AE194" s="28"/>
      <c r="AF194" s="21"/>
      <c r="AG194" s="21"/>
      <c r="AH194" s="21"/>
      <c r="AI194" s="29"/>
    </row>
    <row r="195" spans="1:35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69" t="s">
        <v>94</v>
      </c>
      <c r="K195" s="341" t="s">
        <v>95</v>
      </c>
      <c r="L195" s="341"/>
      <c r="M195" s="341"/>
      <c r="N195" s="21"/>
      <c r="O195" s="21"/>
      <c r="P195" s="21"/>
      <c r="Q195" s="29"/>
      <c r="S195" s="369" t="s">
        <v>94</v>
      </c>
      <c r="T195" s="341" t="s">
        <v>95</v>
      </c>
      <c r="U195" s="341"/>
      <c r="V195" s="341"/>
      <c r="W195" s="21"/>
      <c r="X195" s="21"/>
      <c r="Y195" s="21"/>
      <c r="Z195" s="29"/>
      <c r="AB195" s="369" t="s">
        <v>94</v>
      </c>
      <c r="AC195" s="341" t="s">
        <v>95</v>
      </c>
      <c r="AD195" s="341"/>
      <c r="AE195" s="341"/>
      <c r="AF195" s="21"/>
      <c r="AG195" s="21"/>
      <c r="AH195" s="21"/>
      <c r="AI195" s="29"/>
    </row>
    <row r="196" spans="1:35" ht="19.5" customHeight="1">
      <c r="A196" s="369"/>
      <c r="B196" s="342">
        <f>K30</f>
        <v>35000</v>
      </c>
      <c r="C196" s="342"/>
      <c r="D196" s="342"/>
      <c r="E196" s="21"/>
      <c r="F196" s="21"/>
      <c r="G196" s="21"/>
      <c r="H196" s="29"/>
      <c r="J196" s="369"/>
      <c r="K196" s="342">
        <f>K30</f>
        <v>35000</v>
      </c>
      <c r="L196" s="342"/>
      <c r="M196" s="342"/>
      <c r="N196" s="21"/>
      <c r="O196" s="21"/>
      <c r="P196" s="21"/>
      <c r="Q196" s="29"/>
      <c r="S196" s="369"/>
      <c r="T196" s="342">
        <f>K30</f>
        <v>35000</v>
      </c>
      <c r="U196" s="342"/>
      <c r="V196" s="342"/>
      <c r="W196" s="21"/>
      <c r="X196" s="21"/>
      <c r="Y196" s="21"/>
      <c r="Z196" s="29"/>
      <c r="AB196" s="369"/>
      <c r="AC196" s="342">
        <f>K30</f>
        <v>35000</v>
      </c>
      <c r="AD196" s="342"/>
      <c r="AE196" s="342"/>
      <c r="AF196" s="21"/>
      <c r="AG196" s="21"/>
      <c r="AH196" s="21"/>
      <c r="AI196" s="29"/>
    </row>
    <row r="197" spans="1:35">
      <c r="A197" s="62">
        <f>K29</f>
        <v>35</v>
      </c>
      <c r="B197" s="343">
        <f>B96</f>
        <v>1151.0782854612828</v>
      </c>
      <c r="C197" s="343"/>
      <c r="D197" s="343"/>
      <c r="E197" s="21"/>
      <c r="F197" s="21"/>
      <c r="G197" s="21"/>
      <c r="H197" s="29"/>
      <c r="J197" s="62">
        <f>K29</f>
        <v>35</v>
      </c>
      <c r="K197" s="343">
        <f>K96</f>
        <v>1580.4928374458414</v>
      </c>
      <c r="L197" s="343"/>
      <c r="M197" s="343"/>
      <c r="N197" s="21"/>
      <c r="O197" s="21"/>
      <c r="P197" s="21"/>
      <c r="Q197" s="29"/>
      <c r="S197" s="62">
        <f>K29</f>
        <v>35</v>
      </c>
      <c r="T197" s="343">
        <f>T96</f>
        <v>957.03707616548309</v>
      </c>
      <c r="U197" s="343"/>
      <c r="V197" s="343"/>
      <c r="W197" s="21"/>
      <c r="X197" s="21"/>
      <c r="Y197" s="21"/>
      <c r="Z197" s="29"/>
      <c r="AB197" s="62">
        <f>K29</f>
        <v>35</v>
      </c>
      <c r="AC197" s="343">
        <f>AC96</f>
        <v>763.23752147718017</v>
      </c>
      <c r="AD197" s="343"/>
      <c r="AE197" s="343"/>
      <c r="AF197" s="21"/>
      <c r="AG197" s="21"/>
      <c r="AH197" s="21"/>
      <c r="AI197" s="29"/>
    </row>
    <row r="198" spans="1:35">
      <c r="A198" s="27"/>
      <c r="B198" s="28"/>
      <c r="C198" s="28"/>
      <c r="D198" s="28"/>
      <c r="E198" s="21"/>
      <c r="F198" s="21"/>
      <c r="G198" s="21"/>
      <c r="H198" s="29"/>
      <c r="J198" s="27"/>
      <c r="K198" s="28"/>
      <c r="L198" s="28"/>
      <c r="M198" s="28"/>
      <c r="N198" s="21"/>
      <c r="O198" s="21"/>
      <c r="P198" s="21"/>
      <c r="Q198" s="29"/>
      <c r="S198" s="27"/>
      <c r="T198" s="28"/>
      <c r="U198" s="28"/>
      <c r="V198" s="28"/>
      <c r="W198" s="21"/>
      <c r="X198" s="21"/>
      <c r="Y198" s="21"/>
      <c r="Z198" s="29"/>
      <c r="AB198" s="27"/>
      <c r="AC198" s="28"/>
      <c r="AD198" s="28"/>
      <c r="AE198" s="28"/>
      <c r="AF198" s="21"/>
      <c r="AG198" s="21"/>
      <c r="AH198" s="21"/>
      <c r="AI198" s="29"/>
    </row>
    <row r="199" spans="1:35">
      <c r="A199" s="27"/>
      <c r="B199" s="28"/>
      <c r="C199" s="28"/>
      <c r="D199" s="28"/>
      <c r="E199" s="21"/>
      <c r="F199" s="21"/>
      <c r="G199" s="21"/>
      <c r="H199" s="29"/>
      <c r="J199" s="27"/>
      <c r="K199" s="28"/>
      <c r="L199" s="28"/>
      <c r="M199" s="28"/>
      <c r="N199" s="21"/>
      <c r="O199" s="21"/>
      <c r="P199" s="21"/>
      <c r="Q199" s="29"/>
      <c r="S199" s="27"/>
      <c r="T199" s="28"/>
      <c r="U199" s="28"/>
      <c r="V199" s="28"/>
      <c r="W199" s="21"/>
      <c r="X199" s="21"/>
      <c r="Y199" s="21"/>
      <c r="Z199" s="29"/>
      <c r="AB199" s="27"/>
      <c r="AC199" s="28"/>
      <c r="AD199" s="28"/>
      <c r="AE199" s="28"/>
      <c r="AF199" s="21"/>
      <c r="AG199" s="21"/>
      <c r="AH199" s="21"/>
      <c r="AI199" s="29"/>
    </row>
    <row r="200" spans="1:35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  <c r="J200" s="27"/>
      <c r="K200" s="28"/>
      <c r="L200" s="28"/>
      <c r="M200" s="28"/>
      <c r="N200" s="21"/>
      <c r="O200" s="21"/>
      <c r="P200" s="21"/>
      <c r="Q200" s="29"/>
      <c r="S200" s="27"/>
      <c r="T200" s="28"/>
      <c r="U200" s="28"/>
      <c r="V200" s="28"/>
      <c r="W200" s="21"/>
      <c r="X200" s="21"/>
      <c r="Y200" s="21"/>
      <c r="Z200" s="29"/>
      <c r="AB200" s="27"/>
      <c r="AC200" s="28"/>
      <c r="AD200" s="28"/>
      <c r="AE200" s="28"/>
      <c r="AF200" s="21"/>
      <c r="AG200" s="21"/>
      <c r="AH200" s="21"/>
      <c r="AI200" s="29"/>
    </row>
    <row r="201" spans="1:35">
      <c r="A201" s="32">
        <f>IF(A40=0,((G167*(B59+1))-E179),((G167*B59)+E185-E179-A185))</f>
        <v>3619.716000000004</v>
      </c>
      <c r="B201" s="38">
        <f>E179+A201+B182+A185</f>
        <v>36225.72</v>
      </c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49"/>
      <c r="B202" s="50"/>
      <c r="C202" s="50"/>
      <c r="D202" s="50"/>
      <c r="E202" s="50"/>
      <c r="F202" s="50"/>
      <c r="G202" s="50"/>
      <c r="H202" s="57"/>
      <c r="J202" s="49"/>
      <c r="K202" s="50"/>
      <c r="L202" s="50"/>
      <c r="M202" s="50"/>
      <c r="N202" s="50"/>
      <c r="O202" s="50"/>
      <c r="P202" s="50"/>
      <c r="Q202" s="57"/>
      <c r="S202" s="49"/>
      <c r="T202" s="50"/>
      <c r="U202" s="50"/>
      <c r="V202" s="50"/>
      <c r="W202" s="50"/>
      <c r="X202" s="50"/>
      <c r="Y202" s="50"/>
      <c r="Z202" s="57"/>
      <c r="AB202" s="49"/>
      <c r="AC202" s="50"/>
      <c r="AD202" s="50"/>
      <c r="AE202" s="50"/>
      <c r="AF202" s="50"/>
      <c r="AG202" s="50"/>
      <c r="AH202" s="50"/>
      <c r="AI202" s="57"/>
    </row>
    <row r="206" spans="1:35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5">
      <c r="A207" s="27"/>
      <c r="B207" s="28"/>
      <c r="C207" s="28"/>
      <c r="D207" s="28"/>
      <c r="E207" s="21"/>
      <c r="F207" s="21"/>
      <c r="G207" s="21"/>
      <c r="H207" s="29"/>
    </row>
    <row r="208" spans="1:35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42" t="s">
        <v>217</v>
      </c>
      <c r="B209" s="131">
        <f>A197</f>
        <v>35</v>
      </c>
      <c r="C209" s="131"/>
      <c r="D209" s="131"/>
      <c r="E209" s="131">
        <f>B196</f>
        <v>35000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1027.9071089906945</v>
      </c>
      <c r="B212" s="133">
        <f>B167</f>
        <v>123.17117647058822</v>
      </c>
      <c r="C212" s="131"/>
      <c r="D212" s="131"/>
      <c r="E212" s="133">
        <f>E167</f>
        <v>1151.0782854612828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25196.67</v>
      </c>
      <c r="B215" s="34">
        <f>B173</f>
        <v>5039.3339999999998</v>
      </c>
      <c r="C215" s="38"/>
      <c r="D215" s="21"/>
      <c r="E215" s="137">
        <f>E173</f>
        <v>340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30576.003999999997</v>
      </c>
      <c r="B218" s="34">
        <f>B176</f>
        <v>200</v>
      </c>
      <c r="C218" s="34"/>
      <c r="D218" s="21"/>
      <c r="E218" s="34">
        <f>E176</f>
        <v>200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400</v>
      </c>
      <c r="B221" s="34">
        <f>B179</f>
        <v>0</v>
      </c>
      <c r="C221" s="34"/>
      <c r="D221" s="21"/>
      <c r="E221" s="34">
        <f>E179</f>
        <v>31596.003999999997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6316.9400000000023</v>
      </c>
      <c r="B224" s="34">
        <f>B182</f>
        <v>1000</v>
      </c>
      <c r="C224" s="34"/>
      <c r="D224" s="21"/>
      <c r="E224" s="34">
        <f>E182</f>
        <v>38922.94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1400</v>
      </c>
      <c r="C227" s="34"/>
      <c r="D227" s="21"/>
      <c r="E227" s="34">
        <f>B59</f>
        <v>34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1027.9071089906945</v>
      </c>
      <c r="B230" s="34">
        <f>B167</f>
        <v>123.17117647058822</v>
      </c>
      <c r="C230" s="38"/>
      <c r="D230" s="38"/>
      <c r="E230" s="34">
        <f>E167</f>
        <v>1151.0782854612828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219</v>
      </c>
      <c r="B232" s="28" t="s">
        <v>220</v>
      </c>
      <c r="C232" s="28"/>
      <c r="D232" s="28"/>
      <c r="E232" s="28" t="s">
        <v>80</v>
      </c>
      <c r="F232" s="21"/>
      <c r="G232" s="21"/>
      <c r="H232" s="29"/>
    </row>
    <row r="233" spans="1:8">
      <c r="A233" s="94">
        <f>E170</f>
        <v>2964</v>
      </c>
      <c r="B233" s="34">
        <f>E185</f>
        <v>2974</v>
      </c>
      <c r="C233" s="28"/>
      <c r="D233" s="28"/>
      <c r="E233" s="34">
        <f>J18*0.000006*100*1.2</f>
        <v>18.1008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221</v>
      </c>
      <c r="B235" s="35" t="s">
        <v>85</v>
      </c>
      <c r="C235" s="28"/>
      <c r="D235" s="28"/>
      <c r="E235" s="35" t="s">
        <v>142</v>
      </c>
      <c r="F235" s="21"/>
      <c r="G235" s="21"/>
      <c r="H235" s="29"/>
    </row>
    <row r="236" spans="1:8">
      <c r="A236" s="94">
        <f>IF(E105="YES",J18*0.000002,0)*100*1.2</f>
        <v>6.033599999999999</v>
      </c>
      <c r="B236" s="34">
        <f>E233+A236</f>
        <v>24.134399999999999</v>
      </c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4246.6699999999973</v>
      </c>
      <c r="B240" s="34">
        <f>B68</f>
        <v>1579.8001999999999</v>
      </c>
      <c r="C240" s="28"/>
      <c r="D240" s="28"/>
      <c r="E240" s="34">
        <f>E188</f>
        <v>80.535000000000011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10</v>
      </c>
      <c r="B243" s="34">
        <f>B240+E240+A243+A240-H156</f>
        <v>4497.0051999999978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K35</f>
        <v>7.0000000000000007E-2</v>
      </c>
      <c r="C253" s="144"/>
      <c r="D253" s="374" t="s">
        <v>226</v>
      </c>
      <c r="E253" s="374"/>
      <c r="F253" s="143">
        <f>B83</f>
        <v>0.12000000000000001</v>
      </c>
      <c r="G253" s="21"/>
      <c r="H253" s="29"/>
    </row>
    <row r="254" spans="1:8">
      <c r="A254" s="139" t="s">
        <v>227</v>
      </c>
      <c r="B254" s="145">
        <f>(E182-B182)-(B201-B182-A185)</f>
        <v>2707.2200000000012</v>
      </c>
      <c r="C254" s="144"/>
      <c r="D254" s="374" t="s">
        <v>228</v>
      </c>
      <c r="E254" s="374"/>
      <c r="F254" s="146">
        <f>F261+F267+F269+B270+B271</f>
        <v>1579.8001999999999</v>
      </c>
      <c r="G254" s="21"/>
      <c r="H254" s="29"/>
    </row>
    <row r="255" spans="1:8">
      <c r="A255" s="139" t="s">
        <v>229</v>
      </c>
      <c r="B255" s="146">
        <f>F262+B263</f>
        <v>815.35000000000014</v>
      </c>
      <c r="C255" s="144"/>
      <c r="D255" s="374" t="s">
        <v>230</v>
      </c>
      <c r="E255" s="374"/>
      <c r="F255" s="146">
        <f>(B254-F254)+B255</f>
        <v>1942.7698000000014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7.0000000000000007E-2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0.12000000000000001</v>
      </c>
      <c r="C260" s="38"/>
      <c r="D260" s="363" t="s">
        <v>227</v>
      </c>
      <c r="E260" s="363"/>
      <c r="F260" s="115">
        <f>B254</f>
        <v>2707.2200000000012</v>
      </c>
      <c r="G260" s="21"/>
      <c r="H260" s="29"/>
    </row>
    <row r="261" spans="1:8">
      <c r="A261" s="27" t="s">
        <v>233</v>
      </c>
      <c r="B261" s="155">
        <f>B67</f>
        <v>0.05</v>
      </c>
      <c r="C261" s="28"/>
      <c r="D261" s="363" t="s">
        <v>233</v>
      </c>
      <c r="E261" s="363"/>
      <c r="F261" s="119">
        <f>B68</f>
        <v>1579.8001999999999</v>
      </c>
      <c r="G261" s="21"/>
      <c r="H261" s="29"/>
    </row>
    <row r="262" spans="1:8">
      <c r="A262" s="27" t="s">
        <v>234</v>
      </c>
      <c r="B262" s="151">
        <f>A108</f>
        <v>0.3</v>
      </c>
      <c r="C262" s="28"/>
      <c r="D262" s="363" t="s">
        <v>234</v>
      </c>
      <c r="E262" s="363"/>
      <c r="F262" s="115">
        <f>E240*10</f>
        <v>805.35000000000014</v>
      </c>
      <c r="G262" s="21"/>
      <c r="H262" s="29"/>
    </row>
    <row r="263" spans="1:8">
      <c r="A263" s="27" t="s">
        <v>235</v>
      </c>
      <c r="B263" s="115">
        <f>A243</f>
        <v>10</v>
      </c>
      <c r="C263" s="28"/>
      <c r="D263" s="35" t="s">
        <v>230</v>
      </c>
      <c r="E263" s="35"/>
      <c r="F263" s="115">
        <f>(B254-F254)+B255</f>
        <v>1942.7698000000014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87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J38:K38"/>
    <mergeCell ref="B40:D40"/>
    <mergeCell ref="C45:E45"/>
    <mergeCell ref="A50:A51"/>
    <mergeCell ref="B50:D50"/>
    <mergeCell ref="B51:D51"/>
    <mergeCell ref="B52:D52"/>
    <mergeCell ref="A100:H100"/>
    <mergeCell ref="J100:Q100"/>
    <mergeCell ref="B18:F18"/>
    <mergeCell ref="B19:F19"/>
    <mergeCell ref="B20:F20"/>
    <mergeCell ref="A21:F21"/>
    <mergeCell ref="A24:H24"/>
    <mergeCell ref="A28:H28"/>
    <mergeCell ref="B30:D30"/>
    <mergeCell ref="E33:G33"/>
    <mergeCell ref="E36:G36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A1:H1"/>
    <mergeCell ref="B2:C2"/>
    <mergeCell ref="D2:E2"/>
    <mergeCell ref="F2:G2"/>
    <mergeCell ref="B3:C3"/>
    <mergeCell ref="D3:E3"/>
    <mergeCell ref="F3:G3"/>
    <mergeCell ref="B4:C4"/>
    <mergeCell ref="D4:E4"/>
    <mergeCell ref="F4:G4"/>
  </mergeCells>
  <dataValidations count="2">
    <dataValidation type="list" allowBlank="1" showInputMessage="1" showErrorMessage="1" sqref="A18:A20 B105 K105 N105 T105 W105 AC105 AF105 B108:D108 K108:M108 T108:V108 AC108:AE108 A111 J111 S111 AB111 A144:A146 J144:J146 S144:S146 AB144:AB146" xr:uid="{00000000-0002-0000-4000-000000000000}">
      <formula1>#REF!</formula1>
      <formula2>0</formula2>
    </dataValidation>
    <dataValidation type="list" allowBlank="1" showInputMessage="1" showErrorMessage="1" sqref="E105" xr:uid="{00000000-0002-0000-4000-000002000000}">
      <formula1>$Z$19:$Z$20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4000-000001000000}">
          <x14:formula1>
            <xm:f>HirePurchaseNonRegulated!$K$9:$K$10</xm:f>
          </x14:formula1>
          <x14:formula2>
            <xm:f>0</xm:f>
          </x14:formula2>
          <xm:sqref>B26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AP272"/>
  <sheetViews>
    <sheetView topLeftCell="A246" zoomScale="110" zoomScaleNormal="110" workbookViewId="0">
      <selection activeCell="F262" sqref="F262"/>
    </sheetView>
  </sheetViews>
  <sheetFormatPr defaultColWidth="8.375" defaultRowHeight="18.75"/>
  <cols>
    <col min="1" max="1" customWidth="true" style="4" width="41.625"/>
    <col min="2" max="9" customWidth="true" style="4" width="18.875"/>
    <col min="10" max="10" customWidth="true" style="4" width="41.625"/>
    <col min="11" max="17" customWidth="true" style="4" width="18.875"/>
    <col min="18" max="18" style="4" width="8.375"/>
    <col min="19" max="19" customWidth="true" style="4" width="41.625"/>
    <col min="20" max="24" customWidth="true" style="4" width="18.875"/>
    <col min="25" max="26" customWidth="true" style="5" width="18.875"/>
    <col min="27" max="27" style="4" width="8.375"/>
    <col min="28" max="28" customWidth="true" style="4" width="41.625"/>
    <col min="29" max="35" customWidth="true" style="4" width="18.875"/>
    <col min="36" max="1024" style="4" width="8.375"/>
  </cols>
  <sheetData>
    <row r="1" spans="1:25" ht="46.5" customHeight="1">
      <c r="A1" s="344" t="s">
        <v>382</v>
      </c>
      <c r="B1" s="344"/>
      <c r="C1" s="344"/>
      <c r="D1" s="344"/>
      <c r="E1" s="344"/>
      <c r="F1" s="344"/>
      <c r="G1" s="344"/>
      <c r="H1" s="344"/>
      <c r="I1" s="5"/>
      <c r="J1" s="5"/>
    </row>
    <row r="2" spans="1:25" ht="21">
      <c r="A2" s="68"/>
      <c r="B2" s="413" t="s">
        <v>154</v>
      </c>
      <c r="C2" s="413"/>
      <c r="D2" s="413" t="s">
        <v>155</v>
      </c>
      <c r="E2" s="413"/>
      <c r="F2" s="413" t="s">
        <v>156</v>
      </c>
      <c r="G2" s="413"/>
      <c r="H2" s="287" t="s">
        <v>157</v>
      </c>
      <c r="I2" s="5"/>
      <c r="J2" s="5"/>
    </row>
    <row r="3" spans="1:25">
      <c r="A3" s="27" t="s">
        <v>160</v>
      </c>
      <c r="B3" s="414" t="n">
        <v>56579.17</v>
      </c>
      <c r="C3" s="414">
        <v>0</v>
      </c>
      <c r="D3" s="414" t="n">
        <v>0.0</v>
      </c>
      <c r="E3" s="414"/>
      <c r="F3" s="414" t="n">
        <v>833.33</v>
      </c>
      <c r="G3" s="414"/>
      <c r="H3" s="289">
        <v>0</v>
      </c>
      <c r="I3" s="5"/>
      <c r="J3" s="5"/>
    </row>
    <row r="4" spans="1:25">
      <c r="A4" s="27" t="s">
        <v>161</v>
      </c>
      <c r="B4" s="418" t="n">
        <v>2.0</v>
      </c>
      <c r="C4" s="418">
        <v>0</v>
      </c>
      <c r="D4" s="418" t="n">
        <v>0.0</v>
      </c>
      <c r="E4" s="418"/>
      <c r="F4" s="418" t="n">
        <v>2.0</v>
      </c>
      <c r="G4" s="418"/>
      <c r="H4" s="105"/>
      <c r="I4" s="5"/>
      <c r="J4" s="5"/>
    </row>
    <row r="5" spans="1:25">
      <c r="A5" s="27" t="s">
        <v>162</v>
      </c>
      <c r="B5" s="414" t="n">
        <v>0.0</v>
      </c>
      <c r="C5" s="414">
        <v>0</v>
      </c>
      <c r="D5" s="414" t="n">
        <v>0.0</v>
      </c>
      <c r="E5" s="414"/>
      <c r="F5" s="414" t="n">
        <v>0.0</v>
      </c>
      <c r="G5" s="414"/>
      <c r="H5" s="29"/>
      <c r="I5" s="5"/>
      <c r="J5" s="5"/>
    </row>
    <row r="6" spans="1:25">
      <c r="A6" s="27" t="s">
        <v>163</v>
      </c>
      <c r="B6" s="380">
        <f>(B3*B4/100)+B5</f>
        <v>1131.5834</v>
      </c>
      <c r="C6" s="380">
        <f>(C3*C4/100)+C5</f>
        <v>0</v>
      </c>
      <c r="D6" s="380">
        <f>(D3*D4/100)+D5</f>
        <v>0</v>
      </c>
      <c r="E6" s="380"/>
      <c r="F6" s="380">
        <f>(F3*F4/100)+F5</f>
        <v>16.666600000000003</v>
      </c>
      <c r="G6" s="380"/>
      <c r="H6" s="29"/>
      <c r="I6" s="5"/>
      <c r="J6" s="5"/>
    </row>
    <row r="7" spans="1:25">
      <c r="A7" s="27" t="s">
        <v>164</v>
      </c>
      <c r="B7" s="380">
        <f>B3-B6</f>
        <v>55447.586599999995</v>
      </c>
      <c r="C7" s="380">
        <f>C3-C6</f>
        <v>0</v>
      </c>
      <c r="D7" s="380">
        <f>D3-D6</f>
        <v>0</v>
      </c>
      <c r="E7" s="380"/>
      <c r="F7" s="380">
        <f>F3-F6</f>
        <v>816.66340000000002</v>
      </c>
      <c r="G7" s="380"/>
      <c r="H7" s="29"/>
      <c r="I7" s="5"/>
      <c r="J7" s="5"/>
    </row>
    <row r="8" spans="1:25">
      <c r="A8" s="27"/>
      <c r="B8" s="28"/>
      <c r="C8" s="28"/>
      <c r="D8" s="28"/>
      <c r="E8" s="28"/>
      <c r="F8" s="28"/>
      <c r="G8" s="28"/>
      <c r="H8" s="29"/>
      <c r="I8" s="5"/>
      <c r="J8" s="5"/>
      <c r="L8" s="14" t="s">
        <v>17</v>
      </c>
      <c r="M8" s="11">
        <f>H13+H14</f>
        <v>700</v>
      </c>
    </row>
    <row r="9" spans="1:25" ht="21">
      <c r="A9" s="356" t="s">
        <v>172</v>
      </c>
      <c r="B9" s="356"/>
      <c r="C9" s="356"/>
      <c r="D9" s="356"/>
      <c r="E9" s="356">
        <f>(B7+C7+D7+E3)</f>
        <v>55447.586599999995</v>
      </c>
      <c r="F9" s="356"/>
      <c r="G9" s="109"/>
      <c r="H9" s="290">
        <f>B7+D7+F7+H3</f>
        <v>56264.249999999993</v>
      </c>
      <c r="I9" s="5"/>
      <c r="J9" s="5"/>
      <c r="L9" s="11"/>
      <c r="M9" s="11"/>
    </row>
    <row r="10" spans="1:25">
      <c r="A10" s="357" t="s">
        <v>173</v>
      </c>
      <c r="B10" s="357"/>
      <c r="C10" s="357"/>
      <c r="D10" s="357"/>
      <c r="E10" s="357">
        <v>50</v>
      </c>
      <c r="F10" s="357"/>
      <c r="G10" s="121"/>
      <c r="H10" s="289" t="n">
        <v>150.0</v>
      </c>
      <c r="I10" s="5"/>
      <c r="J10" s="5"/>
      <c r="L10" s="16" t="s">
        <v>15</v>
      </c>
      <c r="M10" s="11">
        <f>H15-H11-M8</f>
        <v>56414.249999999993</v>
      </c>
    </row>
    <row r="11" spans="1:25">
      <c r="A11" s="357" t="s">
        <v>174</v>
      </c>
      <c r="B11" s="357"/>
      <c r="C11" s="357"/>
      <c r="D11" s="357"/>
      <c r="E11" s="357"/>
      <c r="F11" s="357"/>
      <c r="G11" s="121"/>
      <c r="H11" s="29">
        <f>(H9+H10)*20%</f>
        <v>11282.849999999999</v>
      </c>
      <c r="I11" s="5"/>
      <c r="J11" s="5"/>
      <c r="L11" s="11"/>
      <c r="M11" s="11"/>
    </row>
    <row r="12" spans="1:25">
      <c r="A12" s="357" t="s">
        <v>175</v>
      </c>
      <c r="B12" s="357"/>
      <c r="C12" s="357"/>
      <c r="D12" s="357"/>
      <c r="E12" s="357"/>
      <c r="F12" s="357"/>
      <c r="G12" s="121"/>
      <c r="H12" s="289">
        <v>0</v>
      </c>
      <c r="I12" s="5"/>
      <c r="J12" s="5"/>
    </row>
    <row r="13" spans="1:25">
      <c r="A13" s="357" t="s">
        <v>176</v>
      </c>
      <c r="B13" s="357"/>
      <c r="C13" s="357"/>
      <c r="D13" s="357"/>
      <c r="E13" s="357">
        <v>585</v>
      </c>
      <c r="F13" s="357"/>
      <c r="G13" s="121"/>
      <c r="H13" s="289" t="n">
        <v>645.0</v>
      </c>
      <c r="I13" s="5"/>
      <c r="J13" s="5"/>
    </row>
    <row r="14" spans="1:25">
      <c r="A14" s="357" t="s">
        <v>177</v>
      </c>
      <c r="B14" s="357"/>
      <c r="C14" s="357"/>
      <c r="D14" s="357"/>
      <c r="E14" s="357">
        <v>55</v>
      </c>
      <c r="F14" s="357"/>
      <c r="G14" s="121"/>
      <c r="H14" s="289" t="n">
        <v>55.0</v>
      </c>
      <c r="I14" s="5"/>
      <c r="J14" s="5" t="s">
        <v>24</v>
      </c>
    </row>
    <row r="15" spans="1:25">
      <c r="A15" s="357" t="s">
        <v>178</v>
      </c>
      <c r="B15" s="357"/>
      <c r="C15" s="357"/>
      <c r="D15" s="357"/>
      <c r="E15" s="357"/>
      <c r="F15" s="357"/>
      <c r="G15" s="121"/>
      <c r="H15" s="291">
        <f>(H9+H10+H13+H14+H11)-H12</f>
        <v>68397.099999999991</v>
      </c>
      <c r="I15" s="5"/>
      <c r="J15" s="17">
        <f>H15</f>
        <v>68397.099999999991</v>
      </c>
    </row>
    <row r="16" spans="1:25">
      <c r="A16" s="357" t="s">
        <v>179</v>
      </c>
      <c r="B16" s="357"/>
      <c r="C16" s="357"/>
      <c r="D16" s="357"/>
      <c r="E16" s="357">
        <v>120</v>
      </c>
      <c r="F16" s="357"/>
      <c r="G16" s="121"/>
      <c r="H16" s="289" t="n">
        <v>0.0</v>
      </c>
      <c r="I16" s="5"/>
      <c r="J16" s="5"/>
      <c r="Y16" s="18" t="s">
        <v>26</v>
      </c>
    </row>
    <row r="17" spans="1:26">
      <c r="A17" s="358" t="s">
        <v>180</v>
      </c>
      <c r="B17" s="358"/>
      <c r="C17" s="358"/>
      <c r="D17" s="358"/>
      <c r="E17" s="358"/>
      <c r="F17" s="358"/>
      <c r="G17" s="34"/>
      <c r="H17" s="29"/>
      <c r="I17" s="5"/>
      <c r="J17" s="5" t="s">
        <v>27</v>
      </c>
      <c r="Y17" s="18" t="s">
        <v>28</v>
      </c>
    </row>
    <row r="18" spans="1:26">
      <c r="A18" s="124" t="s">
        <v>26</v>
      </c>
      <c r="B18" s="360" t="s">
        <v>181</v>
      </c>
      <c r="C18" s="360"/>
      <c r="D18" s="360"/>
      <c r="E18" s="360"/>
      <c r="F18" s="360"/>
      <c r="G18" s="35"/>
      <c r="H18" s="292">
        <v>0</v>
      </c>
      <c r="I18" s="5"/>
      <c r="J18" s="17">
        <f>(B3+D3+F3+H3+H10)*1.2</f>
        <v>69075</v>
      </c>
      <c r="Y18" s="18" t="s">
        <v>29</v>
      </c>
    </row>
    <row r="19" spans="1:26">
      <c r="A19" s="124" t="s">
        <v>28</v>
      </c>
      <c r="B19" s="360" t="s">
        <v>181</v>
      </c>
      <c r="C19" s="360"/>
      <c r="D19" s="360"/>
      <c r="E19" s="360"/>
      <c r="F19" s="360"/>
      <c r="G19" s="35"/>
      <c r="H19" s="292">
        <v>0</v>
      </c>
      <c r="I19" s="5"/>
      <c r="J19" s="5"/>
      <c r="Z19" s="5" t="s">
        <v>31</v>
      </c>
    </row>
    <row r="20" spans="1:26">
      <c r="A20" s="124" t="s">
        <v>29</v>
      </c>
      <c r="B20" s="360" t="s">
        <v>181</v>
      </c>
      <c r="C20" s="360"/>
      <c r="D20" s="360"/>
      <c r="E20" s="360"/>
      <c r="F20" s="360"/>
      <c r="G20" s="35"/>
      <c r="H20" s="292" t="n">
        <v>0.0</v>
      </c>
      <c r="I20" s="5"/>
      <c r="J20" s="5"/>
      <c r="Z20" s="5" t="s">
        <v>32</v>
      </c>
    </row>
    <row r="21" spans="1:26" ht="21">
      <c r="A21" s="417" t="s">
        <v>182</v>
      </c>
      <c r="B21" s="417"/>
      <c r="C21" s="417"/>
      <c r="D21" s="417"/>
      <c r="E21" s="417"/>
      <c r="F21" s="417"/>
      <c r="G21" s="293"/>
      <c r="H21" s="294">
        <f>H15-((H18*1.2)+(H19*1.2)+(H20*1.2)+(H16*1.2))</f>
        <v>68397.099999999991</v>
      </c>
      <c r="I21" s="5"/>
      <c r="J21" s="5"/>
      <c r="K21" s="5"/>
    </row>
    <row r="22" spans="1:26">
      <c r="A22" s="21"/>
      <c r="B22" s="21"/>
      <c r="C22" s="21"/>
      <c r="D22" s="21"/>
      <c r="E22" s="21"/>
      <c r="F22" s="21"/>
      <c r="G22" s="21"/>
      <c r="H22" s="21"/>
      <c r="J22" s="5"/>
      <c r="K22" s="5"/>
    </row>
    <row r="23" spans="1:26">
      <c r="A23" s="21"/>
      <c r="B23" s="21"/>
      <c r="C23" s="21"/>
      <c r="D23" s="21"/>
      <c r="E23" s="21"/>
      <c r="F23" s="21"/>
      <c r="G23" s="21"/>
      <c r="H23" s="21"/>
      <c r="J23" s="5"/>
      <c r="K23" s="5"/>
    </row>
    <row r="24" spans="1:26" ht="46.5" customHeight="1">
      <c r="A24" s="334" t="s">
        <v>354</v>
      </c>
      <c r="B24" s="334"/>
      <c r="C24" s="334"/>
      <c r="D24" s="334"/>
      <c r="E24" s="334"/>
      <c r="F24" s="334"/>
      <c r="G24" s="334"/>
      <c r="H24" s="334"/>
      <c r="I24" s="5"/>
      <c r="J24" s="5"/>
      <c r="K24" s="5"/>
    </row>
    <row r="25" spans="1:26">
      <c r="A25" s="22"/>
      <c r="B25" s="23"/>
      <c r="C25" s="23"/>
      <c r="D25" s="23"/>
      <c r="E25" s="23"/>
      <c r="F25" s="23"/>
      <c r="G25" s="23"/>
      <c r="H25" s="24"/>
      <c r="I25" s="5"/>
      <c r="J25" s="5"/>
      <c r="K25" s="5"/>
    </row>
    <row r="26" spans="1:26">
      <c r="A26" s="32" t="s">
        <v>138</v>
      </c>
      <c r="B26" s="36" t="s">
        <v>410</v>
      </c>
      <c r="C26" s="28"/>
      <c r="D26" s="28"/>
      <c r="E26" s="28"/>
      <c r="F26" s="28"/>
      <c r="G26" s="28"/>
      <c r="H26" s="29"/>
      <c r="I26" s="5"/>
      <c r="J26" s="25" t="s">
        <v>36</v>
      </c>
      <c r="K26" s="26" t="s">
        <v>37</v>
      </c>
    </row>
    <row r="27" spans="1:26">
      <c r="A27" s="27"/>
      <c r="B27" s="28"/>
      <c r="C27" s="28"/>
      <c r="D27" s="28"/>
      <c r="E27" s="28"/>
      <c r="F27" s="28"/>
      <c r="G27" s="28"/>
      <c r="H27" s="29"/>
      <c r="I27" s="5"/>
      <c r="J27" s="30" t="s">
        <v>38</v>
      </c>
      <c r="K27" s="31">
        <v>1</v>
      </c>
    </row>
    <row r="28" spans="1:26" ht="23.25">
      <c r="A28" s="335" t="s">
        <v>136</v>
      </c>
      <c r="B28" s="335"/>
      <c r="C28" s="335"/>
      <c r="D28" s="335"/>
      <c r="E28" s="335"/>
      <c r="F28" s="335"/>
      <c r="G28" s="335"/>
      <c r="H28" s="335"/>
      <c r="I28" s="5"/>
      <c r="J28" s="30" t="s">
        <v>40</v>
      </c>
      <c r="K28" s="31"/>
    </row>
    <row r="29" spans="1:26">
      <c r="A29" s="27"/>
      <c r="B29" s="28"/>
      <c r="C29" s="28"/>
      <c r="D29" s="28"/>
      <c r="E29" s="28"/>
      <c r="F29" s="28"/>
      <c r="G29" s="28"/>
      <c r="H29" s="29">
        <v>36</v>
      </c>
      <c r="I29" s="28"/>
      <c r="J29" s="25" t="s">
        <v>41</v>
      </c>
      <c r="K29" s="295">
        <v>35</v>
      </c>
    </row>
    <row r="30" spans="1:26">
      <c r="A30" s="27" t="s">
        <v>193</v>
      </c>
      <c r="B30" s="346" t="s">
        <v>387</v>
      </c>
      <c r="C30" s="346"/>
      <c r="D30" s="346"/>
      <c r="E30" s="28"/>
      <c r="F30" s="28"/>
      <c r="G30" s="28"/>
      <c r="H30" s="29">
        <v>10000</v>
      </c>
      <c r="I30" s="28"/>
      <c r="J30" s="25" t="s">
        <v>45</v>
      </c>
      <c r="K30" s="33">
        <v>35000</v>
      </c>
    </row>
    <row r="31" spans="1:26">
      <c r="A31" s="27"/>
      <c r="B31" s="28"/>
      <c r="C31" s="28"/>
      <c r="D31" s="28"/>
      <c r="E31" s="28"/>
      <c r="F31" s="28"/>
      <c r="G31" s="28"/>
      <c r="H31" s="29">
        <v>27500</v>
      </c>
      <c r="I31" s="28"/>
      <c r="J31" s="25" t="s">
        <v>48</v>
      </c>
      <c r="K31" s="37">
        <v>11205</v>
      </c>
    </row>
    <row r="32" spans="1:26" ht="36">
      <c r="A32" s="27" t="s">
        <v>94</v>
      </c>
      <c r="B32" s="28" t="s">
        <v>95</v>
      </c>
      <c r="C32" s="28"/>
      <c r="D32" s="28"/>
      <c r="E32" s="28" t="s">
        <v>355</v>
      </c>
      <c r="F32" s="28"/>
      <c r="G32" s="28"/>
      <c r="H32" s="29"/>
      <c r="I32" s="5">
        <v>0</v>
      </c>
      <c r="J32" s="25" t="s">
        <v>49</v>
      </c>
      <c r="K32" s="37">
        <v>6230.7</v>
      </c>
    </row>
    <row r="33" spans="1:16" ht="36">
      <c r="A33" s="134">
        <f>A52</f>
        <v>35</v>
      </c>
      <c r="B33" s="173">
        <f>B51</f>
        <v>35000</v>
      </c>
      <c r="C33" s="28"/>
      <c r="D33" s="28"/>
      <c r="E33" s="402">
        <f>K48</f>
        <v>1746.9889756786563</v>
      </c>
      <c r="F33" s="402"/>
      <c r="G33" s="402"/>
      <c r="H33" s="42"/>
      <c r="I33" s="5"/>
      <c r="J33" s="30" t="s">
        <v>356</v>
      </c>
      <c r="K33" s="43">
        <f>H21-H11+(H16*20%)</f>
        <v>57114.249999999993</v>
      </c>
      <c r="L33" s="4">
        <f>H21-H11+(H16*20%)</f>
        <v>57114.249999999993</v>
      </c>
    </row>
    <row r="34" spans="1:16">
      <c r="A34" s="27"/>
      <c r="B34" s="28"/>
      <c r="C34" s="28"/>
      <c r="D34" s="28"/>
      <c r="E34" s="38"/>
      <c r="F34" s="38"/>
      <c r="G34" s="38"/>
      <c r="H34" s="42"/>
      <c r="I34" s="5"/>
      <c r="J34" s="5"/>
      <c r="K34" s="5"/>
    </row>
    <row r="35" spans="1:16">
      <c r="A35" s="27" t="s">
        <v>357</v>
      </c>
      <c r="B35" s="28" t="s">
        <v>358</v>
      </c>
      <c r="C35" s="28"/>
      <c r="E35" s="28" t="s">
        <v>359</v>
      </c>
      <c r="F35" s="38"/>
      <c r="G35" s="38"/>
      <c r="H35" s="42"/>
      <c r="I35" s="5"/>
      <c r="J35" s="45" t="s">
        <v>59</v>
      </c>
      <c r="K35" s="4">
        <v>7.0000000000000007E-2</v>
      </c>
    </row>
    <row r="36" spans="1:16">
      <c r="A36" s="138">
        <f>K47</f>
        <v>1568.9689756786563</v>
      </c>
      <c r="B36" s="173">
        <f>IF(B26="YES",K42,"0.00")</f>
        <v>178.01999999999998</v>
      </c>
      <c r="C36" s="173"/>
      <c r="D36" s="173"/>
      <c r="E36" s="402">
        <f>K31</f>
        <v>11205</v>
      </c>
      <c r="F36" s="402"/>
      <c r="G36" s="402"/>
      <c r="H36" s="42"/>
      <c r="I36" s="5"/>
      <c r="J36" s="5" t="s">
        <v>63</v>
      </c>
      <c r="K36" s="5">
        <f>K29</f>
        <v>35</v>
      </c>
    </row>
    <row r="37" spans="1:16">
      <c r="A37" s="94"/>
      <c r="B37" s="34"/>
      <c r="C37" s="38"/>
      <c r="D37" s="38"/>
      <c r="E37" s="38"/>
      <c r="F37" s="38"/>
      <c r="G37" s="38"/>
      <c r="H37" s="42"/>
      <c r="I37" s="5"/>
      <c r="J37" s="5"/>
      <c r="K37" s="5"/>
    </row>
    <row r="38" spans="1:16">
      <c r="A38" s="27"/>
      <c r="B38" s="28"/>
      <c r="C38" s="38"/>
      <c r="D38" s="38"/>
      <c r="E38" s="38"/>
      <c r="F38" s="38"/>
      <c r="G38" s="38"/>
      <c r="H38" s="42"/>
      <c r="J38" s="337" t="s">
        <v>65</v>
      </c>
      <c r="K38" s="337"/>
      <c r="L38" s="5">
        <v>42030.76</v>
      </c>
      <c r="N38" s="4">
        <f>80.88*36</f>
        <v>2911.68</v>
      </c>
    </row>
    <row r="39" spans="1:16">
      <c r="A39" s="27" t="s">
        <v>360</v>
      </c>
      <c r="B39" s="28" t="s">
        <v>361</v>
      </c>
      <c r="C39" s="28"/>
      <c r="E39" s="28" t="s">
        <v>362</v>
      </c>
      <c r="F39" s="38"/>
      <c r="G39" s="38"/>
      <c r="H39" s="42"/>
      <c r="J39" s="5" t="s">
        <v>96</v>
      </c>
      <c r="K39" s="5">
        <f>K33</f>
        <v>57114.249999999993</v>
      </c>
      <c r="L39" s="5">
        <f>(L47*K46)+K44</f>
        <v>27212.708034124727</v>
      </c>
      <c r="N39" s="4">
        <f>K39-L39</f>
        <v>29901.541965875265</v>
      </c>
    </row>
    <row r="40" spans="1:16">
      <c r="A40" s="228">
        <f>E36*A45/100</f>
        <v>11205</v>
      </c>
      <c r="B40" s="348">
        <f>IF(B26="YES",K42,"0.00")</f>
        <v>178.01999999999998</v>
      </c>
      <c r="C40" s="348"/>
      <c r="D40" s="348"/>
      <c r="E40" s="137">
        <f>K32</f>
        <v>6230.7</v>
      </c>
      <c r="F40" s="38"/>
      <c r="G40" s="38"/>
      <c r="H40" s="42"/>
      <c r="J40" s="5" t="s">
        <v>118</v>
      </c>
      <c r="K40" s="5">
        <f>(A40)/1.2</f>
        <v>9337.5</v>
      </c>
      <c r="L40" s="5">
        <f>K39-L39</f>
        <v>29901.541965875265</v>
      </c>
      <c r="N40" s="4">
        <f>N38-N39</f>
        <v>-26989.861965875265</v>
      </c>
    </row>
    <row r="41" spans="1:16">
      <c r="A41" s="27"/>
      <c r="B41" s="28"/>
      <c r="C41" s="28"/>
      <c r="D41" s="28"/>
      <c r="E41" s="28"/>
      <c r="F41" s="38"/>
      <c r="G41" s="38"/>
      <c r="H41" s="42"/>
      <c r="J41" s="5" t="s">
        <v>363</v>
      </c>
      <c r="K41" s="5">
        <f>K35/12</f>
        <v>5.8333333333333336E-3</v>
      </c>
      <c r="L41" s="5"/>
    </row>
    <row r="42" spans="1:16">
      <c r="A42" s="49"/>
      <c r="B42" s="50"/>
      <c r="C42" s="50"/>
      <c r="D42" s="50"/>
      <c r="E42" s="50"/>
      <c r="F42" s="50"/>
      <c r="G42" s="51"/>
      <c r="H42" s="52"/>
      <c r="J42" s="5" t="s">
        <v>364</v>
      </c>
      <c r="K42" s="5">
        <f>(K32/K36/100)*C45</f>
        <v>178.01999999999998</v>
      </c>
      <c r="L42" s="5"/>
    </row>
    <row r="43" spans="1:16">
      <c r="A43" s="22"/>
      <c r="B43" s="23"/>
      <c r="C43" s="23"/>
      <c r="D43" s="23"/>
      <c r="E43" s="23"/>
      <c r="F43" s="23"/>
      <c r="G43" s="23"/>
      <c r="H43" s="24"/>
      <c r="J43" s="5" t="s">
        <v>365</v>
      </c>
      <c r="K43" s="5"/>
      <c r="L43" s="5"/>
    </row>
    <row r="44" spans="1:16">
      <c r="A44" s="53" t="s">
        <v>89</v>
      </c>
      <c r="B44" s="28"/>
      <c r="C44" s="28" t="s">
        <v>90</v>
      </c>
      <c r="D44" s="28"/>
      <c r="E44" s="28"/>
      <c r="F44" s="28"/>
      <c r="G44" s="28"/>
      <c r="H44" s="29"/>
      <c r="J44" s="5" t="s">
        <v>366</v>
      </c>
      <c r="K44" s="5">
        <f>(K40/(1+K41)^(K36+1))</f>
        <v>7573.4497644001049</v>
      </c>
      <c r="L44" s="5"/>
    </row>
    <row r="45" spans="1:16">
      <c r="A45" s="325">
        <v>100</v>
      </c>
      <c r="B45" s="28"/>
      <c r="C45" s="419">
        <v>100</v>
      </c>
      <c r="D45" s="419"/>
      <c r="E45" s="419"/>
      <c r="F45" s="28"/>
      <c r="G45" s="28"/>
      <c r="H45" s="29"/>
      <c r="J45" s="5" t="s">
        <v>367</v>
      </c>
      <c r="K45" s="5">
        <f>(K39-K44)</f>
        <v>49540.800235599891</v>
      </c>
      <c r="L45" s="5"/>
    </row>
    <row r="46" spans="1:16">
      <c r="A46" s="49"/>
      <c r="B46" s="50"/>
      <c r="C46" s="50"/>
      <c r="D46" s="50"/>
      <c r="E46" s="50"/>
      <c r="F46" s="50"/>
      <c r="G46" s="50"/>
      <c r="H46" s="57"/>
      <c r="J46" s="5" t="s">
        <v>368</v>
      </c>
      <c r="K46" s="5">
        <f>((1-(1/((1+K41)^K36)))/K41)</f>
        <v>31.575385494267696</v>
      </c>
      <c r="L46" s="5"/>
    </row>
    <row r="47" spans="1:16">
      <c r="A47" s="22"/>
      <c r="B47" s="23"/>
      <c r="C47" s="23"/>
      <c r="D47" s="23"/>
      <c r="E47" s="23"/>
      <c r="F47" s="23"/>
      <c r="G47" s="23"/>
      <c r="H47" s="24"/>
      <c r="J47" s="5" t="s">
        <v>369</v>
      </c>
      <c r="K47" s="5">
        <f>K45/K46</f>
        <v>1568.9689756786563</v>
      </c>
      <c r="L47" s="5">
        <f>L49-K42</f>
        <v>621.98</v>
      </c>
      <c r="M47" s="4">
        <f>K47-L47</f>
        <v>946.98897567865629</v>
      </c>
    </row>
    <row r="48" spans="1:16" ht="37.5">
      <c r="A48" s="58" t="s">
        <v>93</v>
      </c>
      <c r="B48" s="28"/>
      <c r="C48" s="28"/>
      <c r="D48" s="59"/>
      <c r="E48" s="59"/>
      <c r="F48" s="59"/>
      <c r="G48" s="59"/>
      <c r="H48" s="60"/>
      <c r="J48" s="48" t="s">
        <v>370</v>
      </c>
      <c r="K48" s="5">
        <f>IF(B26="YES",K47+K42,K47)</f>
        <v>1746.9889756786563</v>
      </c>
      <c r="L48" s="5"/>
    </row>
    <row r="49" spans="1:35">
      <c r="A49" s="27"/>
      <c r="B49" s="61"/>
      <c r="C49" s="61"/>
      <c r="D49" s="28"/>
      <c r="E49" s="28"/>
      <c r="F49" s="28"/>
      <c r="G49" s="28"/>
      <c r="H49" s="29"/>
      <c r="J49" s="5" t="s">
        <v>371</v>
      </c>
      <c r="K49" s="5"/>
      <c r="L49" s="5">
        <v>800</v>
      </c>
    </row>
    <row r="50" spans="1:35" ht="21">
      <c r="A50" s="369" t="s">
        <v>94</v>
      </c>
      <c r="B50" s="341" t="s">
        <v>95</v>
      </c>
      <c r="C50" s="341"/>
      <c r="D50" s="341"/>
      <c r="E50" s="28"/>
      <c r="F50" s="28"/>
      <c r="G50" s="28"/>
      <c r="H50" s="29"/>
      <c r="I50" s="5"/>
      <c r="J50" s="5"/>
      <c r="K50" s="5"/>
    </row>
    <row r="51" spans="1:35" ht="19.5" customHeight="1">
      <c r="A51" s="369"/>
      <c r="B51" s="342">
        <f>K30</f>
        <v>35000</v>
      </c>
      <c r="C51" s="342"/>
      <c r="D51" s="342"/>
      <c r="E51" s="28"/>
      <c r="F51" s="28"/>
      <c r="G51" s="28"/>
      <c r="H51" s="29"/>
      <c r="I51" s="5"/>
      <c r="J51" s="5"/>
      <c r="K51" s="5"/>
    </row>
    <row r="52" spans="1:35">
      <c r="A52" s="62">
        <f>K29</f>
        <v>35</v>
      </c>
      <c r="B52" s="343">
        <f>K48</f>
        <v>1746.9889756786563</v>
      </c>
      <c r="C52" s="343"/>
      <c r="D52" s="343"/>
      <c r="E52" s="28"/>
      <c r="F52" s="28"/>
      <c r="G52" s="28"/>
      <c r="H52" s="29"/>
      <c r="I52" s="5"/>
      <c r="J52" s="5"/>
      <c r="K52" s="5"/>
    </row>
    <row r="53" spans="1:35">
      <c r="A53" s="27"/>
      <c r="B53" s="28"/>
      <c r="C53" s="28"/>
      <c r="D53" s="28"/>
      <c r="E53" s="28"/>
      <c r="F53" s="28"/>
      <c r="G53" s="28"/>
      <c r="H53" s="29"/>
      <c r="I53" s="5"/>
      <c r="J53" s="5"/>
      <c r="K53" s="5"/>
    </row>
    <row r="54" spans="1:35">
      <c r="A54" s="49"/>
      <c r="B54" s="50"/>
      <c r="C54" s="50"/>
      <c r="D54" s="50"/>
      <c r="E54" s="50"/>
      <c r="F54" s="50"/>
      <c r="G54" s="50"/>
      <c r="H54" s="57"/>
      <c r="I54" s="5"/>
      <c r="J54" s="5"/>
      <c r="K54" s="5"/>
    </row>
    <row r="55" spans="1:35">
      <c r="A55" s="21"/>
      <c r="B55" s="21"/>
      <c r="C55" s="21"/>
      <c r="D55" s="21"/>
      <c r="E55" s="21"/>
      <c r="F55" s="21"/>
      <c r="G55" s="21"/>
      <c r="H55" s="21"/>
      <c r="J55" s="5"/>
      <c r="K55" s="5"/>
    </row>
    <row r="56" spans="1:35">
      <c r="A56" s="21"/>
      <c r="B56" s="21"/>
      <c r="C56" s="21"/>
      <c r="D56" s="21"/>
      <c r="E56" s="21"/>
      <c r="F56" s="21"/>
      <c r="G56" s="21"/>
      <c r="H56" s="21"/>
      <c r="J56" s="5"/>
      <c r="K56" s="5"/>
    </row>
    <row r="57" spans="1:35">
      <c r="A57" s="22"/>
      <c r="B57" s="23"/>
      <c r="C57" s="23"/>
      <c r="D57" s="23"/>
      <c r="E57" s="63"/>
      <c r="F57" s="63"/>
      <c r="G57" s="63"/>
      <c r="H57" s="24"/>
      <c r="J57" s="22"/>
      <c r="K57" s="23"/>
      <c r="L57" s="23"/>
      <c r="M57" s="23"/>
      <c r="N57" s="63"/>
      <c r="O57" s="63"/>
      <c r="P57" s="63"/>
      <c r="Q57" s="24"/>
      <c r="S57" s="22"/>
      <c r="T57" s="23"/>
      <c r="U57" s="23"/>
      <c r="V57" s="23"/>
      <c r="W57" s="63"/>
      <c r="X57" s="63"/>
      <c r="Y57" s="63"/>
      <c r="Z57" s="24"/>
      <c r="AB57" s="22"/>
      <c r="AC57" s="23"/>
      <c r="AD57" s="23"/>
      <c r="AE57" s="23"/>
      <c r="AF57" s="63"/>
      <c r="AG57" s="63"/>
      <c r="AH57" s="63"/>
      <c r="AI57" s="24"/>
    </row>
    <row r="58" spans="1:35">
      <c r="A58" s="27" t="s">
        <v>96</v>
      </c>
      <c r="B58" s="28">
        <v>1</v>
      </c>
      <c r="C58" s="28"/>
      <c r="D58" s="28"/>
      <c r="E58" s="21"/>
      <c r="F58" s="21"/>
      <c r="G58" s="21"/>
      <c r="H58" s="29"/>
      <c r="J58" s="27" t="s">
        <v>96</v>
      </c>
      <c r="K58" s="28">
        <v>1</v>
      </c>
      <c r="L58" s="28"/>
      <c r="M58" s="28"/>
      <c r="N58" s="21"/>
      <c r="O58" s="21"/>
      <c r="P58" s="21"/>
      <c r="Q58" s="29"/>
      <c r="S58" s="27" t="s">
        <v>96</v>
      </c>
      <c r="T58" s="28">
        <v>1</v>
      </c>
      <c r="U58" s="28"/>
      <c r="V58" s="28"/>
      <c r="W58" s="21"/>
      <c r="X58" s="21"/>
      <c r="Y58" s="21"/>
      <c r="Z58" s="29"/>
      <c r="AB58" s="27" t="s">
        <v>96</v>
      </c>
      <c r="AC58" s="28">
        <v>1</v>
      </c>
      <c r="AD58" s="28"/>
      <c r="AE58" s="28"/>
      <c r="AF58" s="21"/>
      <c r="AG58" s="21"/>
      <c r="AH58" s="21"/>
      <c r="AI58" s="29"/>
    </row>
    <row r="59" spans="1:35">
      <c r="A59" s="27" t="s">
        <v>97</v>
      </c>
      <c r="B59" s="28">
        <f>K29-B58</f>
        <v>34</v>
      </c>
      <c r="C59" s="28"/>
      <c r="D59" s="28"/>
      <c r="E59" s="21"/>
      <c r="F59" s="21"/>
      <c r="G59" s="21"/>
      <c r="H59" s="29"/>
      <c r="J59" s="27" t="s">
        <v>97</v>
      </c>
      <c r="K59" s="28">
        <f>K29-K58</f>
        <v>34</v>
      </c>
      <c r="L59" s="28"/>
      <c r="M59" s="28"/>
      <c r="N59" s="21"/>
      <c r="O59" s="21"/>
      <c r="P59" s="21"/>
      <c r="Q59" s="29"/>
      <c r="S59" s="27" t="s">
        <v>97</v>
      </c>
      <c r="T59" s="28">
        <f>K29-T58</f>
        <v>34</v>
      </c>
      <c r="U59" s="28"/>
      <c r="V59" s="28"/>
      <c r="W59" s="21"/>
      <c r="X59" s="21"/>
      <c r="Y59" s="21"/>
      <c r="Z59" s="29"/>
      <c r="AB59" s="27" t="s">
        <v>97</v>
      </c>
      <c r="AC59" s="28">
        <f>K29-AC58</f>
        <v>34</v>
      </c>
      <c r="AD59" s="28"/>
      <c r="AE59" s="28"/>
      <c r="AF59" s="21"/>
      <c r="AG59" s="21"/>
      <c r="AH59" s="21"/>
      <c r="AI59" s="29"/>
    </row>
    <row r="60" spans="1:35">
      <c r="A60" s="64" t="s">
        <v>98</v>
      </c>
      <c r="B60" s="65">
        <v>10</v>
      </c>
      <c r="C60" s="28"/>
      <c r="D60" s="28"/>
      <c r="E60" s="21"/>
      <c r="F60" s="21"/>
      <c r="G60" s="21"/>
      <c r="H60" s="29"/>
      <c r="J60" s="64" t="s">
        <v>98</v>
      </c>
      <c r="K60" s="65">
        <v>20</v>
      </c>
      <c r="L60" s="28"/>
      <c r="M60" s="28"/>
      <c r="N60" s="21"/>
      <c r="O60" s="21"/>
      <c r="P60" s="21"/>
      <c r="Q60" s="29"/>
      <c r="S60" s="64" t="s">
        <v>98</v>
      </c>
      <c r="T60" s="65">
        <v>10</v>
      </c>
      <c r="U60" s="28"/>
      <c r="V60" s="28"/>
      <c r="W60" s="21"/>
      <c r="X60" s="21"/>
      <c r="Y60" s="21"/>
      <c r="Z60" s="29"/>
      <c r="AB60" s="64" t="s">
        <v>98</v>
      </c>
      <c r="AC60" s="65">
        <v>10</v>
      </c>
      <c r="AD60" s="28"/>
      <c r="AE60" s="28"/>
      <c r="AF60" s="21"/>
      <c r="AG60" s="21"/>
      <c r="AH60" s="21"/>
      <c r="AI60" s="29"/>
    </row>
    <row r="61" spans="1:35">
      <c r="A61" s="27" t="s">
        <v>27</v>
      </c>
      <c r="B61" s="28">
        <f>J18</f>
        <v>69075</v>
      </c>
      <c r="C61" s="28"/>
      <c r="D61" s="28"/>
      <c r="E61" s="21"/>
      <c r="F61" s="21"/>
      <c r="G61" s="21"/>
      <c r="H61" s="29"/>
      <c r="J61" s="27" t="s">
        <v>27</v>
      </c>
      <c r="K61" s="28">
        <f>J18</f>
        <v>69075</v>
      </c>
      <c r="L61" s="28"/>
      <c r="M61" s="28"/>
      <c r="N61" s="21"/>
      <c r="O61" s="21"/>
      <c r="P61" s="21"/>
      <c r="Q61" s="29"/>
      <c r="S61" s="27" t="s">
        <v>27</v>
      </c>
      <c r="T61" s="28">
        <f>J18</f>
        <v>69075</v>
      </c>
      <c r="U61" s="28"/>
      <c r="V61" s="28"/>
      <c r="W61" s="21"/>
      <c r="X61" s="21"/>
      <c r="Y61" s="21"/>
      <c r="Z61" s="29"/>
      <c r="AB61" s="27" t="s">
        <v>27</v>
      </c>
      <c r="AC61" s="28">
        <f>J18</f>
        <v>69075</v>
      </c>
      <c r="AD61" s="28"/>
      <c r="AE61" s="28"/>
      <c r="AF61" s="21"/>
      <c r="AG61" s="21"/>
      <c r="AH61" s="21"/>
      <c r="AI61" s="29"/>
    </row>
    <row r="62" spans="1:35">
      <c r="A62" s="66" t="s">
        <v>99</v>
      </c>
      <c r="B62" s="67">
        <v>0</v>
      </c>
      <c r="C62" s="28"/>
      <c r="D62" s="28"/>
      <c r="E62" s="21"/>
      <c r="F62" s="21"/>
      <c r="G62" s="21"/>
      <c r="H62" s="29"/>
      <c r="J62" s="66" t="s">
        <v>99</v>
      </c>
      <c r="K62" s="67">
        <v>0.06</v>
      </c>
      <c r="L62" s="28"/>
      <c r="M62" s="28"/>
      <c r="N62" s="21"/>
      <c r="O62" s="21"/>
      <c r="P62" s="21"/>
      <c r="Q62" s="29"/>
      <c r="S62" s="66" t="s">
        <v>99</v>
      </c>
      <c r="T62" s="67">
        <f>IF(AND(K29&gt;=12,K29&lt;=24),0.0105,IF(AND(K29&gt;=48),-0.0075,0))</f>
        <v>0</v>
      </c>
      <c r="U62" s="28"/>
      <c r="V62" s="28"/>
      <c r="W62" s="21"/>
      <c r="X62" s="21"/>
      <c r="Y62" s="21"/>
      <c r="Z62" s="29"/>
      <c r="AB62" s="66" t="s">
        <v>99</v>
      </c>
      <c r="AC62" s="67">
        <f>IF(AND(K29&gt;=12,K29&lt;=24),0.0105,IF(AND(K29&gt;=48),-0.0075,0))</f>
        <v>0</v>
      </c>
      <c r="AD62" s="28"/>
      <c r="AE62" s="28"/>
      <c r="AF62" s="21"/>
      <c r="AG62" s="21"/>
      <c r="AH62" s="21"/>
      <c r="AI62" s="29"/>
    </row>
    <row r="63" spans="1:35">
      <c r="A63" s="68" t="s">
        <v>100</v>
      </c>
      <c r="B63" s="69">
        <v>7.0000000000000007E-2</v>
      </c>
      <c r="C63" s="28"/>
      <c r="D63" s="28"/>
      <c r="E63" s="21"/>
      <c r="F63" s="21"/>
      <c r="G63" s="21"/>
      <c r="H63" s="29"/>
      <c r="J63" s="68" t="s">
        <v>100</v>
      </c>
      <c r="K63" s="69">
        <v>0.08</v>
      </c>
      <c r="L63" s="28"/>
      <c r="M63" s="28"/>
      <c r="N63" s="21"/>
      <c r="O63" s="21"/>
      <c r="P63" s="21"/>
      <c r="Q63" s="29"/>
      <c r="S63" s="68" t="s">
        <v>100</v>
      </c>
      <c r="T63" s="69">
        <v>5.8999999999999997E-2</v>
      </c>
      <c r="U63" s="28"/>
      <c r="V63" s="28"/>
      <c r="W63" s="21"/>
      <c r="X63" s="21"/>
      <c r="Y63" s="21"/>
      <c r="Z63" s="29"/>
      <c r="AB63" s="68" t="s">
        <v>100</v>
      </c>
      <c r="AC63" s="69">
        <v>5.8999999999999997E-2</v>
      </c>
      <c r="AD63" s="28"/>
      <c r="AE63" s="28"/>
      <c r="AF63" s="21"/>
      <c r="AG63" s="21"/>
      <c r="AH63" s="21"/>
      <c r="AI63" s="29"/>
    </row>
    <row r="64" spans="1:35">
      <c r="A64" s="70" t="s">
        <v>101</v>
      </c>
      <c r="B64" s="71">
        <v>0.05</v>
      </c>
      <c r="C64" s="28"/>
      <c r="D64" s="28"/>
      <c r="E64" s="21"/>
      <c r="F64" s="21"/>
      <c r="G64" s="21"/>
      <c r="H64" s="29"/>
      <c r="J64" s="70" t="s">
        <v>101</v>
      </c>
      <c r="K64" s="71">
        <v>0.1</v>
      </c>
      <c r="L64" s="28"/>
      <c r="M64" s="28"/>
      <c r="N64" s="21"/>
      <c r="O64" s="21"/>
      <c r="P64" s="21"/>
      <c r="Q64" s="29"/>
      <c r="S64" s="70" t="s">
        <v>101</v>
      </c>
      <c r="T64" s="71">
        <f>IF(T108=AP108,2.4%,7.2%)</f>
        <v>7.2000000000000008E-2</v>
      </c>
      <c r="U64" s="28"/>
      <c r="V64" s="28"/>
      <c r="W64" s="21"/>
      <c r="X64" s="21"/>
      <c r="Y64" s="21"/>
      <c r="Z64" s="29"/>
      <c r="AB64" s="70" t="s">
        <v>101</v>
      </c>
      <c r="AC64" s="71">
        <f>IF(AC108=AP108,2.4%,7.2%)</f>
        <v>7.2000000000000008E-2</v>
      </c>
      <c r="AD64" s="28"/>
      <c r="AE64" s="28"/>
      <c r="AF64" s="21"/>
      <c r="AG64" s="21"/>
      <c r="AH64" s="21"/>
      <c r="AI64" s="29"/>
    </row>
    <row r="65" spans="1:35">
      <c r="A65" s="49" t="s">
        <v>102</v>
      </c>
      <c r="B65" s="57">
        <f>(B89*B59)-(K47*K29)</f>
        <v>17541.706790327022</v>
      </c>
      <c r="C65" s="28"/>
      <c r="D65" s="28"/>
      <c r="E65" s="21"/>
      <c r="F65" s="21"/>
      <c r="G65" s="21"/>
      <c r="H65" s="29"/>
      <c r="J65" s="49" t="s">
        <v>102</v>
      </c>
      <c r="K65" s="57">
        <f>(K89*K59)-(K47*K29)</f>
        <v>-6991.6566797253108</v>
      </c>
      <c r="L65" s="28"/>
      <c r="M65" s="28"/>
      <c r="N65" s="21"/>
      <c r="O65" s="21"/>
      <c r="P65" s="21"/>
      <c r="Q65" s="29"/>
      <c r="S65" s="49" t="s">
        <v>102</v>
      </c>
      <c r="T65" s="57">
        <f>(T89*T59)-(K47*K29)</f>
        <v>20745.850702486117</v>
      </c>
      <c r="U65" s="28"/>
      <c r="V65" s="28"/>
      <c r="W65" s="21"/>
      <c r="X65" s="21"/>
      <c r="Y65" s="21"/>
      <c r="Z65" s="29"/>
      <c r="AB65" s="49" t="s">
        <v>102</v>
      </c>
      <c r="AC65" s="57">
        <f>(AC89*AC59)-(K47*K29)</f>
        <v>-1840.4906522131787</v>
      </c>
      <c r="AD65" s="28"/>
      <c r="AE65" s="28"/>
      <c r="AF65" s="21"/>
      <c r="AG65" s="21"/>
      <c r="AH65" s="21"/>
      <c r="AI65" s="29"/>
    </row>
    <row r="66" spans="1:35">
      <c r="A66" s="66" t="s">
        <v>103</v>
      </c>
      <c r="B66" s="67">
        <v>1.4999999999999999E-2</v>
      </c>
      <c r="C66" s="28"/>
      <c r="D66" s="28"/>
      <c r="E66" s="21"/>
      <c r="F66" s="21"/>
      <c r="G66" s="21"/>
      <c r="H66" s="29"/>
      <c r="J66" s="66" t="s">
        <v>103</v>
      </c>
      <c r="K66" s="67">
        <v>0.05</v>
      </c>
      <c r="L66" s="28"/>
      <c r="M66" s="28"/>
      <c r="N66" s="21"/>
      <c r="O66" s="21"/>
      <c r="P66" s="21"/>
      <c r="Q66" s="29"/>
      <c r="S66" s="66" t="s">
        <v>103</v>
      </c>
      <c r="T66" s="67">
        <v>5.0000000000000001E-3</v>
      </c>
      <c r="U66" s="28"/>
      <c r="V66" s="28"/>
      <c r="W66" s="21"/>
      <c r="X66" s="21"/>
      <c r="Y66" s="21"/>
      <c r="Z66" s="29"/>
      <c r="AB66" s="66" t="s">
        <v>103</v>
      </c>
      <c r="AC66" s="67">
        <v>5.0000000000000001E-3</v>
      </c>
      <c r="AD66" s="28"/>
      <c r="AE66" s="28"/>
      <c r="AF66" s="21"/>
      <c r="AG66" s="21"/>
      <c r="AH66" s="21"/>
      <c r="AI66" s="29"/>
    </row>
    <row r="67" spans="1:35">
      <c r="A67" s="27"/>
      <c r="B67" s="72">
        <f>B66</f>
        <v>1.4999999999999999E-2</v>
      </c>
      <c r="C67" s="28"/>
      <c r="D67" s="28"/>
      <c r="E67" s="21"/>
      <c r="F67" s="21"/>
      <c r="G67" s="21"/>
      <c r="H67" s="29"/>
      <c r="J67" s="27" t="s">
        <v>104</v>
      </c>
      <c r="K67" s="72">
        <f>K66+(K66*0.25*(K29/12-1))</f>
        <v>7.3958333333333334E-2</v>
      </c>
      <c r="L67" s="28"/>
      <c r="M67" s="28"/>
      <c r="N67" s="21"/>
      <c r="O67" s="21"/>
      <c r="P67" s="21"/>
      <c r="Q67" s="29"/>
      <c r="S67" s="27" t="s">
        <v>104</v>
      </c>
      <c r="T67" s="72">
        <f>T66+(T66*0.5*(K29/12-1))</f>
        <v>9.7916666666666673E-3</v>
      </c>
      <c r="U67" s="28"/>
      <c r="V67" s="28"/>
      <c r="W67" s="21"/>
      <c r="X67" s="21"/>
      <c r="Y67" s="21"/>
      <c r="Z67" s="29"/>
      <c r="AB67" s="27" t="s">
        <v>104</v>
      </c>
      <c r="AC67" s="72">
        <f>AC66+(AC66*0.5*(K29/12-1))</f>
        <v>9.7916666666666673E-3</v>
      </c>
      <c r="AD67" s="28"/>
      <c r="AE67" s="28"/>
      <c r="AF67" s="21"/>
      <c r="AG67" s="21"/>
      <c r="AH67" s="21"/>
      <c r="AI67" s="29"/>
    </row>
    <row r="68" spans="1:35">
      <c r="A68" s="49" t="s">
        <v>105</v>
      </c>
      <c r="B68" s="57">
        <f>(G158*B67)</f>
        <v>1036.1477699999998</v>
      </c>
      <c r="C68" s="28"/>
      <c r="D68" s="28"/>
      <c r="E68" s="21"/>
      <c r="F68" s="21"/>
      <c r="G68" s="21"/>
      <c r="H68" s="29"/>
      <c r="J68" s="49" t="s">
        <v>105</v>
      </c>
      <c r="K68" s="57">
        <f>K61*K67</f>
        <v>5108.671875</v>
      </c>
      <c r="L68" s="28"/>
      <c r="M68" s="28"/>
      <c r="N68" s="21"/>
      <c r="O68" s="21"/>
      <c r="P68" s="21"/>
      <c r="Q68" s="29"/>
      <c r="S68" s="49" t="s">
        <v>105</v>
      </c>
      <c r="T68" s="57">
        <f>T61*T67</f>
        <v>676.359375</v>
      </c>
      <c r="U68" s="28"/>
      <c r="V68" s="28"/>
      <c r="W68" s="21"/>
      <c r="X68" s="21"/>
      <c r="Y68" s="21"/>
      <c r="Z68" s="29"/>
      <c r="AB68" s="49" t="s">
        <v>105</v>
      </c>
      <c r="AC68" s="57">
        <f>AH158*AC67</f>
        <v>507.22064145833332</v>
      </c>
      <c r="AD68" s="28"/>
      <c r="AE68" s="28"/>
      <c r="AF68" s="21"/>
      <c r="AG68" s="21"/>
      <c r="AH68" s="21"/>
      <c r="AI68" s="29"/>
    </row>
    <row r="69" spans="1:35">
      <c r="A69" s="66" t="s">
        <v>106</v>
      </c>
      <c r="B69" s="67">
        <v>0</v>
      </c>
      <c r="C69" s="28"/>
      <c r="D69" s="28"/>
      <c r="E69" s="21"/>
      <c r="F69" s="21"/>
      <c r="G69" s="21"/>
      <c r="H69" s="29"/>
      <c r="J69" s="66" t="s">
        <v>106</v>
      </c>
      <c r="K69" s="67">
        <v>0</v>
      </c>
      <c r="L69" s="28"/>
      <c r="M69" s="28"/>
      <c r="N69" s="21"/>
      <c r="O69" s="21"/>
      <c r="P69" s="21"/>
      <c r="Q69" s="29"/>
      <c r="S69" s="66" t="s">
        <v>106</v>
      </c>
      <c r="T69" s="67">
        <v>0</v>
      </c>
      <c r="U69" s="28"/>
      <c r="V69" s="28"/>
      <c r="W69" s="21"/>
      <c r="X69" s="21"/>
      <c r="Y69" s="21"/>
      <c r="Z69" s="29"/>
      <c r="AB69" s="66" t="s">
        <v>106</v>
      </c>
      <c r="AC69" s="67">
        <v>0</v>
      </c>
      <c r="AD69" s="28"/>
      <c r="AE69" s="28"/>
      <c r="AF69" s="21"/>
      <c r="AG69" s="21"/>
      <c r="AH69" s="21"/>
      <c r="AI69" s="29"/>
    </row>
    <row r="70" spans="1:35">
      <c r="A70" s="68" t="s">
        <v>107</v>
      </c>
      <c r="B70" s="69">
        <v>0</v>
      </c>
      <c r="C70" s="28"/>
      <c r="D70" s="28"/>
      <c r="E70" s="21"/>
      <c r="F70" s="21"/>
      <c r="G70" s="21"/>
      <c r="H70" s="29"/>
      <c r="J70" s="68" t="s">
        <v>107</v>
      </c>
      <c r="K70" s="69">
        <v>0</v>
      </c>
      <c r="L70" s="28"/>
      <c r="M70" s="28"/>
      <c r="N70" s="21"/>
      <c r="O70" s="21"/>
      <c r="P70" s="21"/>
      <c r="Q70" s="29"/>
      <c r="S70" s="68" t="s">
        <v>107</v>
      </c>
      <c r="T70" s="69">
        <v>0</v>
      </c>
      <c r="U70" s="28"/>
      <c r="V70" s="28"/>
      <c r="W70" s="21"/>
      <c r="X70" s="21"/>
      <c r="Y70" s="21"/>
      <c r="Z70" s="29"/>
      <c r="AB70" s="68" t="s">
        <v>107</v>
      </c>
      <c r="AC70" s="69">
        <v>0</v>
      </c>
      <c r="AD70" s="28"/>
      <c r="AE70" s="28"/>
      <c r="AF70" s="21"/>
      <c r="AG70" s="21"/>
      <c r="AH70" s="21"/>
      <c r="AI70" s="29"/>
    </row>
    <row r="71" spans="1:35">
      <c r="A71" s="49" t="s">
        <v>108</v>
      </c>
      <c r="B71" s="73">
        <f>B69*(1+B70)</f>
        <v>0</v>
      </c>
      <c r="C71" s="28"/>
      <c r="D71" s="28"/>
      <c r="E71" s="21"/>
      <c r="F71" s="21"/>
      <c r="G71" s="21"/>
      <c r="H71" s="29"/>
      <c r="J71" s="49" t="s">
        <v>108</v>
      </c>
      <c r="K71" s="73">
        <f>K69*(1+K70)</f>
        <v>0</v>
      </c>
      <c r="L71" s="28"/>
      <c r="M71" s="28"/>
      <c r="N71" s="21"/>
      <c r="O71" s="21"/>
      <c r="P71" s="21"/>
      <c r="Q71" s="29"/>
      <c r="S71" s="49" t="s">
        <v>108</v>
      </c>
      <c r="T71" s="73">
        <f>T69*(1+T70)</f>
        <v>0</v>
      </c>
      <c r="U71" s="28"/>
      <c r="V71" s="28"/>
      <c r="W71" s="21"/>
      <c r="X71" s="21"/>
      <c r="Y71" s="21"/>
      <c r="Z71" s="29"/>
      <c r="AB71" s="49" t="s">
        <v>108</v>
      </c>
      <c r="AC71" s="73">
        <f>AC69*(1+AC70)</f>
        <v>0</v>
      </c>
      <c r="AD71" s="28"/>
      <c r="AE71" s="28"/>
      <c r="AF71" s="21"/>
      <c r="AG71" s="21"/>
      <c r="AH71" s="21"/>
      <c r="AI71" s="29"/>
    </row>
    <row r="72" spans="1:35">
      <c r="A72" s="66" t="s">
        <v>109</v>
      </c>
      <c r="B72" s="74">
        <v>0</v>
      </c>
      <c r="C72" s="28"/>
      <c r="D72" s="28"/>
      <c r="E72" s="21"/>
      <c r="F72" s="21"/>
      <c r="G72" s="21"/>
      <c r="H72" s="29"/>
      <c r="J72" s="66" t="s">
        <v>109</v>
      </c>
      <c r="K72" s="74">
        <v>0</v>
      </c>
      <c r="L72" s="28"/>
      <c r="M72" s="28"/>
      <c r="N72" s="21"/>
      <c r="O72" s="21"/>
      <c r="P72" s="21"/>
      <c r="Q72" s="29"/>
      <c r="S72" s="66" t="s">
        <v>109</v>
      </c>
      <c r="T72" s="74">
        <v>0</v>
      </c>
      <c r="U72" s="28"/>
      <c r="V72" s="28"/>
      <c r="W72" s="21"/>
      <c r="X72" s="21"/>
      <c r="Y72" s="21"/>
      <c r="Z72" s="29"/>
      <c r="AB72" s="66" t="s">
        <v>109</v>
      </c>
      <c r="AC72" s="74">
        <v>0</v>
      </c>
      <c r="AD72" s="28"/>
      <c r="AE72" s="28"/>
      <c r="AF72" s="21"/>
      <c r="AG72" s="21"/>
      <c r="AH72" s="21"/>
      <c r="AI72" s="29"/>
    </row>
    <row r="73" spans="1:35">
      <c r="A73" s="68" t="s">
        <v>110</v>
      </c>
      <c r="B73" s="65">
        <v>0</v>
      </c>
      <c r="C73" s="28"/>
      <c r="D73" s="28"/>
      <c r="E73" s="21"/>
      <c r="F73" s="21"/>
      <c r="G73" s="21"/>
      <c r="H73" s="29"/>
      <c r="J73" s="68" t="s">
        <v>110</v>
      </c>
      <c r="K73" s="65">
        <v>0</v>
      </c>
      <c r="L73" s="28"/>
      <c r="M73" s="28"/>
      <c r="N73" s="21"/>
      <c r="O73" s="21"/>
      <c r="P73" s="21"/>
      <c r="Q73" s="29"/>
      <c r="S73" s="68" t="s">
        <v>110</v>
      </c>
      <c r="T73" s="65">
        <v>0</v>
      </c>
      <c r="U73" s="28"/>
      <c r="V73" s="28"/>
      <c r="W73" s="21"/>
      <c r="X73" s="21"/>
      <c r="Y73" s="21"/>
      <c r="Z73" s="29"/>
      <c r="AB73" s="68" t="s">
        <v>110</v>
      </c>
      <c r="AC73" s="65">
        <v>0</v>
      </c>
      <c r="AD73" s="28"/>
      <c r="AE73" s="28"/>
      <c r="AF73" s="21"/>
      <c r="AG73" s="21"/>
      <c r="AH73" s="21"/>
      <c r="AI73" s="29"/>
    </row>
    <row r="74" spans="1:35">
      <c r="A74" s="49" t="s">
        <v>111</v>
      </c>
      <c r="B74" s="57">
        <f>B73*B29</f>
        <v>0</v>
      </c>
      <c r="C74" s="28"/>
      <c r="D74" s="28">
        <f>B74+B72</f>
        <v>0</v>
      </c>
      <c r="E74" s="21"/>
      <c r="F74" s="21"/>
      <c r="G74" s="21"/>
      <c r="H74" s="29"/>
      <c r="J74" s="49" t="s">
        <v>111</v>
      </c>
      <c r="K74" s="57">
        <f>K73*K29</f>
        <v>0</v>
      </c>
      <c r="L74" s="28"/>
      <c r="M74" s="28">
        <f>K74+K72</f>
        <v>0</v>
      </c>
      <c r="N74" s="21"/>
      <c r="O74" s="21"/>
      <c r="P74" s="21"/>
      <c r="Q74" s="29"/>
      <c r="S74" s="49" t="s">
        <v>111</v>
      </c>
      <c r="T74" s="57">
        <f>T73*K29</f>
        <v>0</v>
      </c>
      <c r="U74" s="28"/>
      <c r="V74" s="28">
        <f>T74+T72</f>
        <v>0</v>
      </c>
      <c r="W74" s="21"/>
      <c r="X74" s="21"/>
      <c r="Y74" s="21"/>
      <c r="Z74" s="29"/>
      <c r="AB74" s="49" t="s">
        <v>111</v>
      </c>
      <c r="AC74" s="57">
        <f>AC73*K29</f>
        <v>0</v>
      </c>
      <c r="AD74" s="28"/>
      <c r="AE74" s="28">
        <f>AC74+AC72</f>
        <v>0</v>
      </c>
      <c r="AF74" s="21"/>
      <c r="AG74" s="21"/>
      <c r="AH74" s="21"/>
      <c r="AI74" s="29"/>
    </row>
    <row r="75" spans="1:35">
      <c r="A75" s="68" t="s">
        <v>112</v>
      </c>
      <c r="B75" s="65">
        <v>0</v>
      </c>
      <c r="C75" s="28"/>
      <c r="D75" s="28">
        <f>B75</f>
        <v>0</v>
      </c>
      <c r="E75" s="21"/>
      <c r="F75" s="21"/>
      <c r="G75" s="21"/>
      <c r="H75" s="29"/>
      <c r="J75" s="68" t="s">
        <v>112</v>
      </c>
      <c r="K75" s="65">
        <v>0</v>
      </c>
      <c r="L75" s="28"/>
      <c r="M75" s="28">
        <f>K75</f>
        <v>0</v>
      </c>
      <c r="N75" s="21"/>
      <c r="O75" s="21"/>
      <c r="P75" s="21"/>
      <c r="Q75" s="29"/>
      <c r="S75" s="68" t="s">
        <v>112</v>
      </c>
      <c r="T75" s="65">
        <v>0</v>
      </c>
      <c r="U75" s="28"/>
      <c r="V75" s="28">
        <f>T75</f>
        <v>0</v>
      </c>
      <c r="W75" s="21"/>
      <c r="X75" s="21"/>
      <c r="Y75" s="21"/>
      <c r="Z75" s="29"/>
      <c r="AB75" s="68" t="s">
        <v>112</v>
      </c>
      <c r="AC75" s="65">
        <v>0</v>
      </c>
      <c r="AD75" s="28"/>
      <c r="AE75" s="28">
        <f>AC75</f>
        <v>0</v>
      </c>
      <c r="AF75" s="21"/>
      <c r="AG75" s="21"/>
      <c r="AH75" s="21"/>
      <c r="AI75" s="29"/>
    </row>
    <row r="76" spans="1:35">
      <c r="A76" s="70" t="s">
        <v>113</v>
      </c>
      <c r="B76" s="75">
        <v>0</v>
      </c>
      <c r="C76" s="28"/>
      <c r="D76" s="28">
        <f>B76</f>
        <v>0</v>
      </c>
      <c r="E76" s="21"/>
      <c r="F76" s="21"/>
      <c r="G76" s="21"/>
      <c r="H76" s="29"/>
      <c r="J76" s="70" t="s">
        <v>113</v>
      </c>
      <c r="K76" s="75">
        <v>0</v>
      </c>
      <c r="L76" s="28"/>
      <c r="M76" s="28">
        <f>K76</f>
        <v>0</v>
      </c>
      <c r="N76" s="21"/>
      <c r="O76" s="21"/>
      <c r="P76" s="21"/>
      <c r="Q76" s="29"/>
      <c r="S76" s="70" t="s">
        <v>113</v>
      </c>
      <c r="T76" s="75">
        <v>0</v>
      </c>
      <c r="U76" s="28"/>
      <c r="V76" s="28">
        <f>T76</f>
        <v>0</v>
      </c>
      <c r="W76" s="21"/>
      <c r="X76" s="21"/>
      <c r="Y76" s="21"/>
      <c r="Z76" s="29"/>
      <c r="AB76" s="70" t="s">
        <v>113</v>
      </c>
      <c r="AC76" s="75">
        <v>0</v>
      </c>
      <c r="AD76" s="28"/>
      <c r="AE76" s="28">
        <f>AC76</f>
        <v>0</v>
      </c>
      <c r="AF76" s="21"/>
      <c r="AG76" s="21"/>
      <c r="AH76" s="21"/>
      <c r="AI76" s="29"/>
    </row>
    <row r="77" spans="1:35">
      <c r="A77" s="76" t="s">
        <v>114</v>
      </c>
      <c r="B77" s="77">
        <f>SUM(D65:D76)</f>
        <v>0</v>
      </c>
      <c r="C77" s="28"/>
      <c r="D77" s="28"/>
      <c r="E77" s="21"/>
      <c r="F77" s="21"/>
      <c r="G77" s="21"/>
      <c r="H77" s="29"/>
      <c r="J77" s="76" t="s">
        <v>114</v>
      </c>
      <c r="K77" s="77">
        <f>SUM(M65:M76)</f>
        <v>0</v>
      </c>
      <c r="L77" s="28"/>
      <c r="M77" s="28"/>
      <c r="N77" s="21"/>
      <c r="O77" s="21"/>
      <c r="P77" s="21"/>
      <c r="Q77" s="29"/>
      <c r="S77" s="76" t="s">
        <v>114</v>
      </c>
      <c r="T77" s="77">
        <f>SUM(V65:V76)</f>
        <v>0</v>
      </c>
      <c r="U77" s="28"/>
      <c r="V77" s="28"/>
      <c r="W77" s="21"/>
      <c r="X77" s="21"/>
      <c r="Y77" s="21"/>
      <c r="Z77" s="29"/>
      <c r="AB77" s="76" t="s">
        <v>114</v>
      </c>
      <c r="AC77" s="77">
        <f>SUM(AE65:AE76)</f>
        <v>0</v>
      </c>
      <c r="AD77" s="28"/>
      <c r="AE77" s="28"/>
      <c r="AF77" s="21"/>
      <c r="AG77" s="21"/>
      <c r="AH77" s="21"/>
      <c r="AI77" s="29"/>
    </row>
    <row r="78" spans="1:35">
      <c r="A78" s="27" t="s">
        <v>115</v>
      </c>
      <c r="B78" s="29">
        <f>B77/H29</f>
        <v>0</v>
      </c>
      <c r="C78" s="28"/>
      <c r="D78" s="28"/>
      <c r="E78" s="21"/>
      <c r="F78" s="21"/>
      <c r="G78" s="21"/>
      <c r="H78" s="29"/>
      <c r="J78" s="27" t="s">
        <v>115</v>
      </c>
      <c r="K78" s="29">
        <f>K77/K29</f>
        <v>0</v>
      </c>
      <c r="L78" s="28"/>
      <c r="M78" s="28"/>
      <c r="N78" s="21"/>
      <c r="O78" s="21"/>
      <c r="P78" s="21"/>
      <c r="Q78" s="29"/>
      <c r="S78" s="27" t="s">
        <v>115</v>
      </c>
      <c r="T78" s="29">
        <f>T77/K29</f>
        <v>0</v>
      </c>
      <c r="U78" s="28"/>
      <c r="V78" s="28"/>
      <c r="W78" s="21"/>
      <c r="X78" s="21"/>
      <c r="Y78" s="21"/>
      <c r="Z78" s="29"/>
      <c r="AB78" s="27" t="s">
        <v>115</v>
      </c>
      <c r="AC78" s="29">
        <f>AC77/K29</f>
        <v>0</v>
      </c>
      <c r="AD78" s="28"/>
      <c r="AE78" s="28"/>
      <c r="AF78" s="21"/>
      <c r="AG78" s="21"/>
      <c r="AH78" s="21"/>
      <c r="AI78" s="29"/>
    </row>
    <row r="79" spans="1:35">
      <c r="A79" s="78" t="s">
        <v>116</v>
      </c>
      <c r="B79" s="52">
        <f>K47</f>
        <v>1568.9689756786563</v>
      </c>
      <c r="C79" s="28"/>
      <c r="D79" s="28"/>
      <c r="E79" s="21"/>
      <c r="F79" s="21"/>
      <c r="G79" s="21"/>
      <c r="H79" s="29"/>
      <c r="J79" s="78" t="s">
        <v>116</v>
      </c>
      <c r="K79" s="52">
        <f>K47</f>
        <v>1568.9689756786563</v>
      </c>
      <c r="L79" s="28"/>
      <c r="M79" s="28"/>
      <c r="N79" s="21"/>
      <c r="O79" s="21"/>
      <c r="P79" s="21"/>
      <c r="Q79" s="29"/>
      <c r="S79" s="78" t="s">
        <v>116</v>
      </c>
      <c r="T79" s="52">
        <f>B52</f>
        <v>1746.9889756786563</v>
      </c>
      <c r="U79" s="28"/>
      <c r="V79" s="28"/>
      <c r="W79" s="21"/>
      <c r="X79" s="21"/>
      <c r="Y79" s="21"/>
      <c r="Z79" s="29"/>
      <c r="AB79" s="78" t="s">
        <v>116</v>
      </c>
      <c r="AC79" s="52">
        <f>B52</f>
        <v>1746.9889756786563</v>
      </c>
      <c r="AD79" s="28"/>
      <c r="AE79" s="28"/>
      <c r="AF79" s="21"/>
      <c r="AG79" s="21"/>
      <c r="AH79" s="21"/>
      <c r="AI79" s="29"/>
    </row>
    <row r="80" spans="1:35">
      <c r="A80" s="27"/>
      <c r="B80" s="28"/>
      <c r="C80" s="28"/>
      <c r="D80" s="28"/>
      <c r="E80" s="21"/>
      <c r="F80" s="21"/>
      <c r="G80" s="21"/>
      <c r="H80" s="29"/>
      <c r="J80" s="27"/>
      <c r="K80" s="28"/>
      <c r="L80" s="28"/>
      <c r="M80" s="28"/>
      <c r="N80" s="21"/>
      <c r="O80" s="21"/>
      <c r="P80" s="21"/>
      <c r="Q80" s="29"/>
      <c r="S80" s="27"/>
      <c r="T80" s="28"/>
      <c r="U80" s="28"/>
      <c r="V80" s="28"/>
      <c r="W80" s="21"/>
      <c r="X80" s="21"/>
      <c r="Y80" s="21"/>
      <c r="Z80" s="29"/>
      <c r="AB80" s="27"/>
      <c r="AC80" s="28"/>
      <c r="AD80" s="28"/>
      <c r="AE80" s="28"/>
      <c r="AF80" s="21"/>
      <c r="AG80" s="21"/>
      <c r="AH80" s="21"/>
      <c r="AI80" s="29"/>
    </row>
    <row r="81" spans="1:35">
      <c r="A81" s="22" t="s">
        <v>117</v>
      </c>
      <c r="B81" s="24">
        <f>G158</f>
        <v>69076.517999999996</v>
      </c>
      <c r="C81" s="28"/>
      <c r="D81" s="28"/>
      <c r="E81" s="21"/>
      <c r="F81" s="22" t="s">
        <v>117</v>
      </c>
      <c r="G81" s="24">
        <f>G158</f>
        <v>69076.517999999996</v>
      </c>
      <c r="H81" s="29"/>
      <c r="J81" s="22" t="s">
        <v>117</v>
      </c>
      <c r="K81" s="24">
        <f>P158</f>
        <v>35235.007999999994</v>
      </c>
      <c r="L81" s="28"/>
      <c r="M81" s="28"/>
      <c r="N81" s="21"/>
      <c r="O81" s="21"/>
      <c r="P81" s="21"/>
      <c r="Q81" s="29"/>
      <c r="S81" s="22" t="s">
        <v>117</v>
      </c>
      <c r="T81" s="24">
        <f>Y158</f>
        <v>70585.262569999992</v>
      </c>
      <c r="U81" s="28"/>
      <c r="V81" s="28"/>
      <c r="W81" s="21"/>
      <c r="X81" s="21"/>
      <c r="Y81" s="21"/>
      <c r="Z81" s="29"/>
      <c r="AB81" s="22" t="s">
        <v>117</v>
      </c>
      <c r="AC81" s="24">
        <f>AH158</f>
        <v>51801.256999999998</v>
      </c>
      <c r="AD81" s="28"/>
      <c r="AE81" s="28"/>
      <c r="AF81" s="21"/>
      <c r="AG81" s="21"/>
      <c r="AH81" s="21"/>
      <c r="AI81" s="29"/>
    </row>
    <row r="82" spans="1:35">
      <c r="A82" s="27" t="s">
        <v>118</v>
      </c>
      <c r="B82" s="29">
        <f>IF(A111="YES",A40,0)</f>
        <v>11205</v>
      </c>
      <c r="C82" s="28"/>
      <c r="D82" s="28"/>
      <c r="E82" s="21"/>
      <c r="F82" s="27" t="s">
        <v>118</v>
      </c>
      <c r="G82" s="29">
        <f>IF(A111="YES",A40,0)</f>
        <v>11205</v>
      </c>
      <c r="H82" s="29"/>
      <c r="J82" s="27" t="s">
        <v>118</v>
      </c>
      <c r="K82" s="29">
        <f>IF(J111="YES",A40,0)</f>
        <v>0</v>
      </c>
      <c r="L82" s="28"/>
      <c r="M82" s="28"/>
      <c r="N82" s="21"/>
      <c r="O82" s="21"/>
      <c r="P82" s="21"/>
      <c r="Q82" s="29"/>
      <c r="S82" s="27" t="s">
        <v>118</v>
      </c>
      <c r="T82" s="29">
        <f>A40</f>
        <v>11205</v>
      </c>
      <c r="U82" s="28"/>
      <c r="V82" s="28"/>
      <c r="W82" s="21"/>
      <c r="X82" s="21"/>
      <c r="Y82" s="21"/>
      <c r="Z82" s="29"/>
      <c r="AB82" s="27" t="s">
        <v>118</v>
      </c>
      <c r="AC82" s="29">
        <f>A40</f>
        <v>11205</v>
      </c>
      <c r="AD82" s="28"/>
      <c r="AE82" s="28"/>
      <c r="AF82" s="21"/>
      <c r="AG82" s="21"/>
      <c r="AH82" s="21"/>
      <c r="AI82" s="29"/>
    </row>
    <row r="83" spans="1:35">
      <c r="A83" s="27" t="s">
        <v>119</v>
      </c>
      <c r="B83" s="72">
        <f>B62+B63+B64</f>
        <v>0.12000000000000001</v>
      </c>
      <c r="C83" s="28"/>
      <c r="D83" s="28"/>
      <c r="E83" s="21"/>
      <c r="F83" s="27" t="s">
        <v>119</v>
      </c>
      <c r="G83" s="79">
        <f>B63</f>
        <v>7.0000000000000007E-2</v>
      </c>
      <c r="H83" s="29"/>
      <c r="J83" s="27" t="s">
        <v>119</v>
      </c>
      <c r="K83" s="72">
        <f>K62+K63+K64</f>
        <v>0.24000000000000002</v>
      </c>
      <c r="L83" s="28"/>
      <c r="M83" s="28"/>
      <c r="N83" s="21"/>
      <c r="O83" s="21"/>
      <c r="P83" s="21"/>
      <c r="Q83" s="29"/>
      <c r="S83" s="27" t="s">
        <v>119</v>
      </c>
      <c r="T83" s="72">
        <f>T62+T63+T64</f>
        <v>0.13100000000000001</v>
      </c>
      <c r="U83" s="28"/>
      <c r="V83" s="28"/>
      <c r="W83" s="21"/>
      <c r="X83" s="21"/>
      <c r="Y83" s="21"/>
      <c r="Z83" s="29"/>
      <c r="AB83" s="27" t="s">
        <v>119</v>
      </c>
      <c r="AC83" s="72">
        <f>AC62+AC63+AC64</f>
        <v>0.13100000000000001</v>
      </c>
      <c r="AD83" s="28"/>
      <c r="AE83" s="28"/>
      <c r="AF83" s="21"/>
      <c r="AG83" s="21"/>
      <c r="AH83" s="21"/>
      <c r="AI83" s="29"/>
    </row>
    <row r="84" spans="1:35">
      <c r="A84" s="27" t="s">
        <v>120</v>
      </c>
      <c r="B84" s="72">
        <f>B83/12</f>
        <v>0.01</v>
      </c>
      <c r="C84" s="28"/>
      <c r="D84" s="28"/>
      <c r="E84" s="21"/>
      <c r="F84" s="27" t="s">
        <v>120</v>
      </c>
      <c r="G84" s="72">
        <f>G83/12</f>
        <v>5.8333333333333336E-3</v>
      </c>
      <c r="H84" s="29"/>
      <c r="J84" s="27" t="s">
        <v>120</v>
      </c>
      <c r="K84" s="72">
        <f>K83/12</f>
        <v>0.02</v>
      </c>
      <c r="L84" s="28"/>
      <c r="M84" s="28"/>
      <c r="N84" s="21"/>
      <c r="O84" s="21"/>
      <c r="P84" s="21"/>
      <c r="Q84" s="29"/>
      <c r="S84" s="27" t="s">
        <v>120</v>
      </c>
      <c r="T84" s="72">
        <f>T83/12</f>
        <v>1.0916666666666667E-2</v>
      </c>
      <c r="U84" s="28"/>
      <c r="V84" s="28"/>
      <c r="W84" s="21"/>
      <c r="X84" s="21"/>
      <c r="Y84" s="21"/>
      <c r="Z84" s="29"/>
      <c r="AB84" s="27" t="s">
        <v>120</v>
      </c>
      <c r="AC84" s="72">
        <f>AC83/12</f>
        <v>1.0916666666666667E-2</v>
      </c>
      <c r="AD84" s="28"/>
      <c r="AE84" s="28"/>
      <c r="AF84" s="21"/>
      <c r="AG84" s="21"/>
      <c r="AH84" s="21"/>
      <c r="AI84" s="29"/>
    </row>
    <row r="85" spans="1:35">
      <c r="A85" s="27" t="s">
        <v>121</v>
      </c>
      <c r="B85" s="29">
        <f>IF(B82=0,(B59+B58),(B59))</f>
        <v>34</v>
      </c>
      <c r="C85" s="28"/>
      <c r="D85" s="28"/>
      <c r="E85" s="21"/>
      <c r="F85" s="27" t="s">
        <v>121</v>
      </c>
      <c r="G85" s="29">
        <f>IF(G82=0,(B59+B58),(B59))</f>
        <v>34</v>
      </c>
      <c r="H85" s="29"/>
      <c r="J85" s="27" t="s">
        <v>121</v>
      </c>
      <c r="K85" s="29">
        <f>IF(K82=0,(K59+K58),(K59))</f>
        <v>35</v>
      </c>
      <c r="L85" s="28"/>
      <c r="M85" s="28"/>
      <c r="N85" s="21"/>
      <c r="O85" s="21"/>
      <c r="P85" s="21"/>
      <c r="Q85" s="29"/>
      <c r="S85" s="27" t="s">
        <v>121</v>
      </c>
      <c r="T85" s="29">
        <f>T59</f>
        <v>34</v>
      </c>
      <c r="U85" s="28"/>
      <c r="V85" s="28"/>
      <c r="W85" s="21"/>
      <c r="X85" s="21"/>
      <c r="Y85" s="21"/>
      <c r="Z85" s="29"/>
      <c r="AB85" s="27" t="s">
        <v>121</v>
      </c>
      <c r="AC85" s="29">
        <f>AC59</f>
        <v>34</v>
      </c>
      <c r="AD85" s="28"/>
      <c r="AE85" s="28"/>
      <c r="AF85" s="21"/>
      <c r="AG85" s="21"/>
      <c r="AH85" s="21"/>
      <c r="AI85" s="29"/>
    </row>
    <row r="86" spans="1:35">
      <c r="A86" s="27" t="s">
        <v>122</v>
      </c>
      <c r="B86" s="29">
        <f>(B82/((1+B84)^(B85+1)))</f>
        <v>7909.7686011791693</v>
      </c>
      <c r="C86" s="28"/>
      <c r="D86" s="28"/>
      <c r="E86" s="21"/>
      <c r="F86" s="27" t="s">
        <v>122</v>
      </c>
      <c r="G86" s="29">
        <f>(G82/((1+G84)^(G85+1)))</f>
        <v>9141.1538656309276</v>
      </c>
      <c r="H86" s="29"/>
      <c r="J86" s="27" t="s">
        <v>122</v>
      </c>
      <c r="K86" s="29">
        <f>(K82/((1+K84)^(K85+1)))</f>
        <v>0</v>
      </c>
      <c r="L86" s="28"/>
      <c r="M86" s="28"/>
      <c r="N86" s="21"/>
      <c r="O86" s="21"/>
      <c r="P86" s="21"/>
      <c r="Q86" s="29"/>
      <c r="S86" s="27" t="s">
        <v>122</v>
      </c>
      <c r="T86" s="29">
        <f>(T82/((1+T84)^(T85+1)))</f>
        <v>7662.5686253752474</v>
      </c>
      <c r="U86" s="28"/>
      <c r="V86" s="28"/>
      <c r="W86" s="21"/>
      <c r="X86" s="21"/>
      <c r="Y86" s="21"/>
      <c r="Z86" s="29"/>
      <c r="AB86" s="27" t="s">
        <v>122</v>
      </c>
      <c r="AC86" s="29">
        <f>(AC82/((1+AC84)^(AC85+1)))</f>
        <v>7662.5686253752474</v>
      </c>
      <c r="AD86" s="28"/>
      <c r="AE86" s="28"/>
      <c r="AF86" s="21"/>
      <c r="AG86" s="21"/>
      <c r="AH86" s="21"/>
      <c r="AI86" s="29"/>
    </row>
    <row r="87" spans="1:35">
      <c r="A87" s="27" t="s">
        <v>123</v>
      </c>
      <c r="B87" s="29">
        <f>((1-(1/((1+B84)^B85)))/B84)</f>
        <v>28.702665888523338</v>
      </c>
      <c r="C87" s="28"/>
      <c r="D87" s="28"/>
      <c r="E87" s="21"/>
      <c r="F87" s="27" t="s">
        <v>123</v>
      </c>
      <c r="G87" s="29">
        <f>((1-(1/((1+G84)^G85)))/G84)</f>
        <v>30.759575242984265</v>
      </c>
      <c r="H87" s="29"/>
      <c r="J87" s="27" t="s">
        <v>123</v>
      </c>
      <c r="K87" s="29">
        <f>((1-(1/((1+K84)^K85)))/K84)</f>
        <v>24.998619332035133</v>
      </c>
      <c r="L87" s="28"/>
      <c r="M87" s="28"/>
      <c r="N87" s="21"/>
      <c r="O87" s="21"/>
      <c r="P87" s="21"/>
      <c r="Q87" s="29"/>
      <c r="S87" s="27" t="s">
        <v>123</v>
      </c>
      <c r="T87" s="29">
        <f>((1-(1/((1+T84)^T85)))/T84)</f>
        <v>28.276212572476751</v>
      </c>
      <c r="U87" s="28"/>
      <c r="V87" s="28"/>
      <c r="W87" s="21"/>
      <c r="X87" s="21"/>
      <c r="Y87" s="21"/>
      <c r="Z87" s="29"/>
      <c r="AB87" s="27" t="s">
        <v>123</v>
      </c>
      <c r="AC87" s="29">
        <f>((1-(1/((1+AC84)^AC85)))/AC84)</f>
        <v>28.276212572476751</v>
      </c>
      <c r="AD87" s="28"/>
      <c r="AE87" s="28"/>
      <c r="AF87" s="21"/>
      <c r="AG87" s="21"/>
      <c r="AH87" s="21"/>
      <c r="AI87" s="29"/>
    </row>
    <row r="88" spans="1:35">
      <c r="A88" s="27" t="s">
        <v>124</v>
      </c>
      <c r="B88" s="29">
        <f>B81-B86</f>
        <v>61166.74939882083</v>
      </c>
      <c r="C88" s="28"/>
      <c r="D88" s="28"/>
      <c r="E88" s="21"/>
      <c r="F88" s="27" t="s">
        <v>124</v>
      </c>
      <c r="G88" s="29">
        <f>G81-G86</f>
        <v>59935.364134369069</v>
      </c>
      <c r="H88" s="29"/>
      <c r="J88" s="27" t="s">
        <v>124</v>
      </c>
      <c r="K88" s="29">
        <f>K81-K86</f>
        <v>35235.007999999994</v>
      </c>
      <c r="L88" s="28"/>
      <c r="M88" s="28"/>
      <c r="N88" s="21"/>
      <c r="O88" s="21"/>
      <c r="P88" s="21"/>
      <c r="Q88" s="29"/>
      <c r="S88" s="27" t="s">
        <v>124</v>
      </c>
      <c r="T88" s="29">
        <f>T81-T86</f>
        <v>62922.693944624742</v>
      </c>
      <c r="U88" s="28"/>
      <c r="V88" s="28"/>
      <c r="W88" s="21"/>
      <c r="X88" s="21"/>
      <c r="Y88" s="21"/>
      <c r="Z88" s="29"/>
      <c r="AB88" s="27" t="s">
        <v>124</v>
      </c>
      <c r="AC88" s="29">
        <f>AC81-AC86</f>
        <v>44138.688374624748</v>
      </c>
      <c r="AD88" s="28"/>
      <c r="AE88" s="28"/>
      <c r="AF88" s="21"/>
      <c r="AG88" s="21"/>
      <c r="AH88" s="21"/>
      <c r="AI88" s="29"/>
    </row>
    <row r="89" spans="1:35">
      <c r="A89" s="27" t="s">
        <v>125</v>
      </c>
      <c r="B89" s="29">
        <f>(B88/B87)</f>
        <v>2131.0476746788231</v>
      </c>
      <c r="C89" s="28"/>
      <c r="D89" s="28"/>
      <c r="E89" s="21"/>
      <c r="F89" s="27" t="s">
        <v>125</v>
      </c>
      <c r="G89" s="29">
        <f>(G88/G87)</f>
        <v>1948.5107860206654</v>
      </c>
      <c r="H89" s="29"/>
      <c r="J89" s="27" t="s">
        <v>125</v>
      </c>
      <c r="K89" s="29">
        <f>(K88/K87)</f>
        <v>1409.4781608537546</v>
      </c>
      <c r="L89" s="28"/>
      <c r="M89" s="28"/>
      <c r="N89" s="21"/>
      <c r="O89" s="21"/>
      <c r="P89" s="21"/>
      <c r="Q89" s="29"/>
      <c r="S89" s="27" t="s">
        <v>125</v>
      </c>
      <c r="T89" s="29">
        <f>(T88/T87)</f>
        <v>2225.287201507032</v>
      </c>
      <c r="U89" s="28"/>
      <c r="V89" s="28"/>
      <c r="W89" s="21"/>
      <c r="X89" s="21"/>
      <c r="Y89" s="21"/>
      <c r="Z89" s="29"/>
      <c r="AB89" s="27" t="s">
        <v>125</v>
      </c>
      <c r="AC89" s="29">
        <f>(AC88/AC87)</f>
        <v>1560.9830440158762</v>
      </c>
      <c r="AD89" s="28"/>
      <c r="AE89" s="28"/>
      <c r="AF89" s="21"/>
      <c r="AG89" s="21"/>
      <c r="AH89" s="21"/>
      <c r="AI89" s="29"/>
    </row>
    <row r="90" spans="1:35">
      <c r="A90" s="27" t="s">
        <v>126</v>
      </c>
      <c r="B90" s="29">
        <f>((B89*(B85))+B77)</f>
        <v>72455.620939079992</v>
      </c>
      <c r="C90" s="28"/>
      <c r="D90" s="28"/>
      <c r="E90" s="21"/>
      <c r="F90" s="27" t="s">
        <v>126</v>
      </c>
      <c r="G90" s="29">
        <f>((G89*(G85))+G77)</f>
        <v>66249.366724702617</v>
      </c>
      <c r="H90" s="29"/>
      <c r="J90" s="27" t="s">
        <v>126</v>
      </c>
      <c r="K90" s="29">
        <f>((K89*(K85))+K77)</f>
        <v>49331.735629881412</v>
      </c>
      <c r="L90" s="28"/>
      <c r="M90" s="28"/>
      <c r="N90" s="21"/>
      <c r="O90" s="21"/>
      <c r="P90" s="21"/>
      <c r="Q90" s="29"/>
      <c r="S90" s="27" t="s">
        <v>126</v>
      </c>
      <c r="T90" s="29">
        <f>(T89*(T85))+T77</f>
        <v>75659.764851239088</v>
      </c>
      <c r="U90" s="28"/>
      <c r="V90" s="28"/>
      <c r="W90" s="21"/>
      <c r="X90" s="21"/>
      <c r="Y90" s="21"/>
      <c r="Z90" s="29"/>
      <c r="AB90" s="27" t="s">
        <v>126</v>
      </c>
      <c r="AC90" s="29">
        <f>(AC89*(AC59))+AC77</f>
        <v>53073.423496539792</v>
      </c>
      <c r="AD90" s="28"/>
      <c r="AE90" s="28"/>
      <c r="AF90" s="21"/>
      <c r="AG90" s="21"/>
      <c r="AH90" s="21"/>
      <c r="AI90" s="29"/>
    </row>
    <row r="91" spans="1:35">
      <c r="A91" s="27" t="s">
        <v>127</v>
      </c>
      <c r="B91" s="29">
        <f>(B90/(1-B71))*B71</f>
        <v>0</v>
      </c>
      <c r="C91" s="28"/>
      <c r="D91" s="28"/>
      <c r="E91" s="21"/>
      <c r="F91" s="27" t="s">
        <v>127</v>
      </c>
      <c r="G91" s="29">
        <f>(((G89*(G85))+G77)/(1-G71))*G71</f>
        <v>0</v>
      </c>
      <c r="H91" s="29"/>
      <c r="J91" s="27" t="s">
        <v>127</v>
      </c>
      <c r="K91" s="29">
        <f>(K90/(1-K71))*K71</f>
        <v>0</v>
      </c>
      <c r="L91" s="28"/>
      <c r="M91" s="28"/>
      <c r="N91" s="21"/>
      <c r="O91" s="21"/>
      <c r="P91" s="21"/>
      <c r="Q91" s="29"/>
      <c r="S91" s="27" t="s">
        <v>127</v>
      </c>
      <c r="T91" s="29">
        <f>(T90/(1-T71))*T71</f>
        <v>0</v>
      </c>
      <c r="U91" s="28"/>
      <c r="V91" s="28"/>
      <c r="W91" s="21"/>
      <c r="X91" s="21"/>
      <c r="Y91" s="21"/>
      <c r="Z91" s="29"/>
      <c r="AB91" s="27" t="s">
        <v>127</v>
      </c>
      <c r="AC91" s="29">
        <f>(AC90/(1-AC71))*AC71</f>
        <v>0</v>
      </c>
      <c r="AD91" s="28"/>
      <c r="AE91" s="28"/>
      <c r="AF91" s="21"/>
      <c r="AG91" s="21"/>
      <c r="AH91" s="21"/>
      <c r="AI91" s="29"/>
    </row>
    <row r="92" spans="1:35">
      <c r="A92" s="49" t="s">
        <v>128</v>
      </c>
      <c r="B92" s="57">
        <f>(B90+B91)</f>
        <v>72455.620939079992</v>
      </c>
      <c r="C92" s="28"/>
      <c r="D92" s="28"/>
      <c r="E92" s="21"/>
      <c r="F92" s="49" t="s">
        <v>128</v>
      </c>
      <c r="G92" s="57">
        <f>(G90+G91)</f>
        <v>66249.366724702617</v>
      </c>
      <c r="H92" s="29"/>
      <c r="J92" s="49" t="s">
        <v>128</v>
      </c>
      <c r="K92" s="57">
        <f>(K90+K91)</f>
        <v>49331.735629881412</v>
      </c>
      <c r="L92" s="28"/>
      <c r="M92" s="28"/>
      <c r="N92" s="21"/>
      <c r="O92" s="21"/>
      <c r="P92" s="21"/>
      <c r="Q92" s="29"/>
      <c r="S92" s="49" t="s">
        <v>128</v>
      </c>
      <c r="T92" s="57">
        <f>(T90+T91)</f>
        <v>75659.764851239088</v>
      </c>
      <c r="U92" s="28"/>
      <c r="V92" s="28"/>
      <c r="W92" s="21"/>
      <c r="X92" s="21"/>
      <c r="Y92" s="21"/>
      <c r="Z92" s="29"/>
      <c r="AB92" s="49" t="s">
        <v>128</v>
      </c>
      <c r="AC92" s="57">
        <f>(AC90+AC91)</f>
        <v>53073.423496539792</v>
      </c>
      <c r="AD92" s="28"/>
      <c r="AE92" s="28"/>
      <c r="AF92" s="21"/>
      <c r="AG92" s="21"/>
      <c r="AH92" s="21"/>
      <c r="AI92" s="29"/>
    </row>
    <row r="93" spans="1:35">
      <c r="A93" s="27"/>
      <c r="B93" s="28"/>
      <c r="C93" s="28"/>
      <c r="D93" s="28"/>
      <c r="E93" s="21"/>
      <c r="F93" s="27"/>
      <c r="G93" s="28"/>
      <c r="H93" s="29"/>
      <c r="J93" s="27"/>
      <c r="K93" s="28"/>
      <c r="L93" s="28"/>
      <c r="M93" s="28"/>
      <c r="N93" s="21"/>
      <c r="O93" s="21"/>
      <c r="P93" s="21"/>
      <c r="Q93" s="29"/>
      <c r="S93" s="27"/>
      <c r="T93" s="28"/>
      <c r="U93" s="28"/>
      <c r="V93" s="28"/>
      <c r="W93" s="21"/>
      <c r="X93" s="21"/>
      <c r="Y93" s="21"/>
      <c r="Z93" s="29"/>
      <c r="AB93" s="27"/>
      <c r="AC93" s="28"/>
      <c r="AD93" s="28"/>
      <c r="AE93" s="28"/>
      <c r="AF93" s="21"/>
      <c r="AG93" s="21"/>
      <c r="AH93" s="21"/>
      <c r="AI93" s="29"/>
    </row>
    <row r="94" spans="1:35">
      <c r="A94" s="76" t="s">
        <v>129</v>
      </c>
      <c r="B94" s="77">
        <f>IF(B26="YES",((E40/B85)*(1+A108)*(C45/100)),"0")</f>
        <v>219.90705882352941</v>
      </c>
      <c r="C94" s="28"/>
      <c r="D94" s="28"/>
      <c r="E94" s="21"/>
      <c r="F94" s="76" t="s">
        <v>129</v>
      </c>
      <c r="G94" s="80">
        <f>IF(B26="YES",((E40/B85)*(1+A108)*(C45/100)),"0")</f>
        <v>219.90705882352941</v>
      </c>
      <c r="H94" s="29"/>
      <c r="J94" s="76" t="s">
        <v>129</v>
      </c>
      <c r="K94" s="77">
        <f>((E40/K85)*(1+J108))*1.2</f>
        <v>277.71119999999996</v>
      </c>
      <c r="L94" s="28"/>
      <c r="M94" s="28"/>
      <c r="N94" s="21"/>
      <c r="O94" s="21"/>
      <c r="P94" s="21"/>
      <c r="Q94" s="29"/>
      <c r="S94" s="76" t="s">
        <v>129</v>
      </c>
      <c r="T94" s="77">
        <f>((E40/T85)*(1+S108))</f>
        <v>219.90705882352941</v>
      </c>
      <c r="U94" s="28"/>
      <c r="V94" s="28"/>
      <c r="W94" s="21"/>
      <c r="X94" s="21"/>
      <c r="Y94" s="21"/>
      <c r="Z94" s="29"/>
      <c r="AB94" s="76" t="s">
        <v>129</v>
      </c>
      <c r="AC94" s="77">
        <f>((E40/AC85)*(1+AB108))*1.2</f>
        <v>263.88847058823529</v>
      </c>
      <c r="AD94" s="28"/>
      <c r="AE94" s="28"/>
      <c r="AF94" s="21"/>
      <c r="AG94" s="21"/>
      <c r="AH94" s="21"/>
      <c r="AI94" s="29"/>
    </row>
    <row r="95" spans="1:35">
      <c r="A95" s="81" t="s">
        <v>130</v>
      </c>
      <c r="B95" s="82">
        <f>B92/(B85)</f>
        <v>2131.0476746788231</v>
      </c>
      <c r="C95" s="28"/>
      <c r="D95" s="28"/>
      <c r="E95" s="21"/>
      <c r="F95" s="81" t="s">
        <v>130</v>
      </c>
      <c r="G95" s="82">
        <f>G92/(G85)</f>
        <v>1948.5107860206651</v>
      </c>
      <c r="H95" s="29"/>
      <c r="J95" s="81" t="s">
        <v>130</v>
      </c>
      <c r="K95" s="82">
        <f>K92/(K85)</f>
        <v>1409.4781608537546</v>
      </c>
      <c r="L95" s="28"/>
      <c r="M95" s="28"/>
      <c r="N95" s="21"/>
      <c r="O95" s="21"/>
      <c r="P95" s="21"/>
      <c r="Q95" s="29"/>
      <c r="S95" s="81" t="s">
        <v>130</v>
      </c>
      <c r="T95" s="82">
        <f>T92/(T85)</f>
        <v>2225.287201507032</v>
      </c>
      <c r="U95" s="28"/>
      <c r="V95" s="28"/>
      <c r="W95" s="21"/>
      <c r="X95" s="21"/>
      <c r="Y95" s="21"/>
      <c r="Z95" s="29"/>
      <c r="AB95" s="81" t="s">
        <v>130</v>
      </c>
      <c r="AC95" s="82">
        <f>AC92/(AC59)</f>
        <v>1560.9830440158762</v>
      </c>
      <c r="AD95" s="28"/>
      <c r="AE95" s="28"/>
      <c r="AF95" s="21"/>
      <c r="AG95" s="21"/>
      <c r="AH95" s="21"/>
      <c r="AI95" s="29"/>
    </row>
    <row r="96" spans="1:35">
      <c r="A96" s="83" t="s">
        <v>131</v>
      </c>
      <c r="B96" s="84">
        <f>(B94+B95)</f>
        <v>2350.9547335023526</v>
      </c>
      <c r="C96" s="28"/>
      <c r="D96" s="28"/>
      <c r="E96" s="21"/>
      <c r="F96" s="83" t="s">
        <v>131</v>
      </c>
      <c r="G96" s="84">
        <f>G94+G95</f>
        <v>2168.4178448441944</v>
      </c>
      <c r="H96" s="29"/>
      <c r="J96" s="83" t="s">
        <v>131</v>
      </c>
      <c r="K96" s="84">
        <f>(K94+K95)</f>
        <v>1687.1893608537546</v>
      </c>
      <c r="L96" s="28"/>
      <c r="M96" s="28"/>
      <c r="N96" s="21"/>
      <c r="O96" s="21"/>
      <c r="P96" s="21"/>
      <c r="Q96" s="29"/>
      <c r="S96" s="83" t="s">
        <v>131</v>
      </c>
      <c r="T96" s="84">
        <f>T94+T95</f>
        <v>2445.1942603305615</v>
      </c>
      <c r="U96" s="28"/>
      <c r="V96" s="28"/>
      <c r="W96" s="21"/>
      <c r="X96" s="21"/>
      <c r="Y96" s="21"/>
      <c r="Z96" s="29"/>
      <c r="AB96" s="83" t="s">
        <v>131</v>
      </c>
      <c r="AC96" s="84">
        <f>AC94+AC95</f>
        <v>1824.8715146041116</v>
      </c>
      <c r="AD96" s="28"/>
      <c r="AE96" s="28"/>
      <c r="AF96" s="21"/>
      <c r="AG96" s="21"/>
      <c r="AH96" s="21"/>
      <c r="AI96" s="29"/>
    </row>
    <row r="97" spans="1:42">
      <c r="A97" s="49"/>
      <c r="B97" s="50"/>
      <c r="C97" s="50"/>
      <c r="D97" s="50"/>
      <c r="E97" s="85"/>
      <c r="F97" s="85"/>
      <c r="G97" s="85"/>
      <c r="H97" s="57"/>
      <c r="J97" s="49"/>
      <c r="K97" s="50"/>
      <c r="L97" s="50"/>
      <c r="M97" s="50"/>
      <c r="N97" s="85"/>
      <c r="O97" s="85"/>
      <c r="P97" s="85"/>
      <c r="Q97" s="57"/>
      <c r="S97" s="49"/>
      <c r="T97" s="50"/>
      <c r="U97" s="50"/>
      <c r="V97" s="50"/>
      <c r="W97" s="85"/>
      <c r="X97" s="85"/>
      <c r="Y97" s="85"/>
      <c r="Z97" s="57"/>
      <c r="AB97" s="49"/>
      <c r="AC97" s="50"/>
      <c r="AD97" s="50"/>
      <c r="AE97" s="50"/>
      <c r="AF97" s="85"/>
      <c r="AG97" s="85"/>
      <c r="AH97" s="85"/>
      <c r="AI97" s="57"/>
    </row>
    <row r="98" spans="1:42" ht="14.25">
      <c r="A98" s="21"/>
      <c r="B98" s="21"/>
      <c r="C98" s="21"/>
      <c r="D98" s="21"/>
      <c r="E98" s="21"/>
      <c r="F98" s="21"/>
      <c r="G98" s="21"/>
      <c r="H98" s="21"/>
      <c r="J98" s="21"/>
      <c r="K98" s="21"/>
      <c r="L98" s="21"/>
      <c r="M98" s="21"/>
      <c r="N98" s="21"/>
      <c r="O98" s="21"/>
      <c r="P98" s="21"/>
      <c r="Q98" s="21"/>
      <c r="S98" s="21"/>
      <c r="T98" s="21"/>
      <c r="U98" s="21"/>
      <c r="V98" s="21"/>
      <c r="W98" s="21"/>
      <c r="X98" s="21"/>
      <c r="Y98" s="21"/>
      <c r="Z98" s="21"/>
      <c r="AB98" s="21"/>
      <c r="AC98" s="21"/>
      <c r="AD98" s="21"/>
      <c r="AE98" s="21"/>
      <c r="AF98" s="21"/>
      <c r="AG98" s="21"/>
      <c r="AH98" s="21"/>
      <c r="AI98" s="21"/>
    </row>
    <row r="99" spans="1:42" ht="14.25">
      <c r="A99" s="21"/>
      <c r="B99" s="21"/>
      <c r="C99" s="21"/>
      <c r="D99" s="21"/>
      <c r="E99" s="21"/>
      <c r="F99" s="21"/>
      <c r="G99" s="21"/>
      <c r="H99" s="21"/>
      <c r="J99" s="21"/>
      <c r="K99" s="21"/>
      <c r="L99" s="21"/>
      <c r="M99" s="21"/>
      <c r="N99" s="21"/>
      <c r="O99" s="21"/>
      <c r="P99" s="21"/>
      <c r="Q99" s="21"/>
      <c r="S99" s="21"/>
      <c r="T99" s="21"/>
      <c r="U99" s="21"/>
      <c r="V99" s="21"/>
      <c r="W99" s="21"/>
      <c r="X99" s="21"/>
      <c r="Y99" s="21"/>
      <c r="Z99" s="21"/>
      <c r="AB99" s="21"/>
      <c r="AC99" s="21"/>
      <c r="AD99" s="21"/>
      <c r="AE99" s="21"/>
      <c r="AF99" s="21"/>
      <c r="AG99" s="21"/>
      <c r="AH99" s="21"/>
      <c r="AI99" s="21"/>
    </row>
    <row r="100" spans="1:42" ht="47.25" customHeight="1">
      <c r="A100" s="344" t="s">
        <v>134</v>
      </c>
      <c r="B100" s="344"/>
      <c r="C100" s="344"/>
      <c r="D100" s="344"/>
      <c r="E100" s="344"/>
      <c r="F100" s="344"/>
      <c r="G100" s="344"/>
      <c r="H100" s="344"/>
      <c r="J100" s="344" t="s">
        <v>133</v>
      </c>
      <c r="K100" s="344"/>
      <c r="L100" s="344"/>
      <c r="M100" s="344"/>
      <c r="N100" s="344"/>
      <c r="O100" s="344"/>
      <c r="P100" s="344"/>
      <c r="Q100" s="344"/>
      <c r="S100" s="344" t="s">
        <v>134</v>
      </c>
      <c r="T100" s="344"/>
      <c r="U100" s="344"/>
      <c r="V100" s="344"/>
      <c r="W100" s="344"/>
      <c r="X100" s="344"/>
      <c r="Y100" s="344"/>
      <c r="Z100" s="344"/>
      <c r="AB100" s="344" t="s">
        <v>135</v>
      </c>
      <c r="AC100" s="344"/>
      <c r="AD100" s="344"/>
      <c r="AE100" s="344"/>
      <c r="AF100" s="344"/>
      <c r="AG100" s="344"/>
      <c r="AH100" s="344"/>
      <c r="AI100" s="344"/>
    </row>
    <row r="101" spans="1:42">
      <c r="A101" s="22"/>
      <c r="B101" s="23"/>
      <c r="C101" s="23"/>
      <c r="D101" s="23"/>
      <c r="E101" s="63"/>
      <c r="F101" s="63"/>
      <c r="G101" s="63"/>
      <c r="H101" s="87"/>
      <c r="J101" s="22"/>
      <c r="K101" s="23"/>
      <c r="L101" s="23"/>
      <c r="M101" s="23"/>
      <c r="N101" s="63"/>
      <c r="O101" s="63"/>
      <c r="P101" s="63"/>
      <c r="Q101" s="87"/>
      <c r="S101" s="22"/>
      <c r="T101" s="23"/>
      <c r="U101" s="23"/>
      <c r="V101" s="23"/>
      <c r="W101" s="63"/>
      <c r="X101" s="63"/>
      <c r="Y101" s="63"/>
      <c r="Z101" s="87"/>
      <c r="AB101" s="22"/>
      <c r="AC101" s="23"/>
      <c r="AD101" s="23"/>
      <c r="AE101" s="23"/>
      <c r="AF101" s="63"/>
      <c r="AG101" s="63"/>
      <c r="AH101" s="63"/>
      <c r="AI101" s="87"/>
    </row>
    <row r="102" spans="1:42" ht="23.25">
      <c r="A102" s="335" t="s">
        <v>136</v>
      </c>
      <c r="B102" s="335"/>
      <c r="C102" s="335"/>
      <c r="D102" s="335"/>
      <c r="E102" s="335"/>
      <c r="F102" s="335"/>
      <c r="G102" s="335"/>
      <c r="H102" s="335"/>
      <c r="J102" s="335" t="s">
        <v>136</v>
      </c>
      <c r="K102" s="335"/>
      <c r="L102" s="335"/>
      <c r="M102" s="335"/>
      <c r="N102" s="335"/>
      <c r="O102" s="335"/>
      <c r="P102" s="335"/>
      <c r="Q102" s="335"/>
      <c r="S102" s="335" t="s">
        <v>136</v>
      </c>
      <c r="T102" s="335"/>
      <c r="U102" s="335"/>
      <c r="V102" s="335"/>
      <c r="W102" s="335"/>
      <c r="X102" s="335"/>
      <c r="Y102" s="335"/>
      <c r="Z102" s="335"/>
      <c r="AB102" s="335" t="s">
        <v>136</v>
      </c>
      <c r="AC102" s="335"/>
      <c r="AD102" s="335"/>
      <c r="AE102" s="335"/>
      <c r="AF102" s="335"/>
      <c r="AG102" s="335"/>
      <c r="AH102" s="335"/>
      <c r="AI102" s="335"/>
    </row>
    <row r="103" spans="1:42">
      <c r="A103" s="27"/>
      <c r="B103" s="28"/>
      <c r="C103" s="28"/>
      <c r="D103" s="28"/>
      <c r="E103" s="21"/>
      <c r="F103" s="21"/>
      <c r="G103" s="21"/>
      <c r="H103" s="88"/>
      <c r="J103" s="27"/>
      <c r="K103" s="28"/>
      <c r="L103" s="28"/>
      <c r="M103" s="28"/>
      <c r="N103" s="21"/>
      <c r="O103" s="21"/>
      <c r="P103" s="21"/>
      <c r="Q103" s="88"/>
      <c r="S103" s="27"/>
      <c r="T103" s="28"/>
      <c r="U103" s="28"/>
      <c r="V103" s="28"/>
      <c r="W103" s="21"/>
      <c r="X103" s="21"/>
      <c r="Y103" s="21"/>
      <c r="Z103" s="88"/>
      <c r="AB103" s="27"/>
      <c r="AC103" s="28"/>
      <c r="AD103" s="28"/>
      <c r="AE103" s="28"/>
      <c r="AF103" s="21"/>
      <c r="AG103" s="21"/>
      <c r="AH103" s="21"/>
      <c r="AI103" s="88"/>
    </row>
    <row r="104" spans="1:42">
      <c r="A104" s="27" t="s">
        <v>137</v>
      </c>
      <c r="B104" s="28" t="s">
        <v>36</v>
      </c>
      <c r="C104" s="28"/>
      <c r="D104" s="28"/>
      <c r="E104" s="28" t="s">
        <v>138</v>
      </c>
      <c r="F104" s="28"/>
      <c r="G104" s="28"/>
      <c r="H104" s="29"/>
      <c r="J104" s="27" t="s">
        <v>137</v>
      </c>
      <c r="K104" s="28" t="s">
        <v>36</v>
      </c>
      <c r="L104" s="28"/>
      <c r="M104" s="28"/>
      <c r="N104" s="28" t="s">
        <v>138</v>
      </c>
      <c r="O104" s="28"/>
      <c r="P104" s="28"/>
      <c r="Q104" s="29"/>
      <c r="S104" s="27" t="s">
        <v>137</v>
      </c>
      <c r="T104" s="28" t="s">
        <v>36</v>
      </c>
      <c r="U104" s="28"/>
      <c r="V104" s="28"/>
      <c r="W104" s="28" t="s">
        <v>138</v>
      </c>
      <c r="X104" s="28"/>
      <c r="Y104" s="28"/>
      <c r="Z104" s="29"/>
      <c r="AB104" s="27" t="s">
        <v>137</v>
      </c>
      <c r="AC104" s="28" t="s">
        <v>36</v>
      </c>
      <c r="AD104" s="28"/>
      <c r="AE104" s="28"/>
      <c r="AF104" s="28" t="s">
        <v>138</v>
      </c>
      <c r="AG104" s="28"/>
      <c r="AH104" s="28"/>
      <c r="AI104" s="29"/>
    </row>
    <row r="105" spans="1:42">
      <c r="A105" s="32" t="s">
        <v>139</v>
      </c>
      <c r="B105" s="345" t="s">
        <v>140</v>
      </c>
      <c r="C105" s="345"/>
      <c r="D105" s="345"/>
      <c r="E105" s="346" t="s">
        <v>410</v>
      </c>
      <c r="F105" s="346"/>
      <c r="G105" s="346"/>
      <c r="H105" s="88"/>
      <c r="J105" s="32" t="s">
        <v>139</v>
      </c>
      <c r="K105" s="345" t="s">
        <v>140</v>
      </c>
      <c r="L105" s="345"/>
      <c r="M105" s="345"/>
      <c r="N105" s="346" t="s">
        <v>31</v>
      </c>
      <c r="O105" s="346"/>
      <c r="P105" s="346"/>
      <c r="Q105" s="88"/>
      <c r="S105" s="32" t="s">
        <v>139</v>
      </c>
      <c r="T105" s="345" t="s">
        <v>140</v>
      </c>
      <c r="U105" s="345"/>
      <c r="V105" s="345"/>
      <c r="W105" s="346" t="s">
        <v>31</v>
      </c>
      <c r="X105" s="346"/>
      <c r="Y105" s="346"/>
      <c r="Z105" s="88"/>
      <c r="AB105" s="32" t="s">
        <v>139</v>
      </c>
      <c r="AC105" s="345" t="s">
        <v>140</v>
      </c>
      <c r="AD105" s="345"/>
      <c r="AE105" s="345"/>
      <c r="AF105" s="346" t="s">
        <v>31</v>
      </c>
      <c r="AG105" s="346"/>
      <c r="AH105" s="346"/>
      <c r="AI105" s="88"/>
    </row>
    <row r="106" spans="1:42">
      <c r="A106" s="27"/>
      <c r="B106" s="28"/>
      <c r="C106" s="28"/>
      <c r="D106" s="21"/>
      <c r="E106" s="28"/>
      <c r="F106" s="28"/>
      <c r="G106" s="21"/>
      <c r="H106" s="29"/>
      <c r="J106" s="27"/>
      <c r="K106" s="28"/>
      <c r="L106" s="28"/>
      <c r="M106" s="21"/>
      <c r="N106" s="28"/>
      <c r="O106" s="28"/>
      <c r="P106" s="21"/>
      <c r="Q106" s="29"/>
      <c r="S106" s="27"/>
      <c r="T106" s="28"/>
      <c r="U106" s="28"/>
      <c r="V106" s="21"/>
      <c r="W106" s="28"/>
      <c r="X106" s="28"/>
      <c r="Y106" s="21"/>
      <c r="Z106" s="29"/>
      <c r="AB106" s="27"/>
      <c r="AC106" s="28"/>
      <c r="AD106" s="28"/>
      <c r="AE106" s="21"/>
      <c r="AF106" s="28"/>
      <c r="AG106" s="28"/>
      <c r="AH106" s="21"/>
      <c r="AI106" s="29"/>
    </row>
    <row r="107" spans="1:42">
      <c r="A107" s="27" t="s">
        <v>141</v>
      </c>
      <c r="B107" s="28" t="s">
        <v>142</v>
      </c>
      <c r="C107" s="28"/>
      <c r="D107" s="21"/>
      <c r="E107" s="28" t="s">
        <v>143</v>
      </c>
      <c r="F107" s="28"/>
      <c r="G107" s="21"/>
      <c r="H107" s="88"/>
      <c r="J107" s="27" t="s">
        <v>141</v>
      </c>
      <c r="K107" s="28" t="s">
        <v>142</v>
      </c>
      <c r="L107" s="28"/>
      <c r="M107" s="21"/>
      <c r="N107" s="28" t="s">
        <v>143</v>
      </c>
      <c r="O107" s="28"/>
      <c r="P107" s="21"/>
      <c r="Q107" s="88"/>
      <c r="S107" s="27" t="s">
        <v>141</v>
      </c>
      <c r="T107" s="28" t="s">
        <v>142</v>
      </c>
      <c r="U107" s="28"/>
      <c r="V107" s="21"/>
      <c r="W107" s="28" t="s">
        <v>143</v>
      </c>
      <c r="X107" s="28"/>
      <c r="Y107" s="21"/>
      <c r="Z107" s="88"/>
      <c r="AB107" s="27" t="s">
        <v>141</v>
      </c>
      <c r="AC107" s="28" t="s">
        <v>142</v>
      </c>
      <c r="AD107" s="28"/>
      <c r="AE107" s="21"/>
      <c r="AF107" s="28" t="s">
        <v>143</v>
      </c>
      <c r="AG107" s="28"/>
      <c r="AH107" s="21"/>
      <c r="AI107" s="88"/>
    </row>
    <row r="108" spans="1:42">
      <c r="A108" s="91">
        <v>0.2</v>
      </c>
      <c r="B108" s="348" t="s">
        <v>400</v>
      </c>
      <c r="C108" s="348"/>
      <c r="D108" s="348"/>
      <c r="E108" s="349">
        <f>B83</f>
        <v>0.12000000000000001</v>
      </c>
      <c r="F108" s="349"/>
      <c r="G108" s="349"/>
      <c r="H108" s="42"/>
      <c r="J108" s="91">
        <v>0.3</v>
      </c>
      <c r="K108" s="348" t="s">
        <v>144</v>
      </c>
      <c r="L108" s="348"/>
      <c r="M108" s="348"/>
      <c r="N108" s="349">
        <f>K83</f>
        <v>0.24000000000000002</v>
      </c>
      <c r="O108" s="349"/>
      <c r="P108" s="349"/>
      <c r="Q108" s="42"/>
      <c r="S108" s="91">
        <v>0.2</v>
      </c>
      <c r="T108" s="348" t="s">
        <v>145</v>
      </c>
      <c r="U108" s="348"/>
      <c r="V108" s="348"/>
      <c r="W108" s="349">
        <f>T83</f>
        <v>0.13100000000000001</v>
      </c>
      <c r="X108" s="349"/>
      <c r="Y108" s="349"/>
      <c r="Z108" s="42"/>
      <c r="AB108" s="91">
        <v>0.2</v>
      </c>
      <c r="AC108" s="348" t="s">
        <v>145</v>
      </c>
      <c r="AD108" s="348"/>
      <c r="AE108" s="348"/>
      <c r="AF108" s="350">
        <f>AC83</f>
        <v>0.13100000000000001</v>
      </c>
      <c r="AG108" s="350"/>
      <c r="AH108" s="350"/>
      <c r="AI108" s="42"/>
      <c r="AP108" s="4" t="s">
        <v>146</v>
      </c>
    </row>
    <row r="109" spans="1:42">
      <c r="A109" s="27"/>
      <c r="B109" s="28"/>
      <c r="C109" s="28"/>
      <c r="D109" s="28"/>
      <c r="E109" s="28"/>
      <c r="F109" s="28"/>
      <c r="G109" s="28"/>
      <c r="H109" s="29"/>
      <c r="J109" s="27"/>
      <c r="K109" s="28"/>
      <c r="L109" s="28"/>
      <c r="M109" s="28"/>
      <c r="N109" s="28"/>
      <c r="O109" s="28"/>
      <c r="P109" s="28"/>
      <c r="Q109" s="29"/>
      <c r="S109" s="27"/>
      <c r="T109" s="28"/>
      <c r="U109" s="28"/>
      <c r="V109" s="28"/>
      <c r="W109" s="28"/>
      <c r="X109" s="28"/>
      <c r="Y109" s="28"/>
      <c r="Z109" s="29"/>
      <c r="AB109" s="27"/>
      <c r="AC109" s="28"/>
      <c r="AD109" s="28"/>
      <c r="AE109" s="28"/>
      <c r="AF109" s="28"/>
      <c r="AG109" s="28"/>
      <c r="AH109" s="28"/>
      <c r="AI109" s="29"/>
      <c r="AP109" s="4" t="s">
        <v>144</v>
      </c>
    </row>
    <row r="110" spans="1:42">
      <c r="A110" s="27" t="s">
        <v>147</v>
      </c>
      <c r="B110" s="28" t="s">
        <v>148</v>
      </c>
      <c r="C110" s="28"/>
      <c r="D110" s="28"/>
      <c r="E110" s="28" t="s">
        <v>149</v>
      </c>
      <c r="F110" s="28"/>
      <c r="G110" s="28"/>
      <c r="H110" s="29"/>
      <c r="J110" s="27" t="s">
        <v>147</v>
      </c>
      <c r="K110" s="28" t="s">
        <v>148</v>
      </c>
      <c r="L110" s="28"/>
      <c r="M110" s="28"/>
      <c r="N110" s="28" t="s">
        <v>149</v>
      </c>
      <c r="O110" s="28"/>
      <c r="P110" s="28"/>
      <c r="Q110" s="29"/>
      <c r="S110" s="27" t="s">
        <v>147</v>
      </c>
      <c r="T110" s="28" t="s">
        <v>148</v>
      </c>
      <c r="U110" s="28"/>
      <c r="V110" s="28"/>
      <c r="W110" s="28" t="s">
        <v>149</v>
      </c>
      <c r="X110" s="28"/>
      <c r="Y110" s="28"/>
      <c r="Z110" s="29"/>
      <c r="AB110" s="27" t="s">
        <v>147</v>
      </c>
      <c r="AC110" s="28" t="s">
        <v>148</v>
      </c>
      <c r="AD110" s="28"/>
      <c r="AE110" s="28"/>
      <c r="AF110" s="28" t="s">
        <v>149</v>
      </c>
      <c r="AG110" s="28"/>
      <c r="AH110" s="28"/>
      <c r="AI110" s="29"/>
    </row>
    <row r="111" spans="1:42">
      <c r="A111" s="36" t="s">
        <v>385</v>
      </c>
      <c r="B111" s="348">
        <v>5000</v>
      </c>
      <c r="C111" s="348"/>
      <c r="D111" s="348"/>
      <c r="E111" s="348">
        <v>8000</v>
      </c>
      <c r="F111" s="348"/>
      <c r="G111" s="348"/>
      <c r="H111" s="88"/>
      <c r="J111" s="36" t="s">
        <v>32</v>
      </c>
      <c r="K111" s="348">
        <v>1000</v>
      </c>
      <c r="L111" s="348"/>
      <c r="M111" s="348"/>
      <c r="N111" s="348">
        <v>0</v>
      </c>
      <c r="O111" s="348"/>
      <c r="P111" s="348"/>
      <c r="Q111" s="88"/>
      <c r="S111" s="36" t="s">
        <v>31</v>
      </c>
      <c r="T111" s="348">
        <v>1000</v>
      </c>
      <c r="U111" s="348"/>
      <c r="V111" s="348"/>
      <c r="W111" s="348">
        <v>0</v>
      </c>
      <c r="X111" s="348"/>
      <c r="Y111" s="348"/>
      <c r="Z111" s="88"/>
      <c r="AB111" s="36" t="s">
        <v>31</v>
      </c>
      <c r="AC111" s="348">
        <v>1000</v>
      </c>
      <c r="AD111" s="348"/>
      <c r="AE111" s="348"/>
      <c r="AF111" s="348">
        <v>0</v>
      </c>
      <c r="AG111" s="348"/>
      <c r="AH111" s="348"/>
      <c r="AI111" s="88"/>
    </row>
    <row r="112" spans="1:42">
      <c r="A112" s="27"/>
      <c r="B112" s="28"/>
      <c r="C112" s="28"/>
      <c r="D112" s="28"/>
      <c r="E112" s="28"/>
      <c r="F112" s="28"/>
      <c r="G112" s="21"/>
      <c r="H112" s="88"/>
      <c r="J112" s="27"/>
      <c r="K112" s="28"/>
      <c r="L112" s="28"/>
      <c r="M112" s="28"/>
      <c r="N112" s="28"/>
      <c r="O112" s="28"/>
      <c r="P112" s="21"/>
      <c r="Q112" s="88"/>
      <c r="S112" s="27"/>
      <c r="T112" s="28"/>
      <c r="U112" s="28"/>
      <c r="V112" s="28"/>
      <c r="W112" s="28"/>
      <c r="X112" s="28"/>
      <c r="Y112" s="21"/>
      <c r="Z112" s="88"/>
      <c r="AB112" s="27"/>
      <c r="AC112" s="28"/>
      <c r="AD112" s="28"/>
      <c r="AE112" s="28"/>
      <c r="AF112" s="28"/>
      <c r="AG112" s="28"/>
      <c r="AH112" s="21"/>
      <c r="AI112" s="88"/>
    </row>
    <row r="113" spans="1:35">
      <c r="A113" s="93" t="s">
        <v>150</v>
      </c>
      <c r="B113" s="28" t="s">
        <v>151</v>
      </c>
      <c r="C113" s="28"/>
      <c r="D113" s="28"/>
      <c r="E113" s="28" t="s">
        <v>152</v>
      </c>
      <c r="F113" s="28"/>
      <c r="G113" s="21"/>
      <c r="H113" s="88"/>
      <c r="J113" s="93" t="s">
        <v>150</v>
      </c>
      <c r="K113" s="28" t="s">
        <v>151</v>
      </c>
      <c r="L113" s="28"/>
      <c r="M113" s="28"/>
      <c r="N113" s="28" t="s">
        <v>152</v>
      </c>
      <c r="O113" s="28"/>
      <c r="P113" s="21"/>
      <c r="Q113" s="88"/>
      <c r="S113" s="93" t="s">
        <v>150</v>
      </c>
      <c r="T113" s="28" t="s">
        <v>151</v>
      </c>
      <c r="U113" s="28"/>
      <c r="V113" s="28"/>
      <c r="W113" s="28" t="s">
        <v>152</v>
      </c>
      <c r="X113" s="28"/>
      <c r="Y113" s="21"/>
      <c r="Z113" s="88"/>
      <c r="AB113" s="93" t="s">
        <v>150</v>
      </c>
      <c r="AC113" s="28" t="s">
        <v>151</v>
      </c>
      <c r="AD113" s="28"/>
      <c r="AE113" s="28"/>
      <c r="AF113" s="28" t="s">
        <v>152</v>
      </c>
      <c r="AG113" s="28"/>
      <c r="AH113" s="21"/>
      <c r="AI113" s="88"/>
    </row>
    <row r="114" spans="1:35">
      <c r="A114" s="94">
        <f>B111+E111</f>
        <v>13000</v>
      </c>
      <c r="B114" s="348">
        <v>199.99166666666667</v>
      </c>
      <c r="C114" s="348"/>
      <c r="D114" s="348"/>
      <c r="E114" s="348">
        <v>0</v>
      </c>
      <c r="F114" s="348"/>
      <c r="G114" s="348"/>
      <c r="H114" s="88"/>
      <c r="J114" s="94">
        <f>K111+N111</f>
        <v>1000</v>
      </c>
      <c r="K114" s="348">
        <v>239.99</v>
      </c>
      <c r="L114" s="348"/>
      <c r="M114" s="348"/>
      <c r="N114" s="348">
        <v>0</v>
      </c>
      <c r="O114" s="348"/>
      <c r="P114" s="348"/>
      <c r="Q114" s="88"/>
      <c r="S114" s="94">
        <f>T111+W111</f>
        <v>1000</v>
      </c>
      <c r="T114" s="348">
        <v>199.99</v>
      </c>
      <c r="U114" s="348"/>
      <c r="V114" s="348"/>
      <c r="W114" s="348">
        <v>0</v>
      </c>
      <c r="X114" s="348"/>
      <c r="Y114" s="348"/>
      <c r="Z114" s="88"/>
      <c r="AB114" s="94">
        <f>AC111+AF111</f>
        <v>1000</v>
      </c>
      <c r="AC114" s="348">
        <v>239.99</v>
      </c>
      <c r="AD114" s="348"/>
      <c r="AE114" s="348"/>
      <c r="AF114" s="348">
        <v>0</v>
      </c>
      <c r="AG114" s="348"/>
      <c r="AH114" s="348"/>
      <c r="AI114" s="88"/>
    </row>
    <row r="115" spans="1:35" ht="14.25">
      <c r="A115" s="95"/>
      <c r="B115" s="21"/>
      <c r="C115" s="21"/>
      <c r="D115" s="21"/>
      <c r="E115" s="21"/>
      <c r="F115" s="21"/>
      <c r="G115" s="21"/>
      <c r="H115" s="88"/>
      <c r="J115" s="95"/>
      <c r="K115" s="21"/>
      <c r="L115" s="21"/>
      <c r="M115" s="21"/>
      <c r="N115" s="21"/>
      <c r="O115" s="21"/>
      <c r="P115" s="21"/>
      <c r="Q115" s="88"/>
      <c r="S115" s="95"/>
      <c r="T115" s="21"/>
      <c r="U115" s="21"/>
      <c r="V115" s="21"/>
      <c r="W115" s="21"/>
      <c r="X115" s="21"/>
      <c r="Y115" s="21"/>
      <c r="Z115" s="88"/>
      <c r="AB115" s="95"/>
      <c r="AC115" s="21"/>
      <c r="AD115" s="21"/>
      <c r="AE115" s="21"/>
      <c r="AF115" s="21"/>
      <c r="AG115" s="21"/>
      <c r="AH115" s="21"/>
      <c r="AI115" s="88"/>
    </row>
    <row r="116" spans="1:35" ht="14.25">
      <c r="A116" s="95"/>
      <c r="B116" s="21"/>
      <c r="C116" s="21"/>
      <c r="D116" s="21"/>
      <c r="E116" s="21"/>
      <c r="F116" s="21"/>
      <c r="G116" s="21"/>
      <c r="H116" s="88"/>
      <c r="J116" s="95"/>
      <c r="K116" s="21"/>
      <c r="L116" s="21"/>
      <c r="M116" s="21"/>
      <c r="N116" s="21"/>
      <c r="O116" s="21"/>
      <c r="P116" s="21"/>
      <c r="Q116" s="88"/>
      <c r="S116" s="95"/>
      <c r="T116" s="21"/>
      <c r="U116" s="21"/>
      <c r="V116" s="21"/>
      <c r="W116" s="21"/>
      <c r="X116" s="21"/>
      <c r="Y116" s="21"/>
      <c r="Z116" s="88"/>
      <c r="AB116" s="95"/>
      <c r="AC116" s="21"/>
      <c r="AD116" s="21"/>
      <c r="AE116" s="21"/>
      <c r="AF116" s="21"/>
      <c r="AG116" s="21"/>
      <c r="AH116" s="21"/>
      <c r="AI116" s="88"/>
    </row>
    <row r="117" spans="1:35" ht="23.25">
      <c r="A117" s="335">
        <v>0.3</v>
      </c>
      <c r="B117" s="335"/>
      <c r="C117" s="335"/>
      <c r="D117" s="335"/>
      <c r="E117" s="335"/>
      <c r="F117" s="335"/>
      <c r="G117" s="335"/>
      <c r="H117" s="335"/>
      <c r="J117" s="335" t="s">
        <v>153</v>
      </c>
      <c r="K117" s="335"/>
      <c r="L117" s="335"/>
      <c r="M117" s="335"/>
      <c r="N117" s="335"/>
      <c r="O117" s="335"/>
      <c r="P117" s="335"/>
      <c r="Q117" s="335"/>
      <c r="S117" s="335" t="s">
        <v>153</v>
      </c>
      <c r="T117" s="335"/>
      <c r="U117" s="335"/>
      <c r="V117" s="335"/>
      <c r="W117" s="335"/>
      <c r="X117" s="335"/>
      <c r="Y117" s="335"/>
      <c r="Z117" s="335"/>
      <c r="AB117" s="335" t="s">
        <v>153</v>
      </c>
      <c r="AC117" s="335"/>
      <c r="AD117" s="335"/>
      <c r="AE117" s="335"/>
      <c r="AF117" s="335"/>
      <c r="AG117" s="335"/>
      <c r="AH117" s="335"/>
      <c r="AI117" s="335"/>
    </row>
    <row r="118" spans="1:35" ht="14.25">
      <c r="A118" s="95"/>
      <c r="B118" s="21"/>
      <c r="C118" s="21"/>
      <c r="D118" s="21"/>
      <c r="E118" s="21"/>
      <c r="F118" s="21"/>
      <c r="G118" s="21"/>
      <c r="H118" s="88"/>
      <c r="J118" s="95"/>
      <c r="K118" s="21"/>
      <c r="L118" s="21"/>
      <c r="M118" s="21"/>
      <c r="N118" s="21"/>
      <c r="O118" s="21"/>
      <c r="P118" s="21"/>
      <c r="Q118" s="88"/>
      <c r="S118" s="95"/>
      <c r="T118" s="21"/>
      <c r="U118" s="21"/>
      <c r="V118" s="21"/>
      <c r="W118" s="21"/>
      <c r="X118" s="21"/>
      <c r="Y118" s="21"/>
      <c r="Z118" s="88"/>
      <c r="AB118" s="95"/>
      <c r="AC118" s="21"/>
      <c r="AD118" s="21"/>
      <c r="AE118" s="21"/>
      <c r="AF118" s="21"/>
      <c r="AG118" s="21"/>
      <c r="AH118" s="21"/>
      <c r="AI118" s="88"/>
    </row>
    <row r="119" spans="1:35" ht="21">
      <c r="A119" s="66"/>
      <c r="B119" s="351" t="s">
        <v>154</v>
      </c>
      <c r="C119" s="351"/>
      <c r="D119" s="351" t="s">
        <v>155</v>
      </c>
      <c r="E119" s="351"/>
      <c r="F119" s="351" t="s">
        <v>156</v>
      </c>
      <c r="G119" s="351"/>
      <c r="H119" s="96" t="s">
        <v>157</v>
      </c>
      <c r="J119" s="66"/>
      <c r="K119" s="351" t="s">
        <v>154</v>
      </c>
      <c r="L119" s="351"/>
      <c r="M119" s="351" t="s">
        <v>155</v>
      </c>
      <c r="N119" s="351"/>
      <c r="O119" s="351" t="s">
        <v>156</v>
      </c>
      <c r="P119" s="351"/>
      <c r="Q119" s="96" t="s">
        <v>157</v>
      </c>
      <c r="S119" s="66"/>
      <c r="T119" s="351" t="s">
        <v>154</v>
      </c>
      <c r="U119" s="351"/>
      <c r="V119" s="351" t="s">
        <v>155</v>
      </c>
      <c r="W119" s="351"/>
      <c r="X119" s="351" t="s">
        <v>156</v>
      </c>
      <c r="Y119" s="351"/>
      <c r="Z119" s="96" t="s">
        <v>157</v>
      </c>
      <c r="AB119" s="66"/>
      <c r="AC119" s="351" t="s">
        <v>154</v>
      </c>
      <c r="AD119" s="351"/>
      <c r="AE119" s="351" t="s">
        <v>155</v>
      </c>
      <c r="AF119" s="351"/>
      <c r="AG119" s="351" t="s">
        <v>156</v>
      </c>
      <c r="AH119" s="351"/>
      <c r="AI119" s="96" t="s">
        <v>157</v>
      </c>
    </row>
    <row r="120" spans="1:35" ht="21">
      <c r="A120" s="68"/>
      <c r="B120" s="97" t="s">
        <v>158</v>
      </c>
      <c r="C120" s="98" t="s">
        <v>159</v>
      </c>
      <c r="D120" s="97" t="s">
        <v>158</v>
      </c>
      <c r="E120" s="99" t="s">
        <v>159</v>
      </c>
      <c r="F120" s="97" t="s">
        <v>158</v>
      </c>
      <c r="G120" s="99" t="s">
        <v>159</v>
      </c>
      <c r="H120" s="100"/>
      <c r="J120" s="68"/>
      <c r="K120" s="97" t="s">
        <v>158</v>
      </c>
      <c r="L120" s="98" t="s">
        <v>159</v>
      </c>
      <c r="M120" s="97" t="s">
        <v>158</v>
      </c>
      <c r="N120" s="99" t="s">
        <v>159</v>
      </c>
      <c r="O120" s="97" t="s">
        <v>158</v>
      </c>
      <c r="P120" s="99" t="s">
        <v>159</v>
      </c>
      <c r="Q120" s="100"/>
      <c r="S120" s="68"/>
      <c r="T120" s="97" t="s">
        <v>158</v>
      </c>
      <c r="U120" s="98" t="s">
        <v>159</v>
      </c>
      <c r="V120" s="97" t="s">
        <v>158</v>
      </c>
      <c r="W120" s="99" t="s">
        <v>159</v>
      </c>
      <c r="X120" s="97" t="s">
        <v>158</v>
      </c>
      <c r="Y120" s="99" t="s">
        <v>159</v>
      </c>
      <c r="Z120" s="100"/>
      <c r="AB120" s="68"/>
      <c r="AC120" s="97" t="s">
        <v>158</v>
      </c>
      <c r="AD120" s="98" t="s">
        <v>159</v>
      </c>
      <c r="AE120" s="97" t="s">
        <v>158</v>
      </c>
      <c r="AF120" s="99" t="s">
        <v>159</v>
      </c>
      <c r="AG120" s="97" t="s">
        <v>158</v>
      </c>
      <c r="AH120" s="99" t="s">
        <v>159</v>
      </c>
      <c r="AI120" s="100"/>
    </row>
    <row r="121" spans="1:35">
      <c r="A121" s="22" t="s">
        <v>160</v>
      </c>
      <c r="B121" s="22">
        <f>B3</f>
        <v>56579.17</v>
      </c>
      <c r="C121" s="36">
        <f>B121</f>
        <v>56579.17</v>
      </c>
      <c r="D121" s="22">
        <f>D3</f>
        <v>0</v>
      </c>
      <c r="E121" s="36">
        <f>D121</f>
        <v>0</v>
      </c>
      <c r="F121" s="22">
        <f>F3</f>
        <v>833.33</v>
      </c>
      <c r="G121" s="36">
        <f>F121</f>
        <v>833.33</v>
      </c>
      <c r="H121" s="101">
        <f>H3</f>
        <v>0</v>
      </c>
      <c r="J121" s="22" t="s">
        <v>160</v>
      </c>
      <c r="K121" s="22">
        <f>B3</f>
        <v>56579.17</v>
      </c>
      <c r="L121" s="36">
        <v>28629.17</v>
      </c>
      <c r="M121" s="22">
        <f>D3</f>
        <v>0</v>
      </c>
      <c r="N121" s="36">
        <f>M121</f>
        <v>0</v>
      </c>
      <c r="O121" s="22">
        <f>F3</f>
        <v>833.33</v>
      </c>
      <c r="P121" s="36">
        <f>O121</f>
        <v>833.33</v>
      </c>
      <c r="Q121" s="101">
        <f>H3</f>
        <v>0</v>
      </c>
      <c r="S121" s="22" t="s">
        <v>160</v>
      </c>
      <c r="T121" s="22">
        <f>B3</f>
        <v>56579.17</v>
      </c>
      <c r="U121" s="36">
        <f>T121</f>
        <v>56579.17</v>
      </c>
      <c r="V121" s="22">
        <f>D3</f>
        <v>0</v>
      </c>
      <c r="W121" s="36">
        <f>V121</f>
        <v>0</v>
      </c>
      <c r="X121" s="22">
        <f>F3</f>
        <v>833.33</v>
      </c>
      <c r="Y121" s="36">
        <f>X121</f>
        <v>833.33</v>
      </c>
      <c r="Z121" s="101">
        <f>H3</f>
        <v>0</v>
      </c>
      <c r="AB121" s="22" t="s">
        <v>160</v>
      </c>
      <c r="AC121" s="22">
        <f>B3</f>
        <v>56579.17</v>
      </c>
      <c r="AD121" s="36">
        <f>AC121</f>
        <v>56579.17</v>
      </c>
      <c r="AE121" s="22">
        <f>D3</f>
        <v>0</v>
      </c>
      <c r="AF121" s="36">
        <f>AE121</f>
        <v>0</v>
      </c>
      <c r="AG121" s="22">
        <f>F3</f>
        <v>833.33</v>
      </c>
      <c r="AH121" s="36">
        <f>AG121</f>
        <v>833.33</v>
      </c>
      <c r="AI121" s="101">
        <f>H3</f>
        <v>0</v>
      </c>
    </row>
    <row r="122" spans="1:35">
      <c r="A122" s="27" t="s">
        <v>161</v>
      </c>
      <c r="B122" s="102">
        <f>B4</f>
        <v>2</v>
      </c>
      <c r="C122" s="103">
        <v>1</v>
      </c>
      <c r="D122" s="102">
        <f>D4</f>
        <v>0</v>
      </c>
      <c r="E122" s="103">
        <v>0</v>
      </c>
      <c r="F122" s="102">
        <f>F4</f>
        <v>2</v>
      </c>
      <c r="G122" s="296">
        <v>1</v>
      </c>
      <c r="H122" s="105"/>
      <c r="J122" s="27" t="s">
        <v>161</v>
      </c>
      <c r="K122" s="102">
        <f>B4</f>
        <v>2</v>
      </c>
      <c r="L122" s="103">
        <v>0</v>
      </c>
      <c r="M122" s="102">
        <f>D4</f>
        <v>0</v>
      </c>
      <c r="N122" s="103">
        <f>M122</f>
        <v>0</v>
      </c>
      <c r="O122" s="102">
        <f>F4</f>
        <v>2</v>
      </c>
      <c r="P122" s="296">
        <f>O122</f>
        <v>2</v>
      </c>
      <c r="Q122" s="105"/>
      <c r="S122" s="27" t="s">
        <v>161</v>
      </c>
      <c r="T122" s="102">
        <f>B4</f>
        <v>2</v>
      </c>
      <c r="U122" s="103">
        <v>0.25</v>
      </c>
      <c r="V122" s="102">
        <f>D4</f>
        <v>0</v>
      </c>
      <c r="W122" s="103">
        <f>V122</f>
        <v>0</v>
      </c>
      <c r="X122" s="102">
        <f>F4</f>
        <v>2</v>
      </c>
      <c r="Y122" s="296">
        <f>X122</f>
        <v>2</v>
      </c>
      <c r="Z122" s="105"/>
      <c r="AB122" s="27" t="s">
        <v>161</v>
      </c>
      <c r="AC122" s="102">
        <f>B4</f>
        <v>2</v>
      </c>
      <c r="AD122" s="103">
        <v>0.25</v>
      </c>
      <c r="AE122" s="102">
        <f>D4</f>
        <v>0</v>
      </c>
      <c r="AF122" s="103">
        <f>AE122</f>
        <v>0</v>
      </c>
      <c r="AG122" s="102">
        <f>F4</f>
        <v>2</v>
      </c>
      <c r="AH122" s="296">
        <f>AG122</f>
        <v>2</v>
      </c>
      <c r="AI122" s="105"/>
    </row>
    <row r="123" spans="1:35">
      <c r="A123" s="27" t="s">
        <v>162</v>
      </c>
      <c r="B123" s="27">
        <f>B5</f>
        <v>0</v>
      </c>
      <c r="C123" s="36">
        <v>-10825.39</v>
      </c>
      <c r="D123" s="27">
        <f>D5</f>
        <v>0</v>
      </c>
      <c r="E123" s="36">
        <v>0</v>
      </c>
      <c r="F123" s="27">
        <f>F5</f>
        <v>0</v>
      </c>
      <c r="G123" s="36">
        <v>0</v>
      </c>
      <c r="H123" s="29"/>
      <c r="J123" s="27" t="s">
        <v>162</v>
      </c>
      <c r="K123" s="27">
        <f>B5</f>
        <v>0</v>
      </c>
      <c r="L123" s="36">
        <v>0</v>
      </c>
      <c r="M123" s="27">
        <f>D5</f>
        <v>0</v>
      </c>
      <c r="N123" s="36">
        <f>M123</f>
        <v>0</v>
      </c>
      <c r="O123" s="27">
        <f>F5</f>
        <v>0</v>
      </c>
      <c r="P123" s="36">
        <f>O123</f>
        <v>0</v>
      </c>
      <c r="Q123" s="29"/>
      <c r="S123" s="27" t="s">
        <v>162</v>
      </c>
      <c r="T123" s="27">
        <f>B5</f>
        <v>0</v>
      </c>
      <c r="U123" s="36">
        <v>0</v>
      </c>
      <c r="V123" s="27">
        <f>D5</f>
        <v>0</v>
      </c>
      <c r="W123" s="36">
        <f>V123</f>
        <v>0</v>
      </c>
      <c r="X123" s="27">
        <f>F5</f>
        <v>0</v>
      </c>
      <c r="Y123" s="36">
        <f>X123</f>
        <v>0</v>
      </c>
      <c r="Z123" s="29"/>
      <c r="AB123" s="27" t="s">
        <v>162</v>
      </c>
      <c r="AC123" s="27">
        <f>B5</f>
        <v>0</v>
      </c>
      <c r="AD123" s="36">
        <v>0</v>
      </c>
      <c r="AE123" s="27">
        <f>D5</f>
        <v>0</v>
      </c>
      <c r="AF123" s="36">
        <f>AE123</f>
        <v>0</v>
      </c>
      <c r="AG123" s="27">
        <f>F5</f>
        <v>0</v>
      </c>
      <c r="AH123" s="36">
        <f>AG123</f>
        <v>0</v>
      </c>
      <c r="AI123" s="29"/>
    </row>
    <row r="124" spans="1:35">
      <c r="A124" s="27" t="s">
        <v>163</v>
      </c>
      <c r="B124" s="27">
        <f>(B121*B122)+B123</f>
        <v>113158.34</v>
      </c>
      <c r="C124" s="24">
        <f>(C121*C122/100)+C123</f>
        <v>-10259.5983</v>
      </c>
      <c r="D124" s="27">
        <f>(D121*D122)+D123</f>
        <v>0</v>
      </c>
      <c r="E124" s="24">
        <f>(E121*E122/100)+E123</f>
        <v>0</v>
      </c>
      <c r="F124" s="27">
        <f>(F121*F122)+F123</f>
        <v>1666.66</v>
      </c>
      <c r="G124" s="24">
        <f>(G121*G122/100)+G123</f>
        <v>8.3333000000000013</v>
      </c>
      <c r="H124" s="29"/>
      <c r="J124" s="27" t="s">
        <v>163</v>
      </c>
      <c r="K124" s="27">
        <f t="shared" ref="K124:P124" si="0">(K121*K122)+K123</f>
        <v>113158.34</v>
      </c>
      <c r="L124" s="24">
        <f t="shared" si="0"/>
        <v>0</v>
      </c>
      <c r="M124" s="27">
        <f t="shared" si="0"/>
        <v>0</v>
      </c>
      <c r="N124" s="24">
        <f t="shared" si="0"/>
        <v>0</v>
      </c>
      <c r="O124" s="27">
        <f t="shared" si="0"/>
        <v>1666.66</v>
      </c>
      <c r="P124" s="24">
        <f t="shared" si="0"/>
        <v>1666.66</v>
      </c>
      <c r="Q124" s="29"/>
      <c r="S124" s="27" t="s">
        <v>163</v>
      </c>
      <c r="T124" s="27">
        <f>(T121*T122)+T123</f>
        <v>113158.34</v>
      </c>
      <c r="U124" s="24">
        <f>(U121*U122/100)+U123</f>
        <v>141.447925</v>
      </c>
      <c r="V124" s="27">
        <f>(V121*V122)+V123</f>
        <v>0</v>
      </c>
      <c r="W124" s="24">
        <f>(W121*W122/100)+W123</f>
        <v>0</v>
      </c>
      <c r="X124" s="27">
        <f>(X121*X122)+X123</f>
        <v>1666.66</v>
      </c>
      <c r="Y124" s="24">
        <f>(Y121*Y122/100)+Y123</f>
        <v>16.666600000000003</v>
      </c>
      <c r="Z124" s="29"/>
      <c r="AB124" s="27" t="s">
        <v>163</v>
      </c>
      <c r="AC124" s="27">
        <f t="shared" ref="AC124:AH124" si="1">(AC121*AC122)+AC123</f>
        <v>113158.34</v>
      </c>
      <c r="AD124" s="24">
        <f t="shared" si="1"/>
        <v>14144.7925</v>
      </c>
      <c r="AE124" s="27">
        <f t="shared" si="1"/>
        <v>0</v>
      </c>
      <c r="AF124" s="24">
        <f t="shared" si="1"/>
        <v>0</v>
      </c>
      <c r="AG124" s="27">
        <f t="shared" si="1"/>
        <v>1666.66</v>
      </c>
      <c r="AH124" s="24">
        <f t="shared" si="1"/>
        <v>1666.66</v>
      </c>
      <c r="AI124" s="29"/>
    </row>
    <row r="125" spans="1:35">
      <c r="A125" s="49" t="s">
        <v>164</v>
      </c>
      <c r="B125" s="49">
        <f t="shared" ref="B125:G125" si="2">B121-B124</f>
        <v>-56579.17</v>
      </c>
      <c r="C125" s="57">
        <f t="shared" si="2"/>
        <v>66838.768299999996</v>
      </c>
      <c r="D125" s="49">
        <f t="shared" si="2"/>
        <v>0</v>
      </c>
      <c r="E125" s="57">
        <f t="shared" si="2"/>
        <v>0</v>
      </c>
      <c r="F125" s="49">
        <f t="shared" si="2"/>
        <v>-833.33</v>
      </c>
      <c r="G125" s="57">
        <f t="shared" si="2"/>
        <v>824.99670000000003</v>
      </c>
      <c r="H125" s="57"/>
      <c r="J125" s="49" t="s">
        <v>164</v>
      </c>
      <c r="K125" s="49">
        <f t="shared" ref="K125:P125" si="3">K121-K124</f>
        <v>-56579.17</v>
      </c>
      <c r="L125" s="57">
        <f t="shared" si="3"/>
        <v>28629.17</v>
      </c>
      <c r="M125" s="49">
        <f t="shared" si="3"/>
        <v>0</v>
      </c>
      <c r="N125" s="57">
        <f t="shared" si="3"/>
        <v>0</v>
      </c>
      <c r="O125" s="49">
        <f t="shared" si="3"/>
        <v>-833.33</v>
      </c>
      <c r="P125" s="57">
        <f t="shared" si="3"/>
        <v>-833.33</v>
      </c>
      <c r="Q125" s="57"/>
      <c r="S125" s="49" t="s">
        <v>164</v>
      </c>
      <c r="T125" s="49">
        <f t="shared" ref="T125:Y125" si="4">T121-T124</f>
        <v>-56579.17</v>
      </c>
      <c r="U125" s="57">
        <f t="shared" si="4"/>
        <v>56437.722074999998</v>
      </c>
      <c r="V125" s="49">
        <f t="shared" si="4"/>
        <v>0</v>
      </c>
      <c r="W125" s="57">
        <f t="shared" si="4"/>
        <v>0</v>
      </c>
      <c r="X125" s="49">
        <f t="shared" si="4"/>
        <v>-833.33</v>
      </c>
      <c r="Y125" s="57">
        <f t="shared" si="4"/>
        <v>816.66340000000002</v>
      </c>
      <c r="Z125" s="57"/>
      <c r="AB125" s="49" t="s">
        <v>164</v>
      </c>
      <c r="AC125" s="49">
        <f t="shared" ref="AC125:AH125" si="5">AC121-AC124</f>
        <v>-56579.17</v>
      </c>
      <c r="AD125" s="57">
        <f t="shared" si="5"/>
        <v>42434.377500000002</v>
      </c>
      <c r="AE125" s="49">
        <f t="shared" si="5"/>
        <v>0</v>
      </c>
      <c r="AF125" s="57">
        <f t="shared" si="5"/>
        <v>0</v>
      </c>
      <c r="AG125" s="49">
        <f t="shared" si="5"/>
        <v>-833.33</v>
      </c>
      <c r="AH125" s="57">
        <f t="shared" si="5"/>
        <v>-833.33</v>
      </c>
      <c r="AI125" s="57"/>
    </row>
    <row r="126" spans="1:35">
      <c r="A126" s="27"/>
      <c r="B126" s="28"/>
      <c r="C126" s="28"/>
      <c r="D126" s="28"/>
      <c r="E126" s="28"/>
      <c r="F126" s="28"/>
      <c r="G126" s="28"/>
      <c r="H126" s="29"/>
      <c r="J126" s="27"/>
      <c r="K126" s="28"/>
      <c r="L126" s="28"/>
      <c r="M126" s="28"/>
      <c r="N126" s="28"/>
      <c r="O126" s="28"/>
      <c r="P126" s="28"/>
      <c r="Q126" s="29"/>
      <c r="S126" s="27"/>
      <c r="T126" s="28"/>
      <c r="U126" s="28"/>
      <c r="V126" s="28"/>
      <c r="W126" s="28"/>
      <c r="X126" s="28"/>
      <c r="Y126" s="28"/>
      <c r="Z126" s="29"/>
      <c r="AB126" s="27"/>
      <c r="AC126" s="28"/>
      <c r="AD126" s="28"/>
      <c r="AE126" s="28"/>
      <c r="AF126" s="28"/>
      <c r="AG126" s="28"/>
      <c r="AH126" s="28"/>
      <c r="AI126" s="29"/>
    </row>
    <row r="127" spans="1:35" ht="21">
      <c r="A127" s="107"/>
      <c r="B127" s="108"/>
      <c r="C127" s="108"/>
      <c r="D127" s="108"/>
      <c r="E127" s="108"/>
      <c r="F127" s="108"/>
      <c r="G127" s="109" t="s">
        <v>158</v>
      </c>
      <c r="H127" s="110" t="s">
        <v>159</v>
      </c>
      <c r="J127" s="107"/>
      <c r="K127" s="108"/>
      <c r="L127" s="108"/>
      <c r="M127" s="108"/>
      <c r="N127" s="108"/>
      <c r="O127" s="108"/>
      <c r="P127" s="109" t="s">
        <v>158</v>
      </c>
      <c r="Q127" s="110" t="s">
        <v>159</v>
      </c>
      <c r="S127" s="107"/>
      <c r="T127" s="108"/>
      <c r="U127" s="108"/>
      <c r="V127" s="108"/>
      <c r="W127" s="108"/>
      <c r="X127" s="108"/>
      <c r="Y127" s="109" t="s">
        <v>158</v>
      </c>
      <c r="Z127" s="110" t="s">
        <v>159</v>
      </c>
      <c r="AB127" s="107"/>
      <c r="AC127" s="108"/>
      <c r="AD127" s="108"/>
      <c r="AE127" s="108"/>
      <c r="AF127" s="108"/>
      <c r="AG127" s="108"/>
      <c r="AH127" s="109" t="s">
        <v>158</v>
      </c>
      <c r="AI127" s="110" t="s">
        <v>159</v>
      </c>
    </row>
    <row r="128" spans="1:35">
      <c r="A128" s="111" t="s">
        <v>165</v>
      </c>
      <c r="B128" s="112"/>
      <c r="C128" s="112"/>
      <c r="D128" s="112"/>
      <c r="E128" s="112"/>
      <c r="F128" s="112"/>
      <c r="G128" s="113">
        <f>H121</f>
        <v>0</v>
      </c>
      <c r="H128" s="114">
        <f>SUM(H131:H133)</f>
        <v>0</v>
      </c>
      <c r="J128" s="111" t="s">
        <v>165</v>
      </c>
      <c r="K128" s="112"/>
      <c r="L128" s="112"/>
      <c r="M128" s="112"/>
      <c r="N128" s="112"/>
      <c r="O128" s="112"/>
      <c r="P128" s="113">
        <f>Q121</f>
        <v>0</v>
      </c>
      <c r="Q128" s="114">
        <f>SUM(Q131:Q133)</f>
        <v>0</v>
      </c>
      <c r="S128" s="111" t="s">
        <v>165</v>
      </c>
      <c r="T128" s="112"/>
      <c r="U128" s="112"/>
      <c r="V128" s="112"/>
      <c r="W128" s="112"/>
      <c r="X128" s="112"/>
      <c r="Y128" s="113">
        <f>Z121</f>
        <v>0</v>
      </c>
      <c r="Z128" s="114">
        <f>SUM(Z131:Z133)</f>
        <v>0</v>
      </c>
      <c r="AB128" s="111" t="s">
        <v>165</v>
      </c>
      <c r="AC128" s="112"/>
      <c r="AD128" s="112"/>
      <c r="AE128" s="112"/>
      <c r="AF128" s="112"/>
      <c r="AG128" s="112"/>
      <c r="AH128" s="113">
        <f>AI121</f>
        <v>0</v>
      </c>
      <c r="AI128" s="114">
        <f>SUM(AI131:AI133)</f>
        <v>0</v>
      </c>
    </row>
    <row r="129" spans="1:35">
      <c r="A129" s="27"/>
      <c r="B129" s="28"/>
      <c r="C129" s="28"/>
      <c r="D129" s="28"/>
      <c r="E129" s="28"/>
      <c r="F129" s="28"/>
      <c r="G129" s="115"/>
      <c r="H129" s="116"/>
      <c r="J129" s="27"/>
      <c r="K129" s="28"/>
      <c r="L129" s="28"/>
      <c r="M129" s="28"/>
      <c r="N129" s="28"/>
      <c r="O129" s="28"/>
      <c r="P129" s="115"/>
      <c r="Q129" s="116"/>
      <c r="S129" s="27"/>
      <c r="T129" s="28"/>
      <c r="U129" s="28"/>
      <c r="V129" s="28"/>
      <c r="W129" s="28"/>
      <c r="X129" s="28"/>
      <c r="Y129" s="115"/>
      <c r="Z129" s="116"/>
      <c r="AB129" s="27"/>
      <c r="AC129" s="28"/>
      <c r="AD129" s="28"/>
      <c r="AE129" s="28"/>
      <c r="AF129" s="28"/>
      <c r="AG129" s="28"/>
      <c r="AH129" s="115"/>
      <c r="AI129" s="116"/>
    </row>
    <row r="130" spans="1:35">
      <c r="A130" s="117" t="s">
        <v>166</v>
      </c>
      <c r="B130" s="352" t="s">
        <v>167</v>
      </c>
      <c r="C130" s="352"/>
      <c r="D130" s="352" t="s">
        <v>168</v>
      </c>
      <c r="E130" s="352"/>
      <c r="F130" s="352" t="s">
        <v>162</v>
      </c>
      <c r="G130" s="352"/>
      <c r="H130" s="116" t="s">
        <v>159</v>
      </c>
      <c r="J130" s="117" t="s">
        <v>166</v>
      </c>
      <c r="K130" s="352" t="s">
        <v>167</v>
      </c>
      <c r="L130" s="352"/>
      <c r="M130" s="352" t="s">
        <v>168</v>
      </c>
      <c r="N130" s="352"/>
      <c r="O130" s="352" t="s">
        <v>162</v>
      </c>
      <c r="P130" s="352"/>
      <c r="Q130" s="116" t="s">
        <v>159</v>
      </c>
      <c r="S130" s="117" t="s">
        <v>166</v>
      </c>
      <c r="T130" s="352" t="s">
        <v>167</v>
      </c>
      <c r="U130" s="352"/>
      <c r="V130" s="352" t="s">
        <v>168</v>
      </c>
      <c r="W130" s="352"/>
      <c r="X130" s="352" t="s">
        <v>162</v>
      </c>
      <c r="Y130" s="352"/>
      <c r="Z130" s="116" t="s">
        <v>159</v>
      </c>
      <c r="AB130" s="117" t="s">
        <v>166</v>
      </c>
      <c r="AC130" s="352" t="s">
        <v>167</v>
      </c>
      <c r="AD130" s="352"/>
      <c r="AE130" s="352" t="s">
        <v>168</v>
      </c>
      <c r="AF130" s="352"/>
      <c r="AG130" s="352" t="s">
        <v>162</v>
      </c>
      <c r="AH130" s="352"/>
      <c r="AI130" s="116" t="s">
        <v>159</v>
      </c>
    </row>
    <row r="131" spans="1:35">
      <c r="A131" s="27" t="s">
        <v>169</v>
      </c>
      <c r="B131" s="354">
        <f>G128</f>
        <v>0</v>
      </c>
      <c r="C131" s="354"/>
      <c r="D131" s="355">
        <v>0</v>
      </c>
      <c r="E131" s="355"/>
      <c r="F131" s="354">
        <v>0</v>
      </c>
      <c r="G131" s="354"/>
      <c r="H131" s="119">
        <f>(B131-(B131*D131))-F131</f>
        <v>0</v>
      </c>
      <c r="J131" s="27" t="s">
        <v>169</v>
      </c>
      <c r="K131" s="354">
        <f>P128</f>
        <v>0</v>
      </c>
      <c r="L131" s="354"/>
      <c r="M131" s="355">
        <v>0</v>
      </c>
      <c r="N131" s="355"/>
      <c r="O131" s="354">
        <v>0</v>
      </c>
      <c r="P131" s="354"/>
      <c r="Q131" s="119">
        <f>(K131-(K131*M131))-O131</f>
        <v>0</v>
      </c>
      <c r="S131" s="27" t="s">
        <v>169</v>
      </c>
      <c r="T131" s="354">
        <f>Y128</f>
        <v>0</v>
      </c>
      <c r="U131" s="354"/>
      <c r="V131" s="355">
        <v>0</v>
      </c>
      <c r="W131" s="355"/>
      <c r="X131" s="354">
        <v>0</v>
      </c>
      <c r="Y131" s="354"/>
      <c r="Z131" s="119">
        <f>(T131-(T131*V131))-X131</f>
        <v>0</v>
      </c>
      <c r="AB131" s="27" t="s">
        <v>169</v>
      </c>
      <c r="AC131" s="354">
        <f>AH128</f>
        <v>0</v>
      </c>
      <c r="AD131" s="354"/>
      <c r="AE131" s="355">
        <v>0</v>
      </c>
      <c r="AF131" s="355"/>
      <c r="AG131" s="354">
        <v>0</v>
      </c>
      <c r="AH131" s="354"/>
      <c r="AI131" s="119">
        <f>(AC131-(AC131*AE131))-AG131</f>
        <v>0</v>
      </c>
    </row>
    <row r="132" spans="1:35">
      <c r="A132" s="27" t="s">
        <v>170</v>
      </c>
      <c r="B132" s="354">
        <v>0</v>
      </c>
      <c r="C132" s="354"/>
      <c r="D132" s="355">
        <v>0</v>
      </c>
      <c r="E132" s="355"/>
      <c r="F132" s="354">
        <v>0</v>
      </c>
      <c r="G132" s="354"/>
      <c r="H132" s="119">
        <f>(B132-(B132*D132))-F132</f>
        <v>0</v>
      </c>
      <c r="J132" s="27" t="s">
        <v>170</v>
      </c>
      <c r="K132" s="354">
        <v>0</v>
      </c>
      <c r="L132" s="354"/>
      <c r="M132" s="355">
        <v>0</v>
      </c>
      <c r="N132" s="355"/>
      <c r="O132" s="354">
        <v>0</v>
      </c>
      <c r="P132" s="354"/>
      <c r="Q132" s="119">
        <f>(K132-(K132*M132))-O132</f>
        <v>0</v>
      </c>
      <c r="S132" s="27" t="s">
        <v>170</v>
      </c>
      <c r="T132" s="354">
        <v>0</v>
      </c>
      <c r="U132" s="354"/>
      <c r="V132" s="355">
        <v>0</v>
      </c>
      <c r="W132" s="355"/>
      <c r="X132" s="354">
        <v>0</v>
      </c>
      <c r="Y132" s="354"/>
      <c r="Z132" s="119">
        <f>(T132-(T132*V132))-X132</f>
        <v>0</v>
      </c>
      <c r="AB132" s="27" t="s">
        <v>170</v>
      </c>
      <c r="AC132" s="354">
        <v>0</v>
      </c>
      <c r="AD132" s="354"/>
      <c r="AE132" s="355">
        <v>0</v>
      </c>
      <c r="AF132" s="355"/>
      <c r="AG132" s="354">
        <v>0</v>
      </c>
      <c r="AH132" s="354"/>
      <c r="AI132" s="119">
        <f>(AC132-(AC132*AE132))-AG132</f>
        <v>0</v>
      </c>
    </row>
    <row r="133" spans="1:35">
      <c r="A133" s="27" t="s">
        <v>171</v>
      </c>
      <c r="B133" s="354">
        <v>0</v>
      </c>
      <c r="C133" s="354"/>
      <c r="D133" s="355">
        <v>0</v>
      </c>
      <c r="E133" s="355"/>
      <c r="F133" s="354">
        <v>0</v>
      </c>
      <c r="G133" s="354"/>
      <c r="H133" s="119">
        <f>(B133-(B133*D133))-F133</f>
        <v>0</v>
      </c>
      <c r="J133" s="27" t="s">
        <v>171</v>
      </c>
      <c r="K133" s="354">
        <v>0</v>
      </c>
      <c r="L133" s="354"/>
      <c r="M133" s="355">
        <v>0</v>
      </c>
      <c r="N133" s="355"/>
      <c r="O133" s="354">
        <v>0</v>
      </c>
      <c r="P133" s="354"/>
      <c r="Q133" s="119">
        <f>(K133-(K133*M133))-O133</f>
        <v>0</v>
      </c>
      <c r="S133" s="27" t="s">
        <v>171</v>
      </c>
      <c r="T133" s="354">
        <v>0</v>
      </c>
      <c r="U133" s="354"/>
      <c r="V133" s="355">
        <v>0</v>
      </c>
      <c r="W133" s="355"/>
      <c r="X133" s="354">
        <v>0</v>
      </c>
      <c r="Y133" s="354"/>
      <c r="Z133" s="119">
        <f>(T133-(T133*V133))-X133</f>
        <v>0</v>
      </c>
      <c r="AB133" s="27" t="s">
        <v>171</v>
      </c>
      <c r="AC133" s="354">
        <v>0</v>
      </c>
      <c r="AD133" s="354"/>
      <c r="AE133" s="355">
        <v>0</v>
      </c>
      <c r="AF133" s="355"/>
      <c r="AG133" s="354">
        <v>0</v>
      </c>
      <c r="AH133" s="354"/>
      <c r="AI133" s="119">
        <f>(AC133-(AC133*AE133))-AG133</f>
        <v>0</v>
      </c>
    </row>
    <row r="134" spans="1:35">
      <c r="A134" s="27"/>
      <c r="B134" s="28"/>
      <c r="C134" s="28"/>
      <c r="D134" s="28"/>
      <c r="E134" s="28"/>
      <c r="F134" s="28"/>
      <c r="G134" s="115"/>
      <c r="H134" s="116"/>
      <c r="J134" s="27"/>
      <c r="K134" s="28"/>
      <c r="L134" s="28"/>
      <c r="M134" s="28"/>
      <c r="N134" s="28"/>
      <c r="O134" s="28"/>
      <c r="P134" s="115"/>
      <c r="Q134" s="116"/>
      <c r="S134" s="27"/>
      <c r="T134" s="28"/>
      <c r="U134" s="28"/>
      <c r="V134" s="28"/>
      <c r="W134" s="28"/>
      <c r="X134" s="28"/>
      <c r="Y134" s="115"/>
      <c r="Z134" s="116"/>
      <c r="AB134" s="27"/>
      <c r="AC134" s="28"/>
      <c r="AD134" s="28"/>
      <c r="AE134" s="28"/>
      <c r="AF134" s="28"/>
      <c r="AG134" s="28"/>
      <c r="AH134" s="115"/>
      <c r="AI134" s="116"/>
    </row>
    <row r="135" spans="1:35" ht="21">
      <c r="A135" s="356" t="s">
        <v>172</v>
      </c>
      <c r="B135" s="356"/>
      <c r="C135" s="356"/>
      <c r="D135" s="356"/>
      <c r="E135" s="356"/>
      <c r="F135" s="356"/>
      <c r="G135" s="109">
        <f t="shared" ref="G135:G142" si="6">H9</f>
        <v>56264.249999999993</v>
      </c>
      <c r="H135" s="120">
        <f>C125+E125+G125+H128</f>
        <v>67663.764999999999</v>
      </c>
      <c r="J135" s="356" t="s">
        <v>172</v>
      </c>
      <c r="K135" s="356"/>
      <c r="L135" s="356"/>
      <c r="M135" s="356"/>
      <c r="N135" s="356"/>
      <c r="O135" s="356"/>
      <c r="P135" s="109">
        <f t="shared" ref="P135:P142" si="7">H9</f>
        <v>56264.249999999993</v>
      </c>
      <c r="Q135" s="120">
        <f>L125+N125+P125+Q128</f>
        <v>27795.839999999997</v>
      </c>
      <c r="S135" s="356" t="s">
        <v>172</v>
      </c>
      <c r="T135" s="356"/>
      <c r="U135" s="356"/>
      <c r="V135" s="356"/>
      <c r="W135" s="356"/>
      <c r="X135" s="356"/>
      <c r="Y135" s="109">
        <f t="shared" ref="Y135:Y142" si="8">H9</f>
        <v>56264.249999999993</v>
      </c>
      <c r="Z135" s="120">
        <f>U125+W125+Y125+Z128</f>
        <v>57254.385474999995</v>
      </c>
      <c r="AB135" s="356" t="s">
        <v>172</v>
      </c>
      <c r="AC135" s="356"/>
      <c r="AD135" s="356"/>
      <c r="AE135" s="356"/>
      <c r="AF135" s="356"/>
      <c r="AG135" s="356"/>
      <c r="AH135" s="109">
        <f t="shared" ref="AH135:AH142" si="9">H9</f>
        <v>56264.249999999993</v>
      </c>
      <c r="AI135" s="120">
        <f>AD125+AF125+AH125+AI128</f>
        <v>41601.047500000001</v>
      </c>
    </row>
    <row r="136" spans="1:35">
      <c r="A136" s="357" t="s">
        <v>173</v>
      </c>
      <c r="B136" s="357"/>
      <c r="C136" s="357"/>
      <c r="D136" s="357"/>
      <c r="E136" s="357"/>
      <c r="F136" s="357"/>
      <c r="G136" s="121">
        <f t="shared" si="6"/>
        <v>150</v>
      </c>
      <c r="H136" s="29">
        <f>G136</f>
        <v>150</v>
      </c>
      <c r="J136" s="357" t="s">
        <v>173</v>
      </c>
      <c r="K136" s="357"/>
      <c r="L136" s="357"/>
      <c r="M136" s="357"/>
      <c r="N136" s="357"/>
      <c r="O136" s="357"/>
      <c r="P136" s="121">
        <f t="shared" si="7"/>
        <v>150</v>
      </c>
      <c r="Q136" s="29">
        <f>P136</f>
        <v>150</v>
      </c>
      <c r="S136" s="357" t="s">
        <v>173</v>
      </c>
      <c r="T136" s="357"/>
      <c r="U136" s="357"/>
      <c r="V136" s="357"/>
      <c r="W136" s="357"/>
      <c r="X136" s="357"/>
      <c r="Y136" s="121">
        <f t="shared" si="8"/>
        <v>150</v>
      </c>
      <c r="Z136" s="29">
        <f>Y136</f>
        <v>150</v>
      </c>
      <c r="AB136" s="357" t="s">
        <v>173</v>
      </c>
      <c r="AC136" s="357"/>
      <c r="AD136" s="357"/>
      <c r="AE136" s="357"/>
      <c r="AF136" s="357"/>
      <c r="AG136" s="357"/>
      <c r="AH136" s="121">
        <f t="shared" si="9"/>
        <v>150</v>
      </c>
      <c r="AI136" s="29">
        <f>AH136</f>
        <v>150</v>
      </c>
    </row>
    <row r="137" spans="1:35">
      <c r="A137" s="357" t="s">
        <v>174</v>
      </c>
      <c r="B137" s="357"/>
      <c r="C137" s="357"/>
      <c r="D137" s="357"/>
      <c r="E137" s="357"/>
      <c r="F137" s="357"/>
      <c r="G137" s="121">
        <f t="shared" si="6"/>
        <v>11282.849999999999</v>
      </c>
      <c r="H137" s="29">
        <f>(H135+H136)*20%</f>
        <v>13562.753000000001</v>
      </c>
      <c r="J137" s="357" t="s">
        <v>174</v>
      </c>
      <c r="K137" s="357"/>
      <c r="L137" s="357"/>
      <c r="M137" s="357"/>
      <c r="N137" s="357"/>
      <c r="O137" s="357"/>
      <c r="P137" s="121">
        <f t="shared" si="7"/>
        <v>11282.849999999999</v>
      </c>
      <c r="Q137" s="29">
        <f>(Q135+Q136)*20%</f>
        <v>5589.1679999999997</v>
      </c>
      <c r="S137" s="357" t="s">
        <v>174</v>
      </c>
      <c r="T137" s="357"/>
      <c r="U137" s="357"/>
      <c r="V137" s="357"/>
      <c r="W137" s="357"/>
      <c r="X137" s="357"/>
      <c r="Y137" s="121">
        <f t="shared" si="8"/>
        <v>11282.849999999999</v>
      </c>
      <c r="Z137" s="29">
        <f>(Z135+Z136)*20%</f>
        <v>11480.877095</v>
      </c>
      <c r="AB137" s="357" t="s">
        <v>174</v>
      </c>
      <c r="AC137" s="357"/>
      <c r="AD137" s="357"/>
      <c r="AE137" s="357"/>
      <c r="AF137" s="357"/>
      <c r="AG137" s="357"/>
      <c r="AH137" s="121">
        <f t="shared" si="9"/>
        <v>11282.849999999999</v>
      </c>
      <c r="AI137" s="29">
        <f>(AI135+AI136)*20%</f>
        <v>8350.2095000000008</v>
      </c>
    </row>
    <row r="138" spans="1:35">
      <c r="A138" s="357" t="s">
        <v>175</v>
      </c>
      <c r="B138" s="357"/>
      <c r="C138" s="357"/>
      <c r="D138" s="357"/>
      <c r="E138" s="357"/>
      <c r="F138" s="357"/>
      <c r="G138" s="121">
        <f t="shared" si="6"/>
        <v>0</v>
      </c>
      <c r="H138" s="29">
        <f>G138</f>
        <v>0</v>
      </c>
      <c r="J138" s="357" t="s">
        <v>175</v>
      </c>
      <c r="K138" s="357"/>
      <c r="L138" s="357"/>
      <c r="M138" s="357"/>
      <c r="N138" s="357"/>
      <c r="O138" s="357"/>
      <c r="P138" s="121">
        <f t="shared" si="7"/>
        <v>0</v>
      </c>
      <c r="Q138" s="29">
        <f>P138</f>
        <v>0</v>
      </c>
      <c r="S138" s="357" t="s">
        <v>175</v>
      </c>
      <c r="T138" s="357"/>
      <c r="U138" s="357"/>
      <c r="V138" s="357"/>
      <c r="W138" s="357"/>
      <c r="X138" s="357"/>
      <c r="Y138" s="121">
        <f t="shared" si="8"/>
        <v>0</v>
      </c>
      <c r="Z138" s="29">
        <f>Y138</f>
        <v>0</v>
      </c>
      <c r="AB138" s="357" t="s">
        <v>175</v>
      </c>
      <c r="AC138" s="357"/>
      <c r="AD138" s="357"/>
      <c r="AE138" s="357"/>
      <c r="AF138" s="357"/>
      <c r="AG138" s="357"/>
      <c r="AH138" s="121">
        <f t="shared" si="9"/>
        <v>0</v>
      </c>
      <c r="AI138" s="29">
        <f>AH138</f>
        <v>0</v>
      </c>
    </row>
    <row r="139" spans="1:35">
      <c r="A139" s="357" t="s">
        <v>176</v>
      </c>
      <c r="B139" s="357"/>
      <c r="C139" s="357"/>
      <c r="D139" s="357"/>
      <c r="E139" s="357"/>
      <c r="F139" s="357"/>
      <c r="G139" s="121">
        <f t="shared" si="6"/>
        <v>645</v>
      </c>
      <c r="H139" s="29">
        <f>G139</f>
        <v>645</v>
      </c>
      <c r="J139" s="357" t="s">
        <v>176</v>
      </c>
      <c r="K139" s="357"/>
      <c r="L139" s="357"/>
      <c r="M139" s="357"/>
      <c r="N139" s="357"/>
      <c r="O139" s="357"/>
      <c r="P139" s="121">
        <f t="shared" si="7"/>
        <v>645</v>
      </c>
      <c r="Q139" s="29">
        <f>P139</f>
        <v>645</v>
      </c>
      <c r="S139" s="357" t="s">
        <v>176</v>
      </c>
      <c r="T139" s="357"/>
      <c r="U139" s="357"/>
      <c r="V139" s="357"/>
      <c r="W139" s="357"/>
      <c r="X139" s="357"/>
      <c r="Y139" s="121">
        <f t="shared" si="8"/>
        <v>645</v>
      </c>
      <c r="Z139" s="29">
        <f>Y139</f>
        <v>645</v>
      </c>
      <c r="AB139" s="357" t="s">
        <v>176</v>
      </c>
      <c r="AC139" s="357"/>
      <c r="AD139" s="357"/>
      <c r="AE139" s="357"/>
      <c r="AF139" s="357"/>
      <c r="AG139" s="357"/>
      <c r="AH139" s="121">
        <f t="shared" si="9"/>
        <v>645</v>
      </c>
      <c r="AI139" s="29">
        <f>AH139</f>
        <v>645</v>
      </c>
    </row>
    <row r="140" spans="1:35">
      <c r="A140" s="357" t="s">
        <v>177</v>
      </c>
      <c r="B140" s="357"/>
      <c r="C140" s="357"/>
      <c r="D140" s="357"/>
      <c r="E140" s="357"/>
      <c r="F140" s="357"/>
      <c r="G140" s="121">
        <f t="shared" si="6"/>
        <v>55</v>
      </c>
      <c r="H140" s="29">
        <f>G140</f>
        <v>55</v>
      </c>
      <c r="J140" s="357" t="s">
        <v>177</v>
      </c>
      <c r="K140" s="357"/>
      <c r="L140" s="357"/>
      <c r="M140" s="357"/>
      <c r="N140" s="357"/>
      <c r="O140" s="357"/>
      <c r="P140" s="121">
        <f t="shared" si="7"/>
        <v>55</v>
      </c>
      <c r="Q140" s="29">
        <v>55</v>
      </c>
      <c r="S140" s="357" t="s">
        <v>177</v>
      </c>
      <c r="T140" s="357"/>
      <c r="U140" s="357"/>
      <c r="V140" s="357"/>
      <c r="W140" s="357"/>
      <c r="X140" s="357"/>
      <c r="Y140" s="121">
        <f t="shared" si="8"/>
        <v>55</v>
      </c>
      <c r="Z140" s="29">
        <v>55</v>
      </c>
      <c r="AB140" s="357" t="s">
        <v>177</v>
      </c>
      <c r="AC140" s="357"/>
      <c r="AD140" s="357"/>
      <c r="AE140" s="357"/>
      <c r="AF140" s="357"/>
      <c r="AG140" s="357"/>
      <c r="AH140" s="121">
        <f t="shared" si="9"/>
        <v>55</v>
      </c>
      <c r="AI140" s="29">
        <v>55</v>
      </c>
    </row>
    <row r="141" spans="1:35" ht="21">
      <c r="A141" s="357" t="s">
        <v>178</v>
      </c>
      <c r="B141" s="357"/>
      <c r="C141" s="357"/>
      <c r="D141" s="357"/>
      <c r="E141" s="357"/>
      <c r="F141" s="357"/>
      <c r="G141" s="123">
        <f t="shared" si="6"/>
        <v>68397.099999999991</v>
      </c>
      <c r="H141" s="122">
        <f>(H135+H136+H139+H140+H137)-H138</f>
        <v>82076.517999999996</v>
      </c>
      <c r="J141" s="357" t="s">
        <v>178</v>
      </c>
      <c r="K141" s="357"/>
      <c r="L141" s="357"/>
      <c r="M141" s="357"/>
      <c r="N141" s="357"/>
      <c r="O141" s="357"/>
      <c r="P141" s="123">
        <f t="shared" si="7"/>
        <v>68397.099999999991</v>
      </c>
      <c r="Q141" s="122">
        <f>(Q135+Q136+Q139+Q140+Q137)-Q138</f>
        <v>34235.007999999994</v>
      </c>
      <c r="S141" s="357" t="s">
        <v>178</v>
      </c>
      <c r="T141" s="357"/>
      <c r="U141" s="357"/>
      <c r="V141" s="357"/>
      <c r="W141" s="357"/>
      <c r="X141" s="357"/>
      <c r="Y141" s="123">
        <f t="shared" si="8"/>
        <v>68397.099999999991</v>
      </c>
      <c r="Z141" s="122">
        <f>(Z135+Z136+Z139+Z140+Z137)-Z138</f>
        <v>69585.262569999992</v>
      </c>
      <c r="AB141" s="357" t="s">
        <v>178</v>
      </c>
      <c r="AC141" s="357"/>
      <c r="AD141" s="357"/>
      <c r="AE141" s="357"/>
      <c r="AF141" s="357"/>
      <c r="AG141" s="357"/>
      <c r="AH141" s="123">
        <f t="shared" si="9"/>
        <v>68397.099999999991</v>
      </c>
      <c r="AI141" s="122">
        <f>(AI135+AI136+AI139+AI140+AI137)-AI138</f>
        <v>50801.256999999998</v>
      </c>
    </row>
    <row r="142" spans="1:35">
      <c r="A142" s="357" t="s">
        <v>179</v>
      </c>
      <c r="B142" s="357"/>
      <c r="C142" s="357"/>
      <c r="D142" s="357"/>
      <c r="E142" s="357"/>
      <c r="F142" s="357"/>
      <c r="G142" s="121">
        <f t="shared" si="6"/>
        <v>0</v>
      </c>
      <c r="H142" s="36">
        <f>G142</f>
        <v>0</v>
      </c>
      <c r="J142" s="357" t="s">
        <v>179</v>
      </c>
      <c r="K142" s="357"/>
      <c r="L142" s="357"/>
      <c r="M142" s="357"/>
      <c r="N142" s="357"/>
      <c r="O142" s="357"/>
      <c r="P142" s="121">
        <f t="shared" si="7"/>
        <v>0</v>
      </c>
      <c r="Q142" s="36">
        <f>P142</f>
        <v>0</v>
      </c>
      <c r="S142" s="357" t="s">
        <v>179</v>
      </c>
      <c r="T142" s="357"/>
      <c r="U142" s="357"/>
      <c r="V142" s="357"/>
      <c r="W142" s="357"/>
      <c r="X142" s="357"/>
      <c r="Y142" s="121">
        <f t="shared" si="8"/>
        <v>0</v>
      </c>
      <c r="Z142" s="36">
        <f>Y142</f>
        <v>0</v>
      </c>
      <c r="AB142" s="357" t="s">
        <v>179</v>
      </c>
      <c r="AC142" s="357"/>
      <c r="AD142" s="357"/>
      <c r="AE142" s="357"/>
      <c r="AF142" s="357"/>
      <c r="AG142" s="357"/>
      <c r="AH142" s="121">
        <f t="shared" si="9"/>
        <v>0</v>
      </c>
      <c r="AI142" s="36">
        <f>AH142</f>
        <v>0</v>
      </c>
    </row>
    <row r="143" spans="1:35">
      <c r="A143" s="358" t="s">
        <v>180</v>
      </c>
      <c r="B143" s="358"/>
      <c r="C143" s="358"/>
      <c r="D143" s="358"/>
      <c r="E143" s="358"/>
      <c r="F143" s="358"/>
      <c r="G143" s="34"/>
      <c r="H143" s="29"/>
      <c r="J143" s="358" t="s">
        <v>180</v>
      </c>
      <c r="K143" s="358"/>
      <c r="L143" s="358"/>
      <c r="M143" s="358"/>
      <c r="N143" s="358"/>
      <c r="O143" s="358"/>
      <c r="P143" s="34"/>
      <c r="Q143" s="29"/>
      <c r="S143" s="358" t="s">
        <v>180</v>
      </c>
      <c r="T143" s="358"/>
      <c r="U143" s="358"/>
      <c r="V143" s="358"/>
      <c r="W143" s="358"/>
      <c r="X143" s="358"/>
      <c r="Y143" s="34"/>
      <c r="Z143" s="29"/>
      <c r="AB143" s="358" t="s">
        <v>180</v>
      </c>
      <c r="AC143" s="358"/>
      <c r="AD143" s="358"/>
      <c r="AE143" s="358"/>
      <c r="AF143" s="358"/>
      <c r="AG143" s="358"/>
      <c r="AH143" s="34"/>
      <c r="AI143" s="29"/>
    </row>
    <row r="144" spans="1:35">
      <c r="A144" s="124" t="s">
        <v>26</v>
      </c>
      <c r="B144" s="360" t="s">
        <v>181</v>
      </c>
      <c r="C144" s="360"/>
      <c r="D144" s="360"/>
      <c r="E144" s="360"/>
      <c r="F144" s="360"/>
      <c r="G144" s="121">
        <f>H18</f>
        <v>0</v>
      </c>
      <c r="H144" s="36">
        <f>G144</f>
        <v>0</v>
      </c>
      <c r="J144" s="124" t="s">
        <v>26</v>
      </c>
      <c r="K144" s="360" t="s">
        <v>181</v>
      </c>
      <c r="L144" s="360"/>
      <c r="M144" s="360"/>
      <c r="N144" s="360"/>
      <c r="O144" s="360"/>
      <c r="P144" s="121">
        <f>H18</f>
        <v>0</v>
      </c>
      <c r="Q144" s="36">
        <f>P144</f>
        <v>0</v>
      </c>
      <c r="S144" s="124" t="s">
        <v>26</v>
      </c>
      <c r="T144" s="360" t="s">
        <v>181</v>
      </c>
      <c r="U144" s="360"/>
      <c r="V144" s="360"/>
      <c r="W144" s="360"/>
      <c r="X144" s="360"/>
      <c r="Y144" s="121">
        <f>H18</f>
        <v>0</v>
      </c>
      <c r="Z144" s="36">
        <f>Y144</f>
        <v>0</v>
      </c>
      <c r="AB144" s="124" t="s">
        <v>26</v>
      </c>
      <c r="AC144" s="360" t="s">
        <v>181</v>
      </c>
      <c r="AD144" s="360"/>
      <c r="AE144" s="360"/>
      <c r="AF144" s="360"/>
      <c r="AG144" s="360"/>
      <c r="AH144" s="121">
        <f>H18</f>
        <v>0</v>
      </c>
      <c r="AI144" s="36">
        <f>AH144</f>
        <v>0</v>
      </c>
    </row>
    <row r="145" spans="1:35">
      <c r="A145" s="124" t="s">
        <v>28</v>
      </c>
      <c r="B145" s="360" t="s">
        <v>181</v>
      </c>
      <c r="C145" s="360"/>
      <c r="D145" s="360"/>
      <c r="E145" s="360"/>
      <c r="F145" s="360"/>
      <c r="G145" s="121">
        <f>H19</f>
        <v>0</v>
      </c>
      <c r="H145" s="36">
        <f>G145</f>
        <v>0</v>
      </c>
      <c r="I145" s="4">
        <f>(G142+G145+G146+G144)</f>
        <v>0</v>
      </c>
      <c r="J145" s="124" t="s">
        <v>28</v>
      </c>
      <c r="K145" s="360" t="s">
        <v>181</v>
      </c>
      <c r="L145" s="360"/>
      <c r="M145" s="360"/>
      <c r="N145" s="360"/>
      <c r="O145" s="360"/>
      <c r="P145" s="121">
        <f>H19</f>
        <v>0</v>
      </c>
      <c r="Q145" s="36">
        <f>P145</f>
        <v>0</v>
      </c>
      <c r="S145" s="124" t="s">
        <v>28</v>
      </c>
      <c r="T145" s="360" t="s">
        <v>181</v>
      </c>
      <c r="U145" s="360"/>
      <c r="V145" s="360"/>
      <c r="W145" s="360"/>
      <c r="X145" s="360"/>
      <c r="Y145" s="121">
        <f>H19</f>
        <v>0</v>
      </c>
      <c r="Z145" s="36">
        <f>Y145</f>
        <v>0</v>
      </c>
      <c r="AB145" s="124" t="s">
        <v>28</v>
      </c>
      <c r="AC145" s="360" t="s">
        <v>181</v>
      </c>
      <c r="AD145" s="360"/>
      <c r="AE145" s="360"/>
      <c r="AF145" s="360"/>
      <c r="AG145" s="360"/>
      <c r="AH145" s="121">
        <f>H19</f>
        <v>0</v>
      </c>
      <c r="AI145" s="36">
        <f>AH145</f>
        <v>0</v>
      </c>
    </row>
    <row r="146" spans="1:35">
      <c r="A146" s="125" t="s">
        <v>29</v>
      </c>
      <c r="B146" s="361" t="s">
        <v>181</v>
      </c>
      <c r="C146" s="361"/>
      <c r="D146" s="361"/>
      <c r="E146" s="361"/>
      <c r="F146" s="361"/>
      <c r="G146" s="121">
        <f>H20</f>
        <v>0</v>
      </c>
      <c r="H146" s="36">
        <f>G146</f>
        <v>0</v>
      </c>
      <c r="I146" s="4">
        <f>(H142+H144+H145+H146)</f>
        <v>0</v>
      </c>
      <c r="J146" s="125" t="s">
        <v>29</v>
      </c>
      <c r="K146" s="361" t="s">
        <v>181</v>
      </c>
      <c r="L146" s="361"/>
      <c r="M146" s="361"/>
      <c r="N146" s="361"/>
      <c r="O146" s="361"/>
      <c r="P146" s="121">
        <f>H20</f>
        <v>0</v>
      </c>
      <c r="Q146" s="36">
        <f>P146</f>
        <v>0</v>
      </c>
      <c r="S146" s="125" t="s">
        <v>29</v>
      </c>
      <c r="T146" s="361" t="s">
        <v>181</v>
      </c>
      <c r="U146" s="361"/>
      <c r="V146" s="361"/>
      <c r="W146" s="361"/>
      <c r="X146" s="361"/>
      <c r="Y146" s="121">
        <f>H20</f>
        <v>0</v>
      </c>
      <c r="Z146" s="36">
        <f>Y146</f>
        <v>0</v>
      </c>
      <c r="AB146" s="125" t="s">
        <v>29</v>
      </c>
      <c r="AC146" s="361" t="s">
        <v>181</v>
      </c>
      <c r="AD146" s="361"/>
      <c r="AE146" s="361"/>
      <c r="AF146" s="361"/>
      <c r="AG146" s="361"/>
      <c r="AH146" s="121">
        <f>H20</f>
        <v>0</v>
      </c>
      <c r="AI146" s="36">
        <f>AH146</f>
        <v>0</v>
      </c>
    </row>
    <row r="147" spans="1:35" ht="21">
      <c r="A147" s="357" t="s">
        <v>182</v>
      </c>
      <c r="B147" s="357"/>
      <c r="C147" s="357"/>
      <c r="D147" s="357"/>
      <c r="E147" s="357"/>
      <c r="F147" s="357"/>
      <c r="G147" s="123">
        <f>G141-((G144*1.2)+(G145*1.2)+(G146*1.2)+(G142*1.2))</f>
        <v>68397.099999999991</v>
      </c>
      <c r="H147" s="126">
        <f>H141-((H144*1.2)+(H145*1.2)+(H146*1.2)+(H142*1.2))</f>
        <v>82076.517999999996</v>
      </c>
      <c r="J147" s="357" t="s">
        <v>182</v>
      </c>
      <c r="K147" s="357"/>
      <c r="L147" s="357"/>
      <c r="M147" s="357"/>
      <c r="N147" s="357"/>
      <c r="O147" s="357"/>
      <c r="P147" s="123">
        <f>P141-((P144*1.2)+(P145*1.2)+(P146*1.2)+(P142*1.2))</f>
        <v>68397.099999999991</v>
      </c>
      <c r="Q147" s="126">
        <f>Q141-((Q144*1.2)+(Q145*1.2)+(Q146*1.2)+(Q142*1.2))</f>
        <v>34235.007999999994</v>
      </c>
      <c r="S147" s="357" t="s">
        <v>182</v>
      </c>
      <c r="T147" s="357"/>
      <c r="U147" s="357"/>
      <c r="V147" s="357"/>
      <c r="W147" s="357"/>
      <c r="X147" s="357"/>
      <c r="Y147" s="123">
        <f>Y141-((Y144*1.2)+(Y145*1.2)+(Y146*1.2)+(Y142*1.2))</f>
        <v>68397.099999999991</v>
      </c>
      <c r="Z147" s="126">
        <f>Z141-((Z144*1.2)+(Z145*1.2)+(Z146*1.2)+(Z142*1.2))</f>
        <v>69585.262569999992</v>
      </c>
      <c r="AB147" s="357" t="s">
        <v>182</v>
      </c>
      <c r="AC147" s="357"/>
      <c r="AD147" s="357"/>
      <c r="AE147" s="357"/>
      <c r="AF147" s="357"/>
      <c r="AG147" s="357"/>
      <c r="AH147" s="123">
        <f>AH141-((AH144*1.2)+(AH145*1.2)+(AH146*1.2)+(AH142*1.2))</f>
        <v>68397.099999999991</v>
      </c>
      <c r="AI147" s="126">
        <f>AI141-((AI144*1.2)+(AI145*1.2)+(AI146*1.2)+(AI142*1.2))</f>
        <v>50801.256999999998</v>
      </c>
    </row>
    <row r="148" spans="1:35">
      <c r="A148" s="357" t="s">
        <v>183</v>
      </c>
      <c r="B148" s="357"/>
      <c r="C148" s="357"/>
      <c r="D148" s="357"/>
      <c r="E148" s="357"/>
      <c r="F148" s="357"/>
      <c r="G148" s="121"/>
      <c r="H148" s="36">
        <f>((H147-G147)-(H137-G137))+((I146-I145)*0.2)</f>
        <v>11399.515000000003</v>
      </c>
      <c r="I148" s="4">
        <f>(H148-G81)/1.2</f>
        <v>-48064.169166666667</v>
      </c>
      <c r="J148" s="357" t="s">
        <v>183</v>
      </c>
      <c r="K148" s="357"/>
      <c r="L148" s="357"/>
      <c r="M148" s="357"/>
      <c r="N148" s="357"/>
      <c r="O148" s="357"/>
      <c r="P148" s="121"/>
      <c r="Q148" s="36">
        <f>Q147-P147</f>
        <v>-34162.091999999997</v>
      </c>
      <c r="S148" s="357" t="s">
        <v>183</v>
      </c>
      <c r="T148" s="357"/>
      <c r="U148" s="357"/>
      <c r="V148" s="357"/>
      <c r="W148" s="357"/>
      <c r="X148" s="357"/>
      <c r="Y148" s="121"/>
      <c r="Z148" s="36">
        <f>Z147-Y147</f>
        <v>1188.1625700000004</v>
      </c>
      <c r="AB148" s="357" t="s">
        <v>183</v>
      </c>
      <c r="AC148" s="357"/>
      <c r="AD148" s="357"/>
      <c r="AE148" s="357"/>
      <c r="AF148" s="357"/>
      <c r="AG148" s="357"/>
      <c r="AH148" s="121"/>
      <c r="AI148" s="36">
        <f>AI147-AH147</f>
        <v>-17595.842999999993</v>
      </c>
    </row>
    <row r="149" spans="1:35">
      <c r="A149" s="27"/>
      <c r="B149" s="28"/>
      <c r="C149" s="28"/>
      <c r="D149" s="28"/>
      <c r="E149" s="21"/>
      <c r="F149" s="21"/>
      <c r="G149" s="21"/>
      <c r="H149" s="29"/>
      <c r="J149" s="27"/>
      <c r="K149" s="28"/>
      <c r="L149" s="28"/>
      <c r="M149" s="28"/>
      <c r="N149" s="21"/>
      <c r="O149" s="21"/>
      <c r="P149" s="21"/>
      <c r="Q149" s="29"/>
      <c r="S149" s="27"/>
      <c r="T149" s="28"/>
      <c r="U149" s="28"/>
      <c r="V149" s="28"/>
      <c r="W149" s="21"/>
      <c r="X149" s="21"/>
      <c r="Y149" s="21"/>
      <c r="Z149" s="29"/>
      <c r="AB149" s="27"/>
      <c r="AC149" s="28"/>
      <c r="AD149" s="28"/>
      <c r="AE149" s="28"/>
      <c r="AF149" s="21"/>
      <c r="AG149" s="21"/>
      <c r="AH149" s="21"/>
      <c r="AI149" s="29"/>
    </row>
    <row r="150" spans="1:35" ht="23.25">
      <c r="A150" s="335" t="s">
        <v>184</v>
      </c>
      <c r="B150" s="335"/>
      <c r="C150" s="335"/>
      <c r="D150" s="335"/>
      <c r="E150" s="335"/>
      <c r="F150" s="335"/>
      <c r="G150" s="335"/>
      <c r="H150" s="335"/>
      <c r="J150" s="335" t="s">
        <v>184</v>
      </c>
      <c r="K150" s="335"/>
      <c r="L150" s="335"/>
      <c r="M150" s="335"/>
      <c r="N150" s="335"/>
      <c r="O150" s="335"/>
      <c r="P150" s="335"/>
      <c r="Q150" s="335"/>
      <c r="S150" s="335" t="s">
        <v>184</v>
      </c>
      <c r="T150" s="335"/>
      <c r="U150" s="335"/>
      <c r="V150" s="335"/>
      <c r="W150" s="335"/>
      <c r="X150" s="335"/>
      <c r="Y150" s="335"/>
      <c r="Z150" s="335"/>
      <c r="AB150" s="335" t="s">
        <v>184</v>
      </c>
      <c r="AC150" s="335"/>
      <c r="AD150" s="335"/>
      <c r="AE150" s="335"/>
      <c r="AF150" s="335"/>
      <c r="AG150" s="335"/>
      <c r="AH150" s="335"/>
      <c r="AI150" s="335"/>
    </row>
    <row r="151" spans="1:35">
      <c r="A151" s="27"/>
      <c r="B151" s="28"/>
      <c r="C151" s="28"/>
      <c r="D151" s="28"/>
      <c r="E151" s="21"/>
      <c r="F151" s="21"/>
      <c r="G151" s="21"/>
      <c r="H151" s="29"/>
      <c r="J151" s="27"/>
      <c r="K151" s="28"/>
      <c r="L151" s="28"/>
      <c r="M151" s="28"/>
      <c r="N151" s="21"/>
      <c r="O151" s="21"/>
      <c r="P151" s="21"/>
      <c r="Q151" s="29"/>
      <c r="S151" s="27"/>
      <c r="T151" s="28"/>
      <c r="U151" s="28"/>
      <c r="V151" s="28"/>
      <c r="W151" s="21"/>
      <c r="X151" s="21"/>
      <c r="Y151" s="21"/>
      <c r="Z151" s="29"/>
      <c r="AB151" s="27"/>
      <c r="AC151" s="28"/>
      <c r="AD151" s="28"/>
      <c r="AE151" s="28"/>
      <c r="AF151" s="21"/>
      <c r="AG151" s="21"/>
      <c r="AH151" s="21"/>
      <c r="AI151" s="29"/>
    </row>
    <row r="152" spans="1:35">
      <c r="A152" s="27" t="s">
        <v>185</v>
      </c>
      <c r="B152" s="28"/>
      <c r="C152" s="28"/>
      <c r="D152" s="21"/>
      <c r="E152" s="348">
        <v>0</v>
      </c>
      <c r="F152" s="348"/>
      <c r="G152" s="348">
        <v>0</v>
      </c>
      <c r="H152" s="348"/>
      <c r="J152" s="27" t="s">
        <v>185</v>
      </c>
      <c r="K152" s="28"/>
      <c r="L152" s="28"/>
      <c r="M152" s="21"/>
      <c r="N152" s="348">
        <v>10000</v>
      </c>
      <c r="O152" s="348"/>
      <c r="P152" s="348">
        <v>5000</v>
      </c>
      <c r="Q152" s="348"/>
      <c r="S152" s="27" t="s">
        <v>185</v>
      </c>
      <c r="T152" s="28"/>
      <c r="U152" s="28"/>
      <c r="V152" s="21"/>
      <c r="W152" s="348">
        <v>10000</v>
      </c>
      <c r="X152" s="348"/>
      <c r="Y152" s="348">
        <v>5000</v>
      </c>
      <c r="Z152" s="348"/>
      <c r="AB152" s="27" t="s">
        <v>185</v>
      </c>
      <c r="AC152" s="28"/>
      <c r="AD152" s="28"/>
      <c r="AE152" s="21"/>
      <c r="AF152" s="348">
        <v>10000</v>
      </c>
      <c r="AG152" s="348"/>
      <c r="AH152" s="348">
        <v>5000</v>
      </c>
      <c r="AI152" s="348"/>
    </row>
    <row r="153" spans="1:35">
      <c r="A153" s="27" t="s">
        <v>186</v>
      </c>
      <c r="B153" s="28"/>
      <c r="C153" s="28"/>
      <c r="D153" s="21"/>
      <c r="E153" s="363">
        <f>G153</f>
        <v>0</v>
      </c>
      <c r="F153" s="363"/>
      <c r="G153" s="348">
        <v>0</v>
      </c>
      <c r="H153" s="348"/>
      <c r="J153" s="27" t="s">
        <v>186</v>
      </c>
      <c r="K153" s="28"/>
      <c r="L153" s="28"/>
      <c r="M153" s="21"/>
      <c r="N153" s="363">
        <f>P153</f>
        <v>7000</v>
      </c>
      <c r="O153" s="363"/>
      <c r="P153" s="348">
        <v>7000</v>
      </c>
      <c r="Q153" s="348"/>
      <c r="S153" s="27" t="s">
        <v>186</v>
      </c>
      <c r="T153" s="28"/>
      <c r="U153" s="28"/>
      <c r="V153" s="21"/>
      <c r="W153" s="363">
        <f>Y153</f>
        <v>7000</v>
      </c>
      <c r="X153" s="363"/>
      <c r="Y153" s="348">
        <v>7000</v>
      </c>
      <c r="Z153" s="348"/>
      <c r="AB153" s="27" t="s">
        <v>186</v>
      </c>
      <c r="AC153" s="28"/>
      <c r="AD153" s="28"/>
      <c r="AE153" s="21"/>
      <c r="AF153" s="363">
        <f>AH153</f>
        <v>7000</v>
      </c>
      <c r="AG153" s="363"/>
      <c r="AH153" s="348">
        <v>7000</v>
      </c>
      <c r="AI153" s="348"/>
    </row>
    <row r="154" spans="1:35">
      <c r="A154" s="27" t="s">
        <v>187</v>
      </c>
      <c r="B154" s="28"/>
      <c r="C154" s="28"/>
      <c r="D154" s="21"/>
      <c r="E154" s="363">
        <f>E152-E153</f>
        <v>0</v>
      </c>
      <c r="F154" s="363"/>
      <c r="G154" s="364">
        <f>G152-G153</f>
        <v>0</v>
      </c>
      <c r="H154" s="364"/>
      <c r="J154" s="27" t="s">
        <v>187</v>
      </c>
      <c r="K154" s="28"/>
      <c r="L154" s="28"/>
      <c r="M154" s="21"/>
      <c r="N154" s="363">
        <f>N152-N153</f>
        <v>3000</v>
      </c>
      <c r="O154" s="363"/>
      <c r="P154" s="364">
        <f>P152-P153</f>
        <v>-2000</v>
      </c>
      <c r="Q154" s="364"/>
      <c r="S154" s="27" t="s">
        <v>187</v>
      </c>
      <c r="T154" s="28"/>
      <c r="U154" s="28"/>
      <c r="V154" s="21"/>
      <c r="W154" s="363">
        <f>W152-W153</f>
        <v>3000</v>
      </c>
      <c r="X154" s="363"/>
      <c r="Y154" s="364">
        <f>Y152-Y153</f>
        <v>-2000</v>
      </c>
      <c r="Z154" s="364"/>
      <c r="AB154" s="27" t="s">
        <v>187</v>
      </c>
      <c r="AC154" s="28"/>
      <c r="AD154" s="28"/>
      <c r="AE154" s="21"/>
      <c r="AF154" s="363">
        <f>AF152-AF153</f>
        <v>3000</v>
      </c>
      <c r="AG154" s="363"/>
      <c r="AH154" s="364">
        <f>AH152-AH153</f>
        <v>-2000</v>
      </c>
      <c r="AI154" s="364"/>
    </row>
    <row r="155" spans="1:35">
      <c r="A155" s="27" t="s">
        <v>188</v>
      </c>
      <c r="B155" s="28"/>
      <c r="C155" s="28"/>
      <c r="D155" s="21"/>
      <c r="E155" s="363">
        <f>E154-G154</f>
        <v>0</v>
      </c>
      <c r="F155" s="363"/>
      <c r="G155" s="21"/>
      <c r="H155" s="29"/>
      <c r="J155" s="27" t="s">
        <v>188</v>
      </c>
      <c r="K155" s="28"/>
      <c r="L155" s="28"/>
      <c r="M155" s="21"/>
      <c r="N155" s="363">
        <f>N154-P154</f>
        <v>5000</v>
      </c>
      <c r="O155" s="363"/>
      <c r="P155" s="21"/>
      <c r="Q155" s="29"/>
      <c r="S155" s="27" t="s">
        <v>188</v>
      </c>
      <c r="T155" s="28"/>
      <c r="U155" s="28"/>
      <c r="V155" s="21"/>
      <c r="W155" s="363">
        <f>W154-Y154</f>
        <v>5000</v>
      </c>
      <c r="X155" s="363"/>
      <c r="Y155" s="21"/>
      <c r="Z155" s="29"/>
      <c r="AB155" s="27" t="s">
        <v>188</v>
      </c>
      <c r="AC155" s="28"/>
      <c r="AD155" s="28"/>
      <c r="AE155" s="21"/>
      <c r="AF155" s="363">
        <f>AF154-AH154</f>
        <v>5000</v>
      </c>
      <c r="AG155" s="363"/>
      <c r="AH155" s="21"/>
      <c r="AI155" s="29"/>
    </row>
    <row r="156" spans="1:35">
      <c r="A156" s="22" t="s">
        <v>189</v>
      </c>
      <c r="B156" s="23"/>
      <c r="C156" s="23"/>
      <c r="D156" s="63"/>
      <c r="E156" s="23"/>
      <c r="F156" s="63"/>
      <c r="G156" s="128" t="s">
        <v>10</v>
      </c>
      <c r="H156" s="36">
        <v>0</v>
      </c>
      <c r="J156" s="27"/>
      <c r="K156" s="28"/>
      <c r="L156" s="28"/>
      <c r="M156" s="21"/>
      <c r="N156" s="28"/>
      <c r="O156" s="21"/>
      <c r="P156" s="21"/>
      <c r="Q156" s="29"/>
      <c r="S156" s="27"/>
      <c r="T156" s="28"/>
      <c r="U156" s="28"/>
      <c r="V156" s="21"/>
      <c r="W156" s="28"/>
      <c r="X156" s="21"/>
      <c r="Y156" s="21"/>
      <c r="Z156" s="29"/>
      <c r="AB156" s="27"/>
      <c r="AC156" s="28"/>
      <c r="AD156" s="28"/>
      <c r="AE156" s="21"/>
      <c r="AF156" s="28"/>
      <c r="AG156" s="21"/>
      <c r="AH156" s="21"/>
      <c r="AI156" s="29"/>
    </row>
    <row r="157" spans="1:35">
      <c r="A157" s="22" t="s">
        <v>190</v>
      </c>
      <c r="B157" s="23"/>
      <c r="C157" s="23"/>
      <c r="D157" s="63"/>
      <c r="E157" s="23"/>
      <c r="F157" s="63"/>
      <c r="G157" s="365">
        <f>A114</f>
        <v>13000</v>
      </c>
      <c r="H157" s="365"/>
      <c r="J157" s="22" t="s">
        <v>190</v>
      </c>
      <c r="K157" s="23"/>
      <c r="L157" s="23"/>
      <c r="M157" s="63"/>
      <c r="N157" s="23"/>
      <c r="O157" s="63"/>
      <c r="P157" s="365">
        <f>J114</f>
        <v>1000</v>
      </c>
      <c r="Q157" s="365"/>
      <c r="S157" s="22" t="s">
        <v>190</v>
      </c>
      <c r="T157" s="23"/>
      <c r="U157" s="23"/>
      <c r="V157" s="63"/>
      <c r="W157" s="23"/>
      <c r="X157" s="63"/>
      <c r="Y157" s="365">
        <f>S114</f>
        <v>1000</v>
      </c>
      <c r="Z157" s="365"/>
      <c r="AB157" s="22" t="s">
        <v>190</v>
      </c>
      <c r="AC157" s="23"/>
      <c r="AD157" s="23"/>
      <c r="AE157" s="63"/>
      <c r="AF157" s="23"/>
      <c r="AG157" s="63"/>
      <c r="AH157" s="365">
        <f>AB114</f>
        <v>1000</v>
      </c>
      <c r="AI157" s="365"/>
    </row>
    <row r="158" spans="1:35" ht="21">
      <c r="A158" s="129" t="s">
        <v>191</v>
      </c>
      <c r="B158" s="28"/>
      <c r="C158" s="28"/>
      <c r="D158" s="21"/>
      <c r="E158" s="28"/>
      <c r="F158" s="21"/>
      <c r="G158" s="366">
        <f>H147-G154-G157+H156</f>
        <v>69076.517999999996</v>
      </c>
      <c r="H158" s="366"/>
      <c r="J158" s="129" t="s">
        <v>191</v>
      </c>
      <c r="K158" s="28"/>
      <c r="L158" s="28"/>
      <c r="M158" s="21"/>
      <c r="N158" s="28"/>
      <c r="O158" s="21"/>
      <c r="P158" s="366">
        <f>Q147-P154-P157</f>
        <v>35235.007999999994</v>
      </c>
      <c r="Q158" s="366"/>
      <c r="S158" s="129" t="s">
        <v>191</v>
      </c>
      <c r="T158" s="28"/>
      <c r="U158" s="28"/>
      <c r="V158" s="21"/>
      <c r="W158" s="28"/>
      <c r="X158" s="21"/>
      <c r="Y158" s="366">
        <f>Z147-Y154-Y157</f>
        <v>70585.262569999992</v>
      </c>
      <c r="Z158" s="366"/>
      <c r="AB158" s="129" t="s">
        <v>191</v>
      </c>
      <c r="AC158" s="28"/>
      <c r="AD158" s="28"/>
      <c r="AE158" s="21"/>
      <c r="AF158" s="28"/>
      <c r="AG158" s="21"/>
      <c r="AH158" s="366">
        <f>AI147-AH154-AH157</f>
        <v>51801.256999999998</v>
      </c>
      <c r="AI158" s="366"/>
    </row>
    <row r="159" spans="1:35">
      <c r="A159" s="49" t="s">
        <v>66</v>
      </c>
      <c r="B159" s="50"/>
      <c r="C159" s="50"/>
      <c r="D159" s="85"/>
      <c r="E159" s="50"/>
      <c r="F159" s="85"/>
      <c r="G159" s="367">
        <f>B114</f>
        <v>199.99166666666667</v>
      </c>
      <c r="H159" s="367"/>
      <c r="J159" s="49" t="s">
        <v>66</v>
      </c>
      <c r="K159" s="50"/>
      <c r="L159" s="50"/>
      <c r="M159" s="85"/>
      <c r="N159" s="50"/>
      <c r="O159" s="85"/>
      <c r="P159" s="367">
        <f>K114</f>
        <v>239.99</v>
      </c>
      <c r="Q159" s="367"/>
      <c r="S159" s="49" t="s">
        <v>66</v>
      </c>
      <c r="T159" s="50"/>
      <c r="U159" s="50"/>
      <c r="V159" s="85"/>
      <c r="W159" s="50"/>
      <c r="X159" s="85"/>
      <c r="Y159" s="367">
        <f>T114</f>
        <v>199.99</v>
      </c>
      <c r="Z159" s="367"/>
      <c r="AB159" s="49" t="s">
        <v>66</v>
      </c>
      <c r="AC159" s="50"/>
      <c r="AD159" s="50"/>
      <c r="AE159" s="85"/>
      <c r="AF159" s="50"/>
      <c r="AG159" s="85"/>
      <c r="AH159" s="367">
        <f>AC114</f>
        <v>239.99</v>
      </c>
      <c r="AI159" s="367"/>
    </row>
    <row r="160" spans="1:35">
      <c r="A160" s="27"/>
      <c r="B160" s="28"/>
      <c r="C160" s="28"/>
      <c r="D160" s="28"/>
      <c r="E160" s="21"/>
      <c r="F160" s="21"/>
      <c r="G160" s="21"/>
      <c r="H160" s="29"/>
      <c r="J160" s="27"/>
      <c r="K160" s="28"/>
      <c r="L160" s="28"/>
      <c r="M160" s="28"/>
      <c r="N160" s="21"/>
      <c r="O160" s="21"/>
      <c r="P160" s="21"/>
      <c r="Q160" s="29"/>
      <c r="S160" s="27"/>
      <c r="T160" s="28"/>
      <c r="U160" s="28"/>
      <c r="V160" s="28"/>
      <c r="W160" s="21"/>
      <c r="X160" s="21"/>
      <c r="Y160" s="21"/>
      <c r="Z160" s="29"/>
      <c r="AB160" s="27"/>
      <c r="AC160" s="28"/>
      <c r="AD160" s="28"/>
      <c r="AE160" s="28"/>
      <c r="AF160" s="21"/>
      <c r="AG160" s="21"/>
      <c r="AH160" s="21"/>
      <c r="AI160" s="29"/>
    </row>
    <row r="161" spans="1:35">
      <c r="A161" s="27"/>
      <c r="B161" s="28"/>
      <c r="C161" s="28"/>
      <c r="D161" s="28"/>
      <c r="E161" s="21"/>
      <c r="F161" s="21"/>
      <c r="G161" s="21"/>
      <c r="H161" s="29"/>
      <c r="J161" s="27"/>
      <c r="K161" s="28"/>
      <c r="L161" s="28"/>
      <c r="M161" s="28"/>
      <c r="N161" s="21"/>
      <c r="O161" s="21"/>
      <c r="P161" s="21"/>
      <c r="Q161" s="29"/>
      <c r="S161" s="27"/>
      <c r="T161" s="28"/>
      <c r="U161" s="28"/>
      <c r="V161" s="28"/>
      <c r="W161" s="21"/>
      <c r="X161" s="21"/>
      <c r="Y161" s="21"/>
      <c r="Z161" s="29"/>
      <c r="AB161" s="27"/>
      <c r="AC161" s="28"/>
      <c r="AD161" s="28"/>
      <c r="AE161" s="28"/>
      <c r="AF161" s="21"/>
      <c r="AG161" s="21"/>
      <c r="AH161" s="21"/>
      <c r="AI161" s="29"/>
    </row>
    <row r="162" spans="1:35" ht="23.25">
      <c r="A162" s="335" t="s">
        <v>192</v>
      </c>
      <c r="B162" s="335"/>
      <c r="C162" s="335"/>
      <c r="D162" s="335"/>
      <c r="E162" s="335"/>
      <c r="F162" s="335"/>
      <c r="G162" s="335"/>
      <c r="H162" s="335"/>
      <c r="J162" s="335" t="s">
        <v>192</v>
      </c>
      <c r="K162" s="335"/>
      <c r="L162" s="335"/>
      <c r="M162" s="335"/>
      <c r="N162" s="335"/>
      <c r="O162" s="335"/>
      <c r="P162" s="335"/>
      <c r="Q162" s="335"/>
      <c r="S162" s="335" t="s">
        <v>192</v>
      </c>
      <c r="T162" s="335"/>
      <c r="U162" s="335"/>
      <c r="V162" s="335"/>
      <c r="W162" s="335"/>
      <c r="X162" s="335"/>
      <c r="Y162" s="335"/>
      <c r="Z162" s="335"/>
      <c r="AB162" s="335" t="s">
        <v>192</v>
      </c>
      <c r="AC162" s="335"/>
      <c r="AD162" s="335"/>
      <c r="AE162" s="335"/>
      <c r="AF162" s="335"/>
      <c r="AG162" s="335"/>
      <c r="AH162" s="335"/>
      <c r="AI162" s="335"/>
    </row>
    <row r="163" spans="1:35">
      <c r="A163" s="27"/>
      <c r="B163" s="28"/>
      <c r="C163" s="28"/>
      <c r="D163" s="28"/>
      <c r="E163" s="21"/>
      <c r="F163" s="21"/>
      <c r="G163" s="21"/>
      <c r="H163" s="29"/>
      <c r="J163" s="27"/>
      <c r="K163" s="28"/>
      <c r="L163" s="28"/>
      <c r="M163" s="28"/>
      <c r="N163" s="21"/>
      <c r="O163" s="21"/>
      <c r="P163" s="21"/>
      <c r="Q163" s="29"/>
      <c r="S163" s="27"/>
      <c r="T163" s="28"/>
      <c r="U163" s="28"/>
      <c r="V163" s="28"/>
      <c r="W163" s="21"/>
      <c r="X163" s="21"/>
      <c r="Y163" s="21"/>
      <c r="Z163" s="29"/>
      <c r="AB163" s="27"/>
      <c r="AC163" s="28"/>
      <c r="AD163" s="28"/>
      <c r="AE163" s="28"/>
      <c r="AF163" s="21"/>
      <c r="AG163" s="21"/>
      <c r="AH163" s="21"/>
      <c r="AI163" s="29"/>
    </row>
    <row r="164" spans="1:35">
      <c r="A164" s="27" t="s">
        <v>193</v>
      </c>
      <c r="B164" s="368">
        <v>0</v>
      </c>
      <c r="C164" s="368"/>
      <c r="D164" s="28"/>
      <c r="E164" s="21"/>
      <c r="F164" s="21"/>
      <c r="G164" s="21"/>
      <c r="H164" s="29"/>
      <c r="J164" s="27" t="s">
        <v>193</v>
      </c>
      <c r="K164" s="368">
        <v>0</v>
      </c>
      <c r="L164" s="368"/>
      <c r="M164" s="28"/>
      <c r="N164" s="21"/>
      <c r="O164" s="21"/>
      <c r="P164" s="21"/>
      <c r="Q164" s="29"/>
      <c r="S164" s="27" t="s">
        <v>193</v>
      </c>
      <c r="T164" s="368">
        <v>0</v>
      </c>
      <c r="U164" s="368"/>
      <c r="V164" s="28"/>
      <c r="W164" s="21"/>
      <c r="X164" s="21"/>
      <c r="Y164" s="21"/>
      <c r="Z164" s="29"/>
      <c r="AB164" s="27" t="s">
        <v>193</v>
      </c>
      <c r="AC164" s="368">
        <v>0</v>
      </c>
      <c r="AD164" s="368"/>
      <c r="AE164" s="28"/>
      <c r="AF164" s="21"/>
      <c r="AG164" s="21"/>
      <c r="AH164" s="21"/>
      <c r="AI164" s="29"/>
    </row>
    <row r="165" spans="1:35">
      <c r="A165" s="27"/>
      <c r="B165" s="28"/>
      <c r="C165" s="28"/>
      <c r="D165" s="28"/>
      <c r="E165" s="21"/>
      <c r="F165" s="21"/>
      <c r="G165" s="21"/>
      <c r="H165" s="29"/>
      <c r="J165" s="27"/>
      <c r="K165" s="28"/>
      <c r="L165" s="28"/>
      <c r="M165" s="28"/>
      <c r="N165" s="21"/>
      <c r="O165" s="21"/>
      <c r="P165" s="21"/>
      <c r="Q165" s="29"/>
      <c r="S165" s="27"/>
      <c r="T165" s="28"/>
      <c r="U165" s="28"/>
      <c r="V165" s="28"/>
      <c r="W165" s="21"/>
      <c r="X165" s="21"/>
      <c r="Y165" s="21"/>
      <c r="Z165" s="29"/>
      <c r="AB165" s="27"/>
      <c r="AC165" s="28"/>
      <c r="AD165" s="28"/>
      <c r="AE165" s="28"/>
      <c r="AF165" s="21"/>
      <c r="AG165" s="21"/>
      <c r="AH165" s="21"/>
      <c r="AI165" s="29"/>
    </row>
    <row r="166" spans="1:35">
      <c r="A166" s="130" t="s">
        <v>194</v>
      </c>
      <c r="B166" s="131" t="s">
        <v>195</v>
      </c>
      <c r="C166" s="131"/>
      <c r="D166" s="131"/>
      <c r="E166" s="131" t="s">
        <v>196</v>
      </c>
      <c r="F166" s="21"/>
      <c r="G166" s="21" t="s">
        <v>197</v>
      </c>
      <c r="H166" s="29"/>
      <c r="J166" s="130" t="s">
        <v>194</v>
      </c>
      <c r="K166" s="131" t="s">
        <v>195</v>
      </c>
      <c r="L166" s="131"/>
      <c r="M166" s="131"/>
      <c r="N166" s="131" t="s">
        <v>196</v>
      </c>
      <c r="O166" s="21"/>
      <c r="P166" s="21"/>
      <c r="Q166" s="29"/>
      <c r="S166" s="130" t="s">
        <v>194</v>
      </c>
      <c r="T166" s="131" t="s">
        <v>195</v>
      </c>
      <c r="U166" s="131"/>
      <c r="V166" s="131"/>
      <c r="W166" s="131" t="s">
        <v>196</v>
      </c>
      <c r="X166" s="21"/>
      <c r="Y166" s="21"/>
      <c r="Z166" s="29"/>
      <c r="AB166" s="130" t="s">
        <v>194</v>
      </c>
      <c r="AC166" s="131" t="s">
        <v>195</v>
      </c>
      <c r="AD166" s="131"/>
      <c r="AE166" s="131"/>
      <c r="AF166" s="131" t="s">
        <v>196</v>
      </c>
      <c r="AG166" s="21"/>
      <c r="AH166" s="21"/>
      <c r="AI166" s="29"/>
    </row>
    <row r="167" spans="1:35">
      <c r="A167" s="132">
        <f>B95</f>
        <v>2131.0476746788231</v>
      </c>
      <c r="B167" s="133">
        <f>B94</f>
        <v>219.90705882352941</v>
      </c>
      <c r="C167" s="131"/>
      <c r="D167" s="131"/>
      <c r="E167" s="133">
        <f>B96</f>
        <v>2350.9547335023526</v>
      </c>
      <c r="F167" s="21"/>
      <c r="G167" s="21">
        <f>ROUND(G95,2)</f>
        <v>1948.51</v>
      </c>
      <c r="H167" s="29"/>
      <c r="J167" s="132">
        <f>K95</f>
        <v>1409.4781608537546</v>
      </c>
      <c r="K167" s="133">
        <f>K94</f>
        <v>277.71119999999996</v>
      </c>
      <c r="L167" s="131"/>
      <c r="M167" s="131"/>
      <c r="N167" s="133">
        <f>K96</f>
        <v>1687.1893608537546</v>
      </c>
      <c r="O167" s="21"/>
      <c r="P167" s="21"/>
      <c r="Q167" s="29"/>
      <c r="S167" s="132">
        <f>T95</f>
        <v>2225.287201507032</v>
      </c>
      <c r="T167" s="133">
        <f>T94</f>
        <v>219.90705882352941</v>
      </c>
      <c r="U167" s="131"/>
      <c r="V167" s="131"/>
      <c r="W167" s="133">
        <f>T96</f>
        <v>2445.1942603305615</v>
      </c>
      <c r="X167" s="21"/>
      <c r="Y167" s="21"/>
      <c r="Z167" s="29"/>
      <c r="AB167" s="132">
        <f>AC95</f>
        <v>1560.9830440158762</v>
      </c>
      <c r="AC167" s="133">
        <f>AC94</f>
        <v>263.88847058823529</v>
      </c>
      <c r="AD167" s="131"/>
      <c r="AE167" s="131"/>
      <c r="AF167" s="133">
        <f>AC96</f>
        <v>1824.8715146041116</v>
      </c>
      <c r="AG167" s="21"/>
      <c r="AH167" s="21"/>
      <c r="AI167" s="29"/>
    </row>
    <row r="168" spans="1:35">
      <c r="A168" s="27"/>
      <c r="B168" s="28"/>
      <c r="C168" s="28"/>
      <c r="D168" s="28"/>
      <c r="E168" s="21"/>
      <c r="F168" s="21"/>
      <c r="G168" s="21"/>
      <c r="H168" s="29"/>
      <c r="J168" s="27"/>
      <c r="K168" s="28"/>
      <c r="L168" s="28"/>
      <c r="M168" s="28"/>
      <c r="N168" s="21"/>
      <c r="O168" s="21"/>
      <c r="P168" s="21"/>
      <c r="Q168" s="29"/>
      <c r="S168" s="27"/>
      <c r="T168" s="28"/>
      <c r="U168" s="28"/>
      <c r="V168" s="28"/>
      <c r="W168" s="21"/>
      <c r="X168" s="21"/>
      <c r="Y168" s="21"/>
      <c r="Z168" s="29"/>
      <c r="AB168" s="27"/>
      <c r="AC168" s="28"/>
      <c r="AD168" s="28"/>
      <c r="AE168" s="28"/>
      <c r="AF168" s="21"/>
      <c r="AG168" s="21"/>
      <c r="AH168" s="21"/>
      <c r="AI168" s="29"/>
    </row>
    <row r="169" spans="1:35">
      <c r="A169" s="27" t="s">
        <v>94</v>
      </c>
      <c r="B169" s="28" t="s">
        <v>95</v>
      </c>
      <c r="C169" s="28"/>
      <c r="D169" s="21"/>
      <c r="E169" s="28" t="s">
        <v>198</v>
      </c>
      <c r="F169" s="21"/>
      <c r="G169" s="21"/>
      <c r="H169" s="29"/>
      <c r="J169" s="27" t="s">
        <v>94</v>
      </c>
      <c r="K169" s="28" t="s">
        <v>95</v>
      </c>
      <c r="L169" s="28"/>
      <c r="M169" s="21"/>
      <c r="N169" s="28" t="s">
        <v>198</v>
      </c>
      <c r="O169" s="21"/>
      <c r="P169" s="21"/>
      <c r="Q169" s="29"/>
      <c r="S169" s="27" t="s">
        <v>94</v>
      </c>
      <c r="T169" s="28" t="s">
        <v>95</v>
      </c>
      <c r="U169" s="28"/>
      <c r="V169" s="21"/>
      <c r="W169" s="28" t="s">
        <v>198</v>
      </c>
      <c r="X169" s="21"/>
      <c r="Y169" s="21"/>
      <c r="Z169" s="29"/>
      <c r="AB169" s="27" t="s">
        <v>94</v>
      </c>
      <c r="AC169" s="28" t="s">
        <v>95</v>
      </c>
      <c r="AD169" s="28"/>
      <c r="AE169" s="21"/>
      <c r="AF169" s="28" t="s">
        <v>198</v>
      </c>
      <c r="AG169" s="21"/>
      <c r="AH169" s="21"/>
      <c r="AI169" s="29"/>
    </row>
    <row r="170" spans="1:35">
      <c r="A170" s="134">
        <f>K29</f>
        <v>35</v>
      </c>
      <c r="B170" s="135">
        <f>K30</f>
        <v>35000</v>
      </c>
      <c r="C170" s="136"/>
      <c r="D170" s="21"/>
      <c r="E170" s="137">
        <f>IF(A111="YES",A40,0)</f>
        <v>11205</v>
      </c>
      <c r="F170" s="21"/>
      <c r="G170" s="21"/>
      <c r="H170" s="29"/>
      <c r="J170" s="134">
        <f>K29</f>
        <v>35</v>
      </c>
      <c r="K170" s="135">
        <f>K30</f>
        <v>35000</v>
      </c>
      <c r="L170" s="136"/>
      <c r="M170" s="21"/>
      <c r="N170" s="137">
        <f>IF(A111="YES",A40,0)</f>
        <v>11205</v>
      </c>
      <c r="O170" s="21"/>
      <c r="P170" s="21"/>
      <c r="Q170" s="29"/>
      <c r="S170" s="134">
        <f>K29</f>
        <v>35</v>
      </c>
      <c r="T170" s="135">
        <f>K30</f>
        <v>35000</v>
      </c>
      <c r="U170" s="136"/>
      <c r="V170" s="21"/>
      <c r="W170" s="137">
        <f>IF(A111="YES",A40,0)</f>
        <v>11205</v>
      </c>
      <c r="X170" s="21"/>
      <c r="Y170" s="21"/>
      <c r="Z170" s="29"/>
      <c r="AB170" s="134">
        <f>K29</f>
        <v>35</v>
      </c>
      <c r="AC170" s="135">
        <f>K30</f>
        <v>35000</v>
      </c>
      <c r="AD170" s="136"/>
      <c r="AE170" s="21"/>
      <c r="AF170" s="137">
        <f>IF(A111="YES",A40,0)</f>
        <v>11205</v>
      </c>
      <c r="AG170" s="21"/>
      <c r="AH170" s="21"/>
      <c r="AI170" s="29"/>
    </row>
    <row r="171" spans="1:35">
      <c r="A171" s="27"/>
      <c r="B171" s="28"/>
      <c r="C171" s="28"/>
      <c r="D171" s="21"/>
      <c r="E171" s="28"/>
      <c r="F171" s="21"/>
      <c r="G171" s="21"/>
      <c r="H171" s="29"/>
      <c r="J171" s="27"/>
      <c r="K171" s="28"/>
      <c r="L171" s="28"/>
      <c r="M171" s="21"/>
      <c r="N171" s="28"/>
      <c r="O171" s="21"/>
      <c r="P171" s="21"/>
      <c r="Q171" s="29"/>
      <c r="S171" s="27"/>
      <c r="T171" s="28"/>
      <c r="U171" s="28"/>
      <c r="V171" s="21"/>
      <c r="W171" s="28"/>
      <c r="X171" s="21"/>
      <c r="Y171" s="21"/>
      <c r="Z171" s="29"/>
      <c r="AB171" s="27"/>
      <c r="AC171" s="28"/>
      <c r="AD171" s="28"/>
      <c r="AE171" s="21"/>
      <c r="AF171" s="28"/>
      <c r="AG171" s="21"/>
      <c r="AH171" s="21"/>
      <c r="AI171" s="29"/>
    </row>
    <row r="172" spans="1:35">
      <c r="A172" s="27" t="s">
        <v>199</v>
      </c>
      <c r="B172" s="28" t="s">
        <v>200</v>
      </c>
      <c r="C172" s="28"/>
      <c r="D172" s="21"/>
      <c r="E172" s="28" t="s">
        <v>201</v>
      </c>
      <c r="F172" s="21"/>
      <c r="G172" s="21"/>
      <c r="H172" s="29"/>
      <c r="J172" s="27" t="s">
        <v>199</v>
      </c>
      <c r="K172" s="28" t="s">
        <v>200</v>
      </c>
      <c r="L172" s="28"/>
      <c r="M172" s="21"/>
      <c r="N172" s="28" t="s">
        <v>201</v>
      </c>
      <c r="O172" s="21"/>
      <c r="P172" s="21"/>
      <c r="Q172" s="29"/>
      <c r="S172" s="27" t="s">
        <v>199</v>
      </c>
      <c r="T172" s="28" t="s">
        <v>200</v>
      </c>
      <c r="U172" s="28"/>
      <c r="V172" s="21"/>
      <c r="W172" s="28" t="s">
        <v>201</v>
      </c>
      <c r="X172" s="21"/>
      <c r="Y172" s="21"/>
      <c r="Z172" s="29"/>
      <c r="AB172" s="27" t="s">
        <v>199</v>
      </c>
      <c r="AC172" s="28" t="s">
        <v>200</v>
      </c>
      <c r="AD172" s="28"/>
      <c r="AE172" s="21"/>
      <c r="AF172" s="28" t="s">
        <v>201</v>
      </c>
      <c r="AG172" s="21"/>
      <c r="AH172" s="21"/>
      <c r="AI172" s="29"/>
    </row>
    <row r="173" spans="1:35">
      <c r="A173" s="138">
        <f>H141-H137-H139-H140</f>
        <v>67813.764999999999</v>
      </c>
      <c r="B173" s="34">
        <f>H137</f>
        <v>13562.753000000001</v>
      </c>
      <c r="C173" s="38"/>
      <c r="D173" s="21"/>
      <c r="E173" s="137">
        <f>H139+H140</f>
        <v>700</v>
      </c>
      <c r="F173" s="21"/>
      <c r="G173" s="21"/>
      <c r="H173" s="29"/>
      <c r="J173" s="138">
        <f>Q141-Q137-Q139-Q140</f>
        <v>27945.839999999997</v>
      </c>
      <c r="K173" s="34">
        <f>Q137</f>
        <v>5589.1679999999997</v>
      </c>
      <c r="L173" s="38"/>
      <c r="M173" s="21"/>
      <c r="N173" s="137">
        <f>Q139+Q140</f>
        <v>700</v>
      </c>
      <c r="O173" s="21"/>
      <c r="P173" s="21"/>
      <c r="Q173" s="29"/>
      <c r="S173" s="138">
        <f>Z141-Z137-Z139-Z140</f>
        <v>57404.385474999988</v>
      </c>
      <c r="T173" s="34">
        <f>Z137</f>
        <v>11480.877095</v>
      </c>
      <c r="U173" s="38"/>
      <c r="V173" s="21"/>
      <c r="W173" s="137">
        <f>Z139+Z140</f>
        <v>700</v>
      </c>
      <c r="X173" s="21"/>
      <c r="Y173" s="21"/>
      <c r="Z173" s="29"/>
      <c r="AB173" s="138">
        <f>AI141-AI137-AI139-AI140</f>
        <v>41751.047500000001</v>
      </c>
      <c r="AC173" s="34">
        <f>AI137</f>
        <v>8350.2095000000008</v>
      </c>
      <c r="AD173" s="38"/>
      <c r="AE173" s="21"/>
      <c r="AF173" s="137">
        <f>AI139+AI140</f>
        <v>700</v>
      </c>
      <c r="AG173" s="21"/>
      <c r="AH173" s="21"/>
      <c r="AI173" s="29"/>
    </row>
    <row r="174" spans="1:35">
      <c r="A174" s="27"/>
      <c r="B174" s="28"/>
      <c r="C174" s="28"/>
      <c r="D174" s="21"/>
      <c r="E174" s="28"/>
      <c r="F174" s="21"/>
      <c r="G174" s="21"/>
      <c r="H174" s="29"/>
      <c r="J174" s="27"/>
      <c r="K174" s="28"/>
      <c r="L174" s="28"/>
      <c r="M174" s="21"/>
      <c r="N174" s="28"/>
      <c r="O174" s="21"/>
      <c r="P174" s="21"/>
      <c r="Q174" s="29"/>
      <c r="S174" s="27"/>
      <c r="T174" s="28"/>
      <c r="U174" s="28"/>
      <c r="V174" s="21"/>
      <c r="W174" s="28"/>
      <c r="X174" s="21"/>
      <c r="Y174" s="21"/>
      <c r="Z174" s="29"/>
      <c r="AB174" s="27"/>
      <c r="AC174" s="28"/>
      <c r="AD174" s="28"/>
      <c r="AE174" s="21"/>
      <c r="AF174" s="28"/>
      <c r="AG174" s="21"/>
      <c r="AH174" s="21"/>
      <c r="AI174" s="29"/>
    </row>
    <row r="175" spans="1:35">
      <c r="A175" s="27" t="s">
        <v>202</v>
      </c>
      <c r="B175" s="28" t="s">
        <v>148</v>
      </c>
      <c r="C175" s="28"/>
      <c r="D175" s="21"/>
      <c r="E175" s="28" t="s">
        <v>149</v>
      </c>
      <c r="F175" s="21"/>
      <c r="G175" s="21"/>
      <c r="H175" s="29"/>
      <c r="J175" s="27" t="s">
        <v>202</v>
      </c>
      <c r="K175" s="28" t="s">
        <v>148</v>
      </c>
      <c r="L175" s="28"/>
      <c r="M175" s="21"/>
      <c r="N175" s="28" t="s">
        <v>149</v>
      </c>
      <c r="O175" s="21"/>
      <c r="P175" s="21"/>
      <c r="Q175" s="29"/>
      <c r="S175" s="27" t="s">
        <v>202</v>
      </c>
      <c r="T175" s="28" t="s">
        <v>148</v>
      </c>
      <c r="U175" s="28"/>
      <c r="V175" s="21"/>
      <c r="W175" s="28" t="s">
        <v>149</v>
      </c>
      <c r="X175" s="21"/>
      <c r="Y175" s="21"/>
      <c r="Z175" s="29"/>
      <c r="AB175" s="27" t="s">
        <v>202</v>
      </c>
      <c r="AC175" s="28" t="s">
        <v>148</v>
      </c>
      <c r="AD175" s="28"/>
      <c r="AE175" s="21"/>
      <c r="AF175" s="28" t="s">
        <v>149</v>
      </c>
      <c r="AG175" s="21"/>
      <c r="AH175" s="21"/>
      <c r="AI175" s="29"/>
    </row>
    <row r="176" spans="1:35">
      <c r="A176" s="138">
        <f>H141</f>
        <v>82076.517999999996</v>
      </c>
      <c r="B176" s="34">
        <f>B111</f>
        <v>5000</v>
      </c>
      <c r="C176" s="34"/>
      <c r="D176" s="21"/>
      <c r="E176" s="34">
        <f>E111</f>
        <v>8000</v>
      </c>
      <c r="F176" s="21"/>
      <c r="G176" s="21"/>
      <c r="H176" s="90"/>
      <c r="J176" s="138">
        <f>Q141</f>
        <v>34235.007999999994</v>
      </c>
      <c r="K176" s="34">
        <f>K111</f>
        <v>1000</v>
      </c>
      <c r="L176" s="34"/>
      <c r="M176" s="21"/>
      <c r="N176" s="34">
        <f>N111</f>
        <v>0</v>
      </c>
      <c r="O176" s="21"/>
      <c r="P176" s="21"/>
      <c r="Q176" s="90"/>
      <c r="S176" s="138">
        <f>Z141</f>
        <v>69585.262569999992</v>
      </c>
      <c r="T176" s="34">
        <f>T111</f>
        <v>1000</v>
      </c>
      <c r="U176" s="34"/>
      <c r="V176" s="21"/>
      <c r="W176" s="34">
        <f>W111</f>
        <v>0</v>
      </c>
      <c r="X176" s="21"/>
      <c r="Y176" s="21"/>
      <c r="Z176" s="90"/>
      <c r="AB176" s="138">
        <f>AI141</f>
        <v>50801.256999999998</v>
      </c>
      <c r="AC176" s="34">
        <f>AC111</f>
        <v>1000</v>
      </c>
      <c r="AD176" s="34"/>
      <c r="AE176" s="21"/>
      <c r="AF176" s="34">
        <f>AF111</f>
        <v>0</v>
      </c>
      <c r="AG176" s="21"/>
      <c r="AH176" s="21"/>
      <c r="AI176" s="90"/>
    </row>
    <row r="177" spans="1:35">
      <c r="A177" s="27"/>
      <c r="B177" s="28"/>
      <c r="C177" s="28"/>
      <c r="D177" s="21"/>
      <c r="E177" s="28"/>
      <c r="F177" s="21"/>
      <c r="G177" s="21"/>
      <c r="H177" s="29"/>
      <c r="J177" s="27"/>
      <c r="K177" s="28"/>
      <c r="L177" s="28"/>
      <c r="M177" s="21"/>
      <c r="N177" s="28"/>
      <c r="O177" s="21"/>
      <c r="P177" s="21"/>
      <c r="Q177" s="29"/>
      <c r="S177" s="27"/>
      <c r="T177" s="28"/>
      <c r="U177" s="28"/>
      <c r="V177" s="21"/>
      <c r="W177" s="28"/>
      <c r="X177" s="21"/>
      <c r="Y177" s="21"/>
      <c r="Z177" s="29"/>
      <c r="AB177" s="27"/>
      <c r="AC177" s="28"/>
      <c r="AD177" s="28"/>
      <c r="AE177" s="21"/>
      <c r="AF177" s="28"/>
      <c r="AG177" s="21"/>
      <c r="AH177" s="21"/>
      <c r="AI177" s="29"/>
    </row>
    <row r="178" spans="1:35">
      <c r="A178" s="27" t="s">
        <v>150</v>
      </c>
      <c r="B178" s="28" t="s">
        <v>185</v>
      </c>
      <c r="C178" s="28"/>
      <c r="D178" s="21"/>
      <c r="E178" s="28" t="s">
        <v>191</v>
      </c>
      <c r="F178" s="21"/>
      <c r="G178" s="21"/>
      <c r="H178" s="29"/>
      <c r="J178" s="27" t="s">
        <v>150</v>
      </c>
      <c r="K178" s="28" t="s">
        <v>185</v>
      </c>
      <c r="L178" s="28"/>
      <c r="M178" s="21"/>
      <c r="N178" s="28" t="s">
        <v>191</v>
      </c>
      <c r="O178" s="21"/>
      <c r="P178" s="21"/>
      <c r="Q178" s="29"/>
      <c r="S178" s="27" t="s">
        <v>150</v>
      </c>
      <c r="T178" s="28" t="s">
        <v>185</v>
      </c>
      <c r="U178" s="28"/>
      <c r="V178" s="21"/>
      <c r="W178" s="28" t="s">
        <v>191</v>
      </c>
      <c r="X178" s="21"/>
      <c r="Y178" s="21"/>
      <c r="Z178" s="29"/>
      <c r="AB178" s="27" t="s">
        <v>150</v>
      </c>
      <c r="AC178" s="28" t="s">
        <v>185</v>
      </c>
      <c r="AD178" s="28"/>
      <c r="AE178" s="21"/>
      <c r="AF178" s="28" t="s">
        <v>191</v>
      </c>
      <c r="AG178" s="21"/>
      <c r="AH178" s="21"/>
      <c r="AI178" s="29"/>
    </row>
    <row r="179" spans="1:35">
      <c r="A179" s="94">
        <f>B176+E176</f>
        <v>13000</v>
      </c>
      <c r="B179" s="34">
        <f>G154</f>
        <v>0</v>
      </c>
      <c r="C179" s="34"/>
      <c r="D179" s="21"/>
      <c r="E179" s="34">
        <f>G158</f>
        <v>69076.517999999996</v>
      </c>
      <c r="F179" s="21"/>
      <c r="G179" s="21"/>
      <c r="H179" s="90"/>
      <c r="J179" s="94">
        <f>K176+N176</f>
        <v>1000</v>
      </c>
      <c r="K179" s="34">
        <f>P154</f>
        <v>-2000</v>
      </c>
      <c r="L179" s="34"/>
      <c r="M179" s="21"/>
      <c r="N179" s="34">
        <f>J176-J179-K179</f>
        <v>35235.007999999994</v>
      </c>
      <c r="O179" s="21"/>
      <c r="P179" s="21"/>
      <c r="Q179" s="90"/>
      <c r="S179" s="94">
        <f>T176+W176</f>
        <v>1000</v>
      </c>
      <c r="T179" s="34">
        <f>Y154</f>
        <v>-2000</v>
      </c>
      <c r="U179" s="34"/>
      <c r="V179" s="21"/>
      <c r="W179" s="34">
        <f>S176-S179-T179</f>
        <v>70585.262569999992</v>
      </c>
      <c r="X179" s="21"/>
      <c r="Y179" s="21"/>
      <c r="Z179" s="90"/>
      <c r="AB179" s="94">
        <f>AC176+AF176</f>
        <v>1000</v>
      </c>
      <c r="AC179" s="34">
        <f>AH154</f>
        <v>-2000</v>
      </c>
      <c r="AD179" s="34"/>
      <c r="AE179" s="21"/>
      <c r="AF179" s="34">
        <f>AB176-AB179-AC179</f>
        <v>51801.256999999998</v>
      </c>
      <c r="AG179" s="21"/>
      <c r="AH179" s="21"/>
      <c r="AI179" s="90"/>
    </row>
    <row r="180" spans="1:35">
      <c r="A180" s="27"/>
      <c r="B180" s="28"/>
      <c r="C180" s="28"/>
      <c r="D180" s="21"/>
      <c r="E180" s="28"/>
      <c r="F180" s="21"/>
      <c r="G180" s="21"/>
      <c r="H180" s="29"/>
      <c r="J180" s="27"/>
      <c r="K180" s="28"/>
      <c r="L180" s="28"/>
      <c r="M180" s="21"/>
      <c r="N180" s="28"/>
      <c r="O180" s="21"/>
      <c r="P180" s="21"/>
      <c r="Q180" s="29"/>
      <c r="S180" s="27"/>
      <c r="T180" s="28"/>
      <c r="U180" s="28"/>
      <c r="V180" s="21"/>
      <c r="W180" s="28"/>
      <c r="X180" s="21"/>
      <c r="Y180" s="21"/>
      <c r="Z180" s="29"/>
      <c r="AB180" s="27"/>
      <c r="AC180" s="28"/>
      <c r="AD180" s="28"/>
      <c r="AE180" s="21"/>
      <c r="AF180" s="28"/>
      <c r="AG180" s="21"/>
      <c r="AH180" s="21"/>
      <c r="AI180" s="29"/>
    </row>
    <row r="181" spans="1:35">
      <c r="A181" s="27" t="s">
        <v>203</v>
      </c>
      <c r="B181" s="28" t="s">
        <v>66</v>
      </c>
      <c r="C181" s="28"/>
      <c r="D181" s="21"/>
      <c r="E181" s="28" t="s">
        <v>204</v>
      </c>
      <c r="F181" s="21"/>
      <c r="G181" s="21"/>
      <c r="H181" s="29"/>
      <c r="J181" s="27" t="s">
        <v>203</v>
      </c>
      <c r="K181" s="28" t="s">
        <v>66</v>
      </c>
      <c r="L181" s="28"/>
      <c r="M181" s="21"/>
      <c r="N181" s="28" t="s">
        <v>204</v>
      </c>
      <c r="O181" s="21"/>
      <c r="P181" s="21"/>
      <c r="Q181" s="29"/>
      <c r="S181" s="27" t="s">
        <v>203</v>
      </c>
      <c r="T181" s="28" t="s">
        <v>66</v>
      </c>
      <c r="U181" s="28"/>
      <c r="V181" s="21"/>
      <c r="W181" s="28" t="s">
        <v>204</v>
      </c>
      <c r="X181" s="21"/>
      <c r="Y181" s="21"/>
      <c r="Z181" s="29"/>
      <c r="AB181" s="27" t="s">
        <v>203</v>
      </c>
      <c r="AC181" s="28" t="s">
        <v>66</v>
      </c>
      <c r="AD181" s="28"/>
      <c r="AE181" s="21"/>
      <c r="AF181" s="28" t="s">
        <v>204</v>
      </c>
      <c r="AG181" s="21"/>
      <c r="AH181" s="21"/>
      <c r="AI181" s="29"/>
    </row>
    <row r="182" spans="1:35">
      <c r="A182" s="94">
        <f>(ROUND(A167, 2)*B59)+ROUND(E185, 2)-ROUND(E179, 2)-ROUND(A185,2)</f>
        <v>14584.180000000008</v>
      </c>
      <c r="B182" s="34">
        <f>B114</f>
        <v>199.99166666666667</v>
      </c>
      <c r="C182" s="34"/>
      <c r="D182" s="21"/>
      <c r="E182" s="34">
        <f>ROUND(E179, 2)+ROUND(A182, 2)+(ROUND(B182, 2)*1.2)+ROUND(A185, 2)</f>
        <v>83910.688000000009</v>
      </c>
      <c r="F182" s="21"/>
      <c r="G182" s="21"/>
      <c r="H182" s="90"/>
      <c r="J182" s="94">
        <f>(J167*K59)+N185-N179-J185</f>
        <v>23892.249469027665</v>
      </c>
      <c r="K182" s="34">
        <f>K114</f>
        <v>239.99</v>
      </c>
      <c r="L182" s="34"/>
      <c r="M182" s="21"/>
      <c r="N182" s="34">
        <f>N179+J182+K182+J185</f>
        <v>59387.247469027658</v>
      </c>
      <c r="O182" s="21"/>
      <c r="P182" s="21"/>
      <c r="Q182" s="90"/>
      <c r="S182" s="94">
        <f>(S167*T59)+W185-W179-S185</f>
        <v>16279.502281239096</v>
      </c>
      <c r="T182" s="34">
        <f>T114</f>
        <v>199.99</v>
      </c>
      <c r="U182" s="34"/>
      <c r="V182" s="21"/>
      <c r="W182" s="34">
        <f>W179+S182+T182+S185</f>
        <v>87074.754851239093</v>
      </c>
      <c r="X182" s="21"/>
      <c r="Y182" s="21"/>
      <c r="Z182" s="90"/>
      <c r="AB182" s="94">
        <f>(AB167*AC59)+AF185-AF179-AB185</f>
        <v>12477.166496539794</v>
      </c>
      <c r="AC182" s="34">
        <f>AC114</f>
        <v>239.99</v>
      </c>
      <c r="AD182" s="34"/>
      <c r="AE182" s="21"/>
      <c r="AF182" s="34">
        <f>AF179+AB182+AC182+AB185</f>
        <v>64528.41349653979</v>
      </c>
      <c r="AG182" s="21"/>
      <c r="AH182" s="21"/>
      <c r="AI182" s="90"/>
    </row>
    <row r="183" spans="1:35">
      <c r="A183" s="27"/>
      <c r="B183" s="28"/>
      <c r="C183" s="28"/>
      <c r="D183" s="21"/>
      <c r="E183" s="28"/>
      <c r="F183" s="21"/>
      <c r="G183" s="21"/>
      <c r="H183" s="29"/>
      <c r="J183" s="27"/>
      <c r="K183" s="28"/>
      <c r="L183" s="28"/>
      <c r="M183" s="21"/>
      <c r="N183" s="28"/>
      <c r="O183" s="21"/>
      <c r="P183" s="21"/>
      <c r="Q183" s="29"/>
      <c r="S183" s="27"/>
      <c r="T183" s="28"/>
      <c r="U183" s="28"/>
      <c r="V183" s="21"/>
      <c r="W183" s="28"/>
      <c r="X183" s="21"/>
      <c r="Y183" s="21"/>
      <c r="Z183" s="29"/>
      <c r="AB183" s="27"/>
      <c r="AC183" s="28"/>
      <c r="AD183" s="28"/>
      <c r="AE183" s="21"/>
      <c r="AF183" s="28"/>
      <c r="AG183" s="21"/>
      <c r="AH183" s="21"/>
      <c r="AI183" s="29"/>
    </row>
    <row r="184" spans="1:35">
      <c r="A184" s="27" t="s">
        <v>205</v>
      </c>
      <c r="B184" s="28" t="s">
        <v>206</v>
      </c>
      <c r="C184" s="28"/>
      <c r="D184" s="21"/>
      <c r="E184" s="28" t="s">
        <v>207</v>
      </c>
      <c r="F184" s="21"/>
      <c r="G184" s="21"/>
      <c r="H184" s="29"/>
      <c r="J184" s="27" t="s">
        <v>205</v>
      </c>
      <c r="K184" s="28" t="s">
        <v>206</v>
      </c>
      <c r="L184" s="28"/>
      <c r="M184" s="21"/>
      <c r="N184" s="28" t="s">
        <v>207</v>
      </c>
      <c r="O184" s="21"/>
      <c r="P184" s="21"/>
      <c r="Q184" s="29"/>
      <c r="S184" s="27" t="s">
        <v>205</v>
      </c>
      <c r="T184" s="28" t="s">
        <v>206</v>
      </c>
      <c r="U184" s="28"/>
      <c r="V184" s="21"/>
      <c r="W184" s="28" t="s">
        <v>207</v>
      </c>
      <c r="X184" s="21"/>
      <c r="Y184" s="21"/>
      <c r="Z184" s="29"/>
      <c r="AB184" s="27" t="s">
        <v>205</v>
      </c>
      <c r="AC184" s="28" t="s">
        <v>206</v>
      </c>
      <c r="AD184" s="28"/>
      <c r="AE184" s="21"/>
      <c r="AF184" s="28" t="s">
        <v>207</v>
      </c>
      <c r="AG184" s="21"/>
      <c r="AH184" s="21"/>
      <c r="AI184" s="29"/>
    </row>
    <row r="185" spans="1:35">
      <c r="A185" s="94">
        <f>B60</f>
        <v>10</v>
      </c>
      <c r="B185" s="34">
        <f>A179+B182*1.2</f>
        <v>13239.99</v>
      </c>
      <c r="C185" s="34"/>
      <c r="D185" s="21"/>
      <c r="E185" s="34">
        <f>IF( E170=0, A185+E167, E170+A185)</f>
        <v>11215</v>
      </c>
      <c r="F185" s="21"/>
      <c r="G185" s="21"/>
      <c r="H185" s="90"/>
      <c r="J185" s="94">
        <f>K60</f>
        <v>20</v>
      </c>
      <c r="K185" s="34">
        <f>J179+K182</f>
        <v>1239.99</v>
      </c>
      <c r="L185" s="34"/>
      <c r="M185" s="21"/>
      <c r="N185" s="34">
        <f>N170+J185</f>
        <v>11225</v>
      </c>
      <c r="O185" s="21"/>
      <c r="P185" s="21"/>
      <c r="Q185" s="90"/>
      <c r="S185" s="94">
        <f>T60</f>
        <v>10</v>
      </c>
      <c r="T185" s="34">
        <f>S179+T182</f>
        <v>1199.99</v>
      </c>
      <c r="U185" s="34"/>
      <c r="V185" s="21"/>
      <c r="W185" s="34">
        <f>W170+S185</f>
        <v>11215</v>
      </c>
      <c r="X185" s="21"/>
      <c r="Y185" s="21"/>
      <c r="Z185" s="90"/>
      <c r="AB185" s="94">
        <f>AC60</f>
        <v>10</v>
      </c>
      <c r="AC185" s="34">
        <f>AB179+AC182</f>
        <v>1239.99</v>
      </c>
      <c r="AD185" s="34"/>
      <c r="AE185" s="21"/>
      <c r="AF185" s="34">
        <f>AF170+AB185</f>
        <v>11215</v>
      </c>
      <c r="AG185" s="21"/>
      <c r="AH185" s="21"/>
      <c r="AI185" s="90"/>
    </row>
    <row r="186" spans="1:35">
      <c r="A186" s="27"/>
      <c r="B186" s="28"/>
      <c r="C186" s="28"/>
      <c r="D186" s="28"/>
      <c r="E186" s="21"/>
      <c r="F186" s="21"/>
      <c r="G186" s="21"/>
      <c r="H186" s="29"/>
      <c r="J186" s="27"/>
      <c r="K186" s="28"/>
      <c r="L186" s="28"/>
      <c r="M186" s="28"/>
      <c r="N186" s="21"/>
      <c r="O186" s="21"/>
      <c r="P186" s="21"/>
      <c r="Q186" s="29"/>
      <c r="S186" s="27"/>
      <c r="T186" s="28"/>
      <c r="U186" s="28"/>
      <c r="V186" s="28"/>
      <c r="W186" s="21"/>
      <c r="X186" s="28"/>
      <c r="Y186" s="28"/>
      <c r="Z186" s="29"/>
      <c r="AB186" s="27"/>
      <c r="AC186" s="28"/>
      <c r="AD186" s="28"/>
      <c r="AE186" s="28"/>
      <c r="AF186" s="21"/>
      <c r="AG186" s="21"/>
      <c r="AH186" s="21"/>
      <c r="AI186" s="29"/>
    </row>
    <row r="187" spans="1:35">
      <c r="A187" s="27" t="s">
        <v>208</v>
      </c>
      <c r="B187" s="28" t="s">
        <v>209</v>
      </c>
      <c r="C187" s="28"/>
      <c r="D187" s="28"/>
      <c r="E187" s="35" t="s">
        <v>210</v>
      </c>
      <c r="F187" s="21"/>
      <c r="G187" s="21"/>
      <c r="H187" s="29"/>
      <c r="J187" s="27" t="s">
        <v>208</v>
      </c>
      <c r="K187" s="28" t="s">
        <v>209</v>
      </c>
      <c r="L187" s="28"/>
      <c r="M187" s="28"/>
      <c r="N187" s="35" t="s">
        <v>210</v>
      </c>
      <c r="O187" s="21"/>
      <c r="P187" s="21"/>
      <c r="Q187" s="29"/>
      <c r="S187" s="27" t="s">
        <v>208</v>
      </c>
      <c r="T187" s="28" t="s">
        <v>209</v>
      </c>
      <c r="U187" s="28"/>
      <c r="V187" s="28"/>
      <c r="W187" s="35" t="s">
        <v>210</v>
      </c>
      <c r="X187" s="28"/>
      <c r="Y187" s="28"/>
      <c r="Z187" s="29"/>
      <c r="AB187" s="27" t="s">
        <v>208</v>
      </c>
      <c r="AC187" s="28" t="s">
        <v>209</v>
      </c>
      <c r="AD187" s="28"/>
      <c r="AE187" s="28"/>
      <c r="AF187" s="35" t="s">
        <v>210</v>
      </c>
      <c r="AG187" s="28"/>
      <c r="AH187" s="28"/>
      <c r="AI187" s="29"/>
    </row>
    <row r="188" spans="1:35">
      <c r="A188" s="94">
        <f>IF(E105="YES",J18*0.000002,0)*100</f>
        <v>13.815</v>
      </c>
      <c r="B188" s="34">
        <f>(G158*B67)</f>
        <v>1036.1477699999998</v>
      </c>
      <c r="C188" s="28"/>
      <c r="D188" s="28"/>
      <c r="E188" s="34">
        <f>(E40*A108)*0.1*(C45/100)</f>
        <v>124.61400000000002</v>
      </c>
      <c r="F188" s="21"/>
      <c r="G188" s="21"/>
      <c r="H188" s="29"/>
      <c r="J188" s="94">
        <f>IF(N105="YES",H15*0.000002,0)</f>
        <v>0.13679419999999998</v>
      </c>
      <c r="K188" s="34">
        <f>(P158*K67)/1.2</f>
        <v>2171.6020555555556</v>
      </c>
      <c r="L188" s="28"/>
      <c r="M188" s="28"/>
      <c r="N188" s="34">
        <f>(E40*J108)*0.1</f>
        <v>186.92099999999999</v>
      </c>
      <c r="O188" s="21"/>
      <c r="P188" s="21"/>
      <c r="Q188" s="29"/>
      <c r="S188" s="94">
        <f>IF(W105="YES",Z15*0.000002,0)</f>
        <v>0</v>
      </c>
      <c r="T188" s="34">
        <f>(Y158*T67)/1.2</f>
        <v>575.95613555381942</v>
      </c>
      <c r="U188" s="28"/>
      <c r="V188" s="28"/>
      <c r="W188" s="34">
        <f>(E40*S108)*0.1</f>
        <v>124.61400000000002</v>
      </c>
      <c r="X188" s="28"/>
      <c r="Y188" s="28"/>
      <c r="Z188" s="29"/>
      <c r="AB188" s="94">
        <f>IF(AF105="YES",AI15*0.000002,0)</f>
        <v>0</v>
      </c>
      <c r="AC188" s="34">
        <f>(AH158*AC67)/1.2</f>
        <v>422.68386788194442</v>
      </c>
      <c r="AD188" s="28"/>
      <c r="AE188" s="28"/>
      <c r="AF188" s="34">
        <f>(E40*AB108)*0.1</f>
        <v>124.61400000000002</v>
      </c>
      <c r="AG188" s="28"/>
      <c r="AH188" s="28"/>
      <c r="AI188" s="29"/>
    </row>
    <row r="189" spans="1:35">
      <c r="A189" s="94"/>
      <c r="B189" s="34"/>
      <c r="C189" s="28"/>
      <c r="D189" s="28"/>
      <c r="E189" s="21"/>
      <c r="F189" s="21"/>
      <c r="G189" s="21"/>
      <c r="H189" s="29"/>
      <c r="J189" s="94"/>
      <c r="K189" s="34"/>
      <c r="L189" s="28"/>
      <c r="M189" s="28"/>
      <c r="N189" s="21"/>
      <c r="O189" s="21"/>
      <c r="P189" s="21"/>
      <c r="Q189" s="29"/>
      <c r="S189" s="94"/>
      <c r="T189" s="34"/>
      <c r="U189" s="28"/>
      <c r="V189" s="28"/>
      <c r="W189" s="21"/>
      <c r="X189" s="28"/>
      <c r="Y189" s="28"/>
      <c r="Z189" s="29"/>
      <c r="AB189" s="94"/>
      <c r="AC189" s="34"/>
      <c r="AD189" s="28"/>
      <c r="AE189" s="28"/>
      <c r="AF189" s="21"/>
      <c r="AG189" s="28"/>
      <c r="AH189" s="28"/>
      <c r="AI189" s="29"/>
    </row>
    <row r="190" spans="1:35">
      <c r="A190" s="53" t="s">
        <v>211</v>
      </c>
      <c r="B190" s="35" t="s">
        <v>212</v>
      </c>
      <c r="C190" s="28"/>
      <c r="D190" s="28"/>
      <c r="E190" s="35" t="s">
        <v>213</v>
      </c>
      <c r="F190" s="21"/>
      <c r="G190" s="21"/>
      <c r="H190" s="29"/>
      <c r="J190" s="53" t="s">
        <v>211</v>
      </c>
      <c r="K190" s="35" t="s">
        <v>212</v>
      </c>
      <c r="L190" s="28"/>
      <c r="M190" s="28"/>
      <c r="N190" s="35" t="s">
        <v>213</v>
      </c>
      <c r="O190" s="21"/>
      <c r="P190" s="21"/>
      <c r="Q190" s="29"/>
      <c r="S190" s="53" t="s">
        <v>211</v>
      </c>
      <c r="T190" s="35" t="s">
        <v>212</v>
      </c>
      <c r="U190" s="28"/>
      <c r="V190" s="28"/>
      <c r="W190" s="35" t="s">
        <v>213</v>
      </c>
      <c r="X190" s="28"/>
      <c r="Y190" s="28"/>
      <c r="Z190" s="29"/>
      <c r="AB190" s="53" t="s">
        <v>211</v>
      </c>
      <c r="AC190" s="35" t="s">
        <v>212</v>
      </c>
      <c r="AD190" s="28"/>
      <c r="AE190" s="28"/>
      <c r="AF190" s="35" t="s">
        <v>213</v>
      </c>
      <c r="AG190" s="28"/>
      <c r="AH190" s="28"/>
      <c r="AI190" s="29"/>
    </row>
    <row r="191" spans="1:35">
      <c r="A191" s="94">
        <v>20</v>
      </c>
      <c r="B191" s="34">
        <f>B188+E188+A191</f>
        <v>1180.7617699999998</v>
      </c>
      <c r="C191" s="28"/>
      <c r="D191" s="28"/>
      <c r="E191" s="34">
        <f>H148</f>
        <v>11399.515000000003</v>
      </c>
      <c r="F191" s="21"/>
      <c r="G191" s="21"/>
      <c r="H191" s="29"/>
      <c r="J191" s="94">
        <f>K185-100</f>
        <v>1139.99</v>
      </c>
      <c r="K191" s="34">
        <f>K188+N188+J191</f>
        <v>3498.5130555555552</v>
      </c>
      <c r="L191" s="28"/>
      <c r="M191" s="28"/>
      <c r="N191" s="34">
        <f>Q148</f>
        <v>-34162.091999999997</v>
      </c>
      <c r="O191" s="21"/>
      <c r="P191" s="21"/>
      <c r="Q191" s="29"/>
      <c r="S191" s="94">
        <f>T185-100</f>
        <v>1099.99</v>
      </c>
      <c r="T191" s="34">
        <f>T188+W188+S191</f>
        <v>1800.5601355538195</v>
      </c>
      <c r="U191" s="28"/>
      <c r="V191" s="28"/>
      <c r="W191" s="34">
        <f>Z148</f>
        <v>1188.1625700000004</v>
      </c>
      <c r="X191" s="28"/>
      <c r="Y191" s="28"/>
      <c r="Z191" s="29"/>
      <c r="AB191" s="94">
        <f>AC185-100</f>
        <v>1139.99</v>
      </c>
      <c r="AC191" s="34">
        <f>AC188+AF188+AB191</f>
        <v>1687.2878678819443</v>
      </c>
      <c r="AD191" s="28"/>
      <c r="AE191" s="28"/>
      <c r="AF191" s="34">
        <f>AI148</f>
        <v>-17595.842999999993</v>
      </c>
      <c r="AG191" s="28"/>
      <c r="AH191" s="28"/>
      <c r="AI191" s="29"/>
    </row>
    <row r="192" spans="1:35">
      <c r="A192" s="27"/>
      <c r="B192" s="28"/>
      <c r="C192" s="28"/>
      <c r="D192" s="28"/>
      <c r="E192" s="21"/>
      <c r="F192" s="21"/>
      <c r="G192" s="21"/>
      <c r="H192" s="29"/>
      <c r="J192" s="27"/>
      <c r="K192" s="28"/>
      <c r="L192" s="28"/>
      <c r="M192" s="28"/>
      <c r="N192" s="21"/>
      <c r="O192" s="21"/>
      <c r="P192" s="21"/>
      <c r="Q192" s="29"/>
      <c r="S192" s="27"/>
      <c r="T192" s="28"/>
      <c r="U192" s="28"/>
      <c r="V192" s="28"/>
      <c r="W192" s="21"/>
      <c r="X192" s="21"/>
      <c r="Y192" s="21"/>
      <c r="Z192" s="29"/>
      <c r="AB192" s="27"/>
      <c r="AC192" s="28"/>
      <c r="AD192" s="28"/>
      <c r="AE192" s="28"/>
      <c r="AF192" s="21"/>
      <c r="AG192" s="21"/>
      <c r="AH192" s="21"/>
      <c r="AI192" s="29"/>
    </row>
    <row r="193" spans="1:35">
      <c r="A193" s="58" t="s">
        <v>214</v>
      </c>
      <c r="B193" s="28"/>
      <c r="C193" s="28"/>
      <c r="D193" s="59"/>
      <c r="E193" s="59"/>
      <c r="F193" s="59"/>
      <c r="G193" s="59"/>
      <c r="H193" s="60"/>
      <c r="J193" s="58" t="s">
        <v>214</v>
      </c>
      <c r="K193" s="28"/>
      <c r="L193" s="28"/>
      <c r="M193" s="59"/>
      <c r="N193" s="59"/>
      <c r="O193" s="59"/>
      <c r="P193" s="59"/>
      <c r="Q193" s="60"/>
      <c r="S193" s="58" t="s">
        <v>214</v>
      </c>
      <c r="T193" s="28"/>
      <c r="U193" s="28"/>
      <c r="V193" s="59"/>
      <c r="W193" s="59"/>
      <c r="X193" s="59"/>
      <c r="Y193" s="59"/>
      <c r="Z193" s="60"/>
      <c r="AB193" s="58" t="s">
        <v>214</v>
      </c>
      <c r="AC193" s="28"/>
      <c r="AD193" s="28"/>
      <c r="AE193" s="59"/>
      <c r="AF193" s="59"/>
      <c r="AG193" s="59"/>
      <c r="AH193" s="59"/>
      <c r="AI193" s="60"/>
    </row>
    <row r="194" spans="1:35">
      <c r="A194" s="27"/>
      <c r="B194" s="61"/>
      <c r="C194" s="61"/>
      <c r="D194" s="28"/>
      <c r="E194" s="21"/>
      <c r="F194" s="21"/>
      <c r="G194" s="21"/>
      <c r="H194" s="29"/>
      <c r="J194" s="27"/>
      <c r="K194" s="61"/>
      <c r="L194" s="61"/>
      <c r="M194" s="28"/>
      <c r="N194" s="21"/>
      <c r="O194" s="21"/>
      <c r="P194" s="21"/>
      <c r="Q194" s="29"/>
      <c r="S194" s="27"/>
      <c r="T194" s="61"/>
      <c r="U194" s="61"/>
      <c r="V194" s="28"/>
      <c r="W194" s="21"/>
      <c r="X194" s="21"/>
      <c r="Y194" s="21"/>
      <c r="Z194" s="29"/>
      <c r="AB194" s="27"/>
      <c r="AC194" s="61"/>
      <c r="AD194" s="61"/>
      <c r="AE194" s="28"/>
      <c r="AF194" s="21"/>
      <c r="AG194" s="21"/>
      <c r="AH194" s="21"/>
      <c r="AI194" s="29"/>
    </row>
    <row r="195" spans="1:35" ht="21">
      <c r="A195" s="369" t="s">
        <v>94</v>
      </c>
      <c r="B195" s="341" t="s">
        <v>95</v>
      </c>
      <c r="C195" s="341"/>
      <c r="D195" s="341"/>
      <c r="E195" s="21"/>
      <c r="F195" s="21"/>
      <c r="G195" s="21"/>
      <c r="H195" s="29"/>
      <c r="J195" s="369" t="s">
        <v>94</v>
      </c>
      <c r="K195" s="341" t="s">
        <v>95</v>
      </c>
      <c r="L195" s="341"/>
      <c r="M195" s="341"/>
      <c r="N195" s="21"/>
      <c r="O195" s="21"/>
      <c r="P195" s="21"/>
      <c r="Q195" s="29"/>
      <c r="S195" s="369" t="s">
        <v>94</v>
      </c>
      <c r="T195" s="341" t="s">
        <v>95</v>
      </c>
      <c r="U195" s="341"/>
      <c r="V195" s="341"/>
      <c r="W195" s="21"/>
      <c r="X195" s="21"/>
      <c r="Y195" s="21"/>
      <c r="Z195" s="29"/>
      <c r="AB195" s="369" t="s">
        <v>94</v>
      </c>
      <c r="AC195" s="341" t="s">
        <v>95</v>
      </c>
      <c r="AD195" s="341"/>
      <c r="AE195" s="341"/>
      <c r="AF195" s="21"/>
      <c r="AG195" s="21"/>
      <c r="AH195" s="21"/>
      <c r="AI195" s="29"/>
    </row>
    <row r="196" spans="1:35" ht="19.5" customHeight="1">
      <c r="A196" s="369"/>
      <c r="B196" s="342">
        <f>K30</f>
        <v>35000</v>
      </c>
      <c r="C196" s="342"/>
      <c r="D196" s="342"/>
      <c r="E196" s="21"/>
      <c r="F196" s="21"/>
      <c r="G196" s="21"/>
      <c r="H196" s="29"/>
      <c r="J196" s="369"/>
      <c r="K196" s="342">
        <f>K30</f>
        <v>35000</v>
      </c>
      <c r="L196" s="342"/>
      <c r="M196" s="342"/>
      <c r="N196" s="21"/>
      <c r="O196" s="21"/>
      <c r="P196" s="21"/>
      <c r="Q196" s="29"/>
      <c r="S196" s="369"/>
      <c r="T196" s="342">
        <f>K30</f>
        <v>35000</v>
      </c>
      <c r="U196" s="342"/>
      <c r="V196" s="342"/>
      <c r="W196" s="21"/>
      <c r="X196" s="21"/>
      <c r="Y196" s="21"/>
      <c r="Z196" s="29"/>
      <c r="AB196" s="369"/>
      <c r="AC196" s="342">
        <f>K30</f>
        <v>35000</v>
      </c>
      <c r="AD196" s="342"/>
      <c r="AE196" s="342"/>
      <c r="AF196" s="21"/>
      <c r="AG196" s="21"/>
      <c r="AH196" s="21"/>
      <c r="AI196" s="29"/>
    </row>
    <row r="197" spans="1:35">
      <c r="A197" s="62">
        <f>K29</f>
        <v>35</v>
      </c>
      <c r="B197" s="343">
        <f>B96</f>
        <v>2350.9547335023526</v>
      </c>
      <c r="C197" s="343"/>
      <c r="D197" s="343"/>
      <c r="E197" s="21"/>
      <c r="F197" s="21"/>
      <c r="G197" s="21"/>
      <c r="H197" s="29"/>
      <c r="J197" s="62">
        <f>K29</f>
        <v>35</v>
      </c>
      <c r="K197" s="343">
        <f>K96</f>
        <v>1687.1893608537546</v>
      </c>
      <c r="L197" s="343"/>
      <c r="M197" s="343"/>
      <c r="N197" s="21"/>
      <c r="O197" s="21"/>
      <c r="P197" s="21"/>
      <c r="Q197" s="29"/>
      <c r="S197" s="62">
        <f>K29</f>
        <v>35</v>
      </c>
      <c r="T197" s="343">
        <f>T96</f>
        <v>2445.1942603305615</v>
      </c>
      <c r="U197" s="343"/>
      <c r="V197" s="343"/>
      <c r="W197" s="21"/>
      <c r="X197" s="21"/>
      <c r="Y197" s="21"/>
      <c r="Z197" s="29"/>
      <c r="AB197" s="62">
        <f>K29</f>
        <v>35</v>
      </c>
      <c r="AC197" s="343">
        <f>AC96</f>
        <v>1824.8715146041116</v>
      </c>
      <c r="AD197" s="343"/>
      <c r="AE197" s="343"/>
      <c r="AF197" s="21"/>
      <c r="AG197" s="21"/>
      <c r="AH197" s="21"/>
      <c r="AI197" s="29"/>
    </row>
    <row r="198" spans="1:35">
      <c r="A198" s="27"/>
      <c r="B198" s="28"/>
      <c r="C198" s="28"/>
      <c r="D198" s="28"/>
      <c r="E198" s="21"/>
      <c r="F198" s="21"/>
      <c r="G198" s="21"/>
      <c r="H198" s="29"/>
      <c r="J198" s="27"/>
      <c r="K198" s="28"/>
      <c r="L198" s="28"/>
      <c r="M198" s="28"/>
      <c r="N198" s="21"/>
      <c r="O198" s="21"/>
      <c r="P198" s="21"/>
      <c r="Q198" s="29"/>
      <c r="S198" s="27"/>
      <c r="T198" s="28"/>
      <c r="U198" s="28"/>
      <c r="V198" s="28"/>
      <c r="W198" s="21"/>
      <c r="X198" s="21"/>
      <c r="Y198" s="21"/>
      <c r="Z198" s="29"/>
      <c r="AB198" s="27"/>
      <c r="AC198" s="28"/>
      <c r="AD198" s="28"/>
      <c r="AE198" s="28"/>
      <c r="AF198" s="21"/>
      <c r="AG198" s="21"/>
      <c r="AH198" s="21"/>
      <c r="AI198" s="29"/>
    </row>
    <row r="199" spans="1:35">
      <c r="A199" s="27"/>
      <c r="B199" s="28"/>
      <c r="C199" s="28"/>
      <c r="D199" s="28"/>
      <c r="E199" s="21"/>
      <c r="F199" s="21"/>
      <c r="G199" s="21"/>
      <c r="H199" s="29"/>
      <c r="J199" s="27"/>
      <c r="K199" s="28"/>
      <c r="L199" s="28"/>
      <c r="M199" s="28"/>
      <c r="N199" s="21"/>
      <c r="O199" s="21"/>
      <c r="P199" s="21"/>
      <c r="Q199" s="29"/>
      <c r="S199" s="27"/>
      <c r="T199" s="28"/>
      <c r="U199" s="28"/>
      <c r="V199" s="28"/>
      <c r="W199" s="21"/>
      <c r="X199" s="21"/>
      <c r="Y199" s="21"/>
      <c r="Z199" s="29"/>
      <c r="AB199" s="27"/>
      <c r="AC199" s="28"/>
      <c r="AD199" s="28"/>
      <c r="AE199" s="28"/>
      <c r="AF199" s="21"/>
      <c r="AG199" s="21"/>
      <c r="AH199" s="21"/>
      <c r="AI199" s="29"/>
    </row>
    <row r="200" spans="1:35">
      <c r="A200" s="27" t="s">
        <v>215</v>
      </c>
      <c r="B200" s="28" t="s">
        <v>216</v>
      </c>
      <c r="C200" s="28"/>
      <c r="D200" s="28"/>
      <c r="E200" s="21"/>
      <c r="F200" s="21"/>
      <c r="G200" s="21"/>
      <c r="H200" s="29"/>
      <c r="J200" s="27"/>
      <c r="K200" s="28"/>
      <c r="L200" s="28"/>
      <c r="M200" s="28"/>
      <c r="N200" s="21"/>
      <c r="O200" s="21"/>
      <c r="P200" s="21"/>
      <c r="Q200" s="29"/>
      <c r="S200" s="27"/>
      <c r="T200" s="28"/>
      <c r="U200" s="28"/>
      <c r="V200" s="28"/>
      <c r="W200" s="21"/>
      <c r="X200" s="21"/>
      <c r="Y200" s="21"/>
      <c r="Z200" s="29"/>
      <c r="AB200" s="27"/>
      <c r="AC200" s="28"/>
      <c r="AD200" s="28"/>
      <c r="AE200" s="28"/>
      <c r="AF200" s="21"/>
      <c r="AG200" s="21"/>
      <c r="AH200" s="21"/>
      <c r="AI200" s="29"/>
    </row>
    <row r="201" spans="1:35">
      <c r="A201" s="32">
        <f>IF(A40=0,((G167*(B59+1))-E179),((G167*B59)+E185-E179-A185))</f>
        <v>8377.8220000000001</v>
      </c>
      <c r="B201" s="38">
        <f>E179+A201+(B182*1.2)+A185</f>
        <v>77704.33</v>
      </c>
      <c r="C201" s="28"/>
      <c r="D201" s="28"/>
      <c r="E201" s="21"/>
      <c r="F201" s="21"/>
      <c r="G201" s="21"/>
      <c r="H201" s="29"/>
      <c r="J201" s="27"/>
      <c r="K201" s="28"/>
      <c r="L201" s="28"/>
      <c r="M201" s="28"/>
      <c r="N201" s="21"/>
      <c r="O201" s="21"/>
      <c r="P201" s="21"/>
      <c r="Q201" s="29"/>
      <c r="S201" s="27"/>
      <c r="T201" s="28"/>
      <c r="U201" s="28"/>
      <c r="V201" s="28"/>
      <c r="W201" s="21"/>
      <c r="X201" s="21"/>
      <c r="Y201" s="21"/>
      <c r="Z201" s="29"/>
      <c r="AB201" s="27"/>
      <c r="AC201" s="28"/>
      <c r="AD201" s="28"/>
      <c r="AE201" s="28"/>
      <c r="AF201" s="21"/>
      <c r="AG201" s="21"/>
      <c r="AH201" s="21"/>
      <c r="AI201" s="29"/>
    </row>
    <row r="202" spans="1:35">
      <c r="A202" s="49"/>
      <c r="B202" s="50"/>
      <c r="C202" s="50"/>
      <c r="D202" s="50"/>
      <c r="E202" s="50"/>
      <c r="F202" s="50"/>
      <c r="G202" s="50"/>
      <c r="H202" s="57"/>
      <c r="J202" s="49"/>
      <c r="K202" s="50"/>
      <c r="L202" s="50"/>
      <c r="M202" s="50"/>
      <c r="N202" s="50"/>
      <c r="O202" s="50"/>
      <c r="P202" s="50"/>
      <c r="Q202" s="57"/>
      <c r="S202" s="49"/>
      <c r="T202" s="50"/>
      <c r="U202" s="50"/>
      <c r="V202" s="50"/>
      <c r="W202" s="50"/>
      <c r="X202" s="50"/>
      <c r="Y202" s="50"/>
      <c r="Z202" s="57"/>
      <c r="AB202" s="49"/>
      <c r="AC202" s="50"/>
      <c r="AD202" s="50"/>
      <c r="AE202" s="50"/>
      <c r="AF202" s="50"/>
      <c r="AG202" s="50"/>
      <c r="AH202" s="50"/>
      <c r="AI202" s="57"/>
    </row>
    <row r="206" spans="1:35" ht="23.25">
      <c r="A206" s="372" t="s">
        <v>192</v>
      </c>
      <c r="B206" s="372"/>
      <c r="C206" s="372"/>
      <c r="D206" s="372"/>
      <c r="E206" s="372"/>
      <c r="F206" s="372"/>
      <c r="G206" s="372"/>
      <c r="H206" s="372"/>
    </row>
    <row r="207" spans="1:35">
      <c r="A207" s="27"/>
      <c r="B207" s="28"/>
      <c r="C207" s="28"/>
      <c r="D207" s="28"/>
      <c r="E207" s="21"/>
      <c r="F207" s="21"/>
      <c r="G207" s="21"/>
      <c r="H207" s="29"/>
    </row>
    <row r="208" spans="1:35">
      <c r="A208" s="139" t="s">
        <v>137</v>
      </c>
      <c r="B208" s="140" t="s">
        <v>52</v>
      </c>
      <c r="C208" s="140"/>
      <c r="D208" s="140"/>
      <c r="E208" s="140" t="s">
        <v>53</v>
      </c>
      <c r="F208" s="141"/>
      <c r="G208" s="21"/>
      <c r="H208" s="29"/>
    </row>
    <row r="209" spans="1:8">
      <c r="A209" s="142" t="s">
        <v>217</v>
      </c>
      <c r="B209" s="131">
        <f>A197</f>
        <v>35</v>
      </c>
      <c r="C209" s="131"/>
      <c r="D209" s="131"/>
      <c r="E209" s="131">
        <f>B196</f>
        <v>35000</v>
      </c>
      <c r="F209" s="141"/>
      <c r="G209" s="21"/>
      <c r="H209" s="29"/>
    </row>
    <row r="210" spans="1:8">
      <c r="A210" s="27"/>
      <c r="B210" s="28"/>
      <c r="C210" s="28"/>
      <c r="D210" s="28"/>
      <c r="E210" s="21"/>
      <c r="F210" s="21"/>
      <c r="G210" s="21"/>
      <c r="H210" s="29"/>
    </row>
    <row r="211" spans="1:8">
      <c r="A211" s="139" t="s">
        <v>194</v>
      </c>
      <c r="B211" s="140" t="s">
        <v>195</v>
      </c>
      <c r="C211" s="140"/>
      <c r="D211" s="140"/>
      <c r="E211" s="140" t="s">
        <v>196</v>
      </c>
      <c r="F211" s="21"/>
      <c r="G211" s="21"/>
      <c r="H211" s="29"/>
    </row>
    <row r="212" spans="1:8">
      <c r="A212" s="132">
        <f>A167</f>
        <v>2131.0476746788231</v>
      </c>
      <c r="B212" s="133">
        <f>B167</f>
        <v>219.90705882352941</v>
      </c>
      <c r="C212" s="131"/>
      <c r="D212" s="131"/>
      <c r="E212" s="133">
        <f>E167</f>
        <v>2350.9547335023526</v>
      </c>
      <c r="F212" s="21"/>
      <c r="G212" s="21"/>
      <c r="H212" s="29"/>
    </row>
    <row r="213" spans="1:8">
      <c r="A213" s="27"/>
      <c r="B213" s="28"/>
      <c r="C213" s="28"/>
      <c r="D213" s="28"/>
      <c r="E213" s="21"/>
      <c r="F213" s="21"/>
      <c r="G213" s="21"/>
      <c r="H213" s="29"/>
    </row>
    <row r="214" spans="1:8">
      <c r="A214" s="27" t="s">
        <v>199</v>
      </c>
      <c r="B214" s="28" t="s">
        <v>200</v>
      </c>
      <c r="C214" s="28"/>
      <c r="D214" s="21"/>
      <c r="E214" s="28" t="s">
        <v>201</v>
      </c>
      <c r="F214" s="21"/>
      <c r="G214" s="21"/>
      <c r="H214" s="29"/>
    </row>
    <row r="215" spans="1:8">
      <c r="A215" s="138">
        <f>A173</f>
        <v>67813.764999999999</v>
      </c>
      <c r="B215" s="34">
        <f>B173</f>
        <v>13562.753000000001</v>
      </c>
      <c r="C215" s="38"/>
      <c r="D215" s="21"/>
      <c r="E215" s="137">
        <f>E173</f>
        <v>700</v>
      </c>
      <c r="F215" s="21"/>
      <c r="G215" s="21"/>
      <c r="H215" s="29"/>
    </row>
    <row r="216" spans="1:8">
      <c r="A216" s="27"/>
      <c r="B216" s="28"/>
      <c r="C216" s="28"/>
      <c r="D216" s="21"/>
      <c r="E216" s="28"/>
      <c r="F216" s="21"/>
      <c r="G216" s="21"/>
      <c r="H216" s="29"/>
    </row>
    <row r="217" spans="1:8">
      <c r="A217" s="27" t="s">
        <v>202</v>
      </c>
      <c r="B217" s="28" t="s">
        <v>148</v>
      </c>
      <c r="C217" s="28"/>
      <c r="D217" s="21"/>
      <c r="E217" s="28" t="s">
        <v>149</v>
      </c>
      <c r="F217" s="21"/>
      <c r="G217" s="21"/>
      <c r="H217" s="29"/>
    </row>
    <row r="218" spans="1:8">
      <c r="A218" s="138">
        <f>A176</f>
        <v>82076.517999999996</v>
      </c>
      <c r="B218" s="34">
        <f>B176</f>
        <v>5000</v>
      </c>
      <c r="C218" s="34"/>
      <c r="D218" s="21"/>
      <c r="E218" s="34">
        <f>E176</f>
        <v>8000</v>
      </c>
      <c r="F218" s="21"/>
      <c r="G218" s="21"/>
      <c r="H218" s="90"/>
    </row>
    <row r="219" spans="1:8">
      <c r="A219" s="27"/>
      <c r="B219" s="28"/>
      <c r="C219" s="28"/>
      <c r="D219" s="21"/>
      <c r="E219" s="28"/>
      <c r="F219" s="21"/>
      <c r="G219" s="21"/>
      <c r="H219" s="29"/>
    </row>
    <row r="220" spans="1:8">
      <c r="A220" s="27" t="s">
        <v>150</v>
      </c>
      <c r="B220" s="28" t="s">
        <v>185</v>
      </c>
      <c r="C220" s="28"/>
      <c r="D220" s="21"/>
      <c r="E220" s="28" t="s">
        <v>191</v>
      </c>
      <c r="F220" s="21"/>
      <c r="G220" s="21"/>
      <c r="H220" s="29"/>
    </row>
    <row r="221" spans="1:8">
      <c r="A221" s="94">
        <f>A179</f>
        <v>13000</v>
      </c>
      <c r="B221" s="34">
        <f>B179</f>
        <v>0</v>
      </c>
      <c r="C221" s="34"/>
      <c r="D221" s="21"/>
      <c r="E221" s="34">
        <f>E179</f>
        <v>69076.517999999996</v>
      </c>
      <c r="F221" s="21"/>
      <c r="G221" s="21"/>
      <c r="H221" s="90"/>
    </row>
    <row r="222" spans="1:8">
      <c r="A222" s="27"/>
      <c r="B222" s="28"/>
      <c r="C222" s="28"/>
      <c r="D222" s="21"/>
      <c r="E222" s="28"/>
      <c r="F222" s="21"/>
      <c r="G222" s="21"/>
      <c r="H222" s="29"/>
    </row>
    <row r="223" spans="1:8">
      <c r="A223" s="27" t="s">
        <v>203</v>
      </c>
      <c r="B223" s="28" t="s">
        <v>66</v>
      </c>
      <c r="C223" s="28"/>
      <c r="D223" s="21"/>
      <c r="E223" s="28" t="s">
        <v>204</v>
      </c>
      <c r="F223" s="21"/>
      <c r="G223" s="21"/>
      <c r="H223" s="29"/>
    </row>
    <row r="224" spans="1:8">
      <c r="A224" s="94">
        <f>A182</f>
        <v>14584.180000000008</v>
      </c>
      <c r="B224" s="34">
        <f>B182</f>
        <v>199.99166666666667</v>
      </c>
      <c r="C224" s="34"/>
      <c r="D224" s="21"/>
      <c r="E224" s="34">
        <f>E182</f>
        <v>83910.688000000009</v>
      </c>
      <c r="F224" s="21"/>
      <c r="G224" s="21"/>
      <c r="H224" s="90"/>
    </row>
    <row r="225" spans="1:8">
      <c r="A225" s="27"/>
      <c r="B225" s="28"/>
      <c r="C225" s="28"/>
      <c r="D225" s="21"/>
      <c r="E225" s="28"/>
      <c r="F225" s="21"/>
      <c r="G225" s="21"/>
      <c r="H225" s="29"/>
    </row>
    <row r="226" spans="1:8">
      <c r="A226" s="27" t="s">
        <v>205</v>
      </c>
      <c r="B226" s="28" t="s">
        <v>206</v>
      </c>
      <c r="C226" s="28"/>
      <c r="D226" s="21"/>
      <c r="E226" s="28" t="s">
        <v>218</v>
      </c>
      <c r="F226" s="21"/>
      <c r="G226" s="21"/>
      <c r="H226" s="29"/>
    </row>
    <row r="227" spans="1:8">
      <c r="A227" s="94">
        <f>A185</f>
        <v>10</v>
      </c>
      <c r="B227" s="34">
        <f>B185</f>
        <v>13239.99</v>
      </c>
      <c r="C227" s="34"/>
      <c r="D227" s="21"/>
      <c r="E227" s="34">
        <f>B59</f>
        <v>34</v>
      </c>
      <c r="F227" s="21"/>
      <c r="G227" s="21"/>
      <c r="H227" s="90"/>
    </row>
    <row r="228" spans="1:8">
      <c r="A228" s="27"/>
      <c r="B228" s="28"/>
      <c r="C228" s="28"/>
      <c r="D228" s="28"/>
      <c r="E228" s="21"/>
      <c r="F228" s="21"/>
      <c r="G228" s="21"/>
      <c r="H228" s="29"/>
    </row>
    <row r="229" spans="1:8">
      <c r="A229" s="27" t="s">
        <v>194</v>
      </c>
      <c r="B229" s="28" t="s">
        <v>195</v>
      </c>
      <c r="C229" s="28"/>
      <c r="D229" s="28"/>
      <c r="E229" s="28" t="s">
        <v>196</v>
      </c>
      <c r="F229" s="21"/>
      <c r="G229" s="21"/>
      <c r="H229" s="29"/>
    </row>
    <row r="230" spans="1:8">
      <c r="A230" s="94">
        <f>A167</f>
        <v>2131.0476746788231</v>
      </c>
      <c r="B230" s="34">
        <f>B167</f>
        <v>219.90705882352941</v>
      </c>
      <c r="C230" s="38"/>
      <c r="D230" s="38"/>
      <c r="E230" s="34">
        <f>E167</f>
        <v>2350.9547335023526</v>
      </c>
      <c r="F230" s="21"/>
      <c r="G230" s="21"/>
      <c r="H230" s="29"/>
    </row>
    <row r="231" spans="1:8">
      <c r="A231" s="27"/>
      <c r="B231" s="28"/>
      <c r="C231" s="28"/>
      <c r="D231" s="28"/>
      <c r="E231" s="21"/>
      <c r="F231" s="21"/>
      <c r="G231" s="21"/>
      <c r="H231" s="29"/>
    </row>
    <row r="232" spans="1:8">
      <c r="A232" s="27" t="s">
        <v>219</v>
      </c>
      <c r="B232" s="28" t="s">
        <v>220</v>
      </c>
      <c r="C232" s="28"/>
      <c r="D232" s="28"/>
      <c r="E232" s="28" t="s">
        <v>80</v>
      </c>
      <c r="F232" s="21"/>
      <c r="G232" s="21"/>
      <c r="H232" s="29"/>
    </row>
    <row r="233" spans="1:8">
      <c r="A233" s="94">
        <f>E170</f>
        <v>11205</v>
      </c>
      <c r="B233" s="34">
        <f>E185</f>
        <v>11215</v>
      </c>
      <c r="C233" s="28"/>
      <c r="D233" s="28"/>
      <c r="E233" s="34">
        <f>J18*0.000006*100</f>
        <v>41.445</v>
      </c>
      <c r="F233" s="21"/>
      <c r="G233" s="21"/>
      <c r="H233" s="29"/>
    </row>
    <row r="234" spans="1:8">
      <c r="A234" s="94"/>
      <c r="B234" s="34"/>
      <c r="C234" s="28"/>
      <c r="D234" s="28"/>
      <c r="E234" s="34"/>
      <c r="F234" s="21"/>
      <c r="G234" s="21"/>
      <c r="H234" s="29"/>
    </row>
    <row r="235" spans="1:8">
      <c r="A235" s="53" t="s">
        <v>221</v>
      </c>
      <c r="B235" s="35" t="s">
        <v>85</v>
      </c>
      <c r="C235" s="28"/>
      <c r="D235" s="28"/>
      <c r="E235" s="35" t="s">
        <v>142</v>
      </c>
      <c r="F235" s="21"/>
      <c r="G235" s="21"/>
      <c r="H235" s="29"/>
    </row>
    <row r="236" spans="1:8">
      <c r="A236" s="94">
        <f>IF(E105="YES",J18*0.000002,0)*100</f>
        <v>13.815</v>
      </c>
      <c r="B236" s="34">
        <f>E233+A236</f>
        <v>55.26</v>
      </c>
      <c r="C236" s="28"/>
      <c r="D236" s="28"/>
      <c r="E236" s="34"/>
      <c r="F236" s="21"/>
      <c r="G236" s="21"/>
      <c r="H236" s="29"/>
    </row>
    <row r="237" spans="1:8">
      <c r="A237" s="94"/>
      <c r="B237" s="34"/>
      <c r="C237" s="28"/>
      <c r="D237" s="28"/>
      <c r="E237" s="34"/>
      <c r="F237" s="21"/>
      <c r="G237" s="21"/>
      <c r="H237" s="29"/>
    </row>
    <row r="238" spans="1:8" ht="23.25">
      <c r="A238" s="373" t="s">
        <v>222</v>
      </c>
      <c r="B238" s="373"/>
      <c r="C238" s="373"/>
      <c r="D238" s="373"/>
      <c r="E238" s="373"/>
      <c r="F238" s="373"/>
      <c r="G238" s="373"/>
      <c r="H238" s="373"/>
    </row>
    <row r="239" spans="1:8">
      <c r="A239" s="27" t="s">
        <v>223</v>
      </c>
      <c r="B239" s="28" t="s">
        <v>209</v>
      </c>
      <c r="C239" s="28"/>
      <c r="D239" s="28"/>
      <c r="E239" s="35" t="s">
        <v>210</v>
      </c>
      <c r="F239" s="21"/>
      <c r="G239" s="21"/>
      <c r="H239" s="29"/>
    </row>
    <row r="240" spans="1:8">
      <c r="A240" s="94">
        <f>H148</f>
        <v>11399.515000000003</v>
      </c>
      <c r="B240" s="34">
        <f>B68</f>
        <v>1036.1477699999998</v>
      </c>
      <c r="C240" s="28"/>
      <c r="D240" s="28"/>
      <c r="E240" s="34">
        <f>E188</f>
        <v>124.61400000000002</v>
      </c>
      <c r="F240" s="21"/>
      <c r="G240" s="21"/>
      <c r="H240" s="29"/>
    </row>
    <row r="241" spans="1:8">
      <c r="A241" s="94"/>
      <c r="B241" s="34"/>
      <c r="C241" s="28"/>
      <c r="D241" s="28"/>
      <c r="E241" s="21"/>
      <c r="F241" s="21"/>
      <c r="G241" s="21"/>
      <c r="H241" s="29"/>
    </row>
    <row r="242" spans="1:8">
      <c r="A242" s="53" t="s">
        <v>211</v>
      </c>
      <c r="B242" s="35" t="s">
        <v>212</v>
      </c>
      <c r="C242" s="28"/>
      <c r="D242" s="28"/>
      <c r="E242" s="35"/>
      <c r="F242" s="21"/>
      <c r="G242" s="21"/>
      <c r="H242" s="29"/>
    </row>
    <row r="243" spans="1:8">
      <c r="A243" s="94">
        <f>A191</f>
        <v>20</v>
      </c>
      <c r="B243" s="34">
        <f>B240+E240+A243+A240-H156</f>
        <v>12580.276770000002</v>
      </c>
      <c r="C243" s="28"/>
      <c r="D243" s="28"/>
      <c r="E243" s="34"/>
      <c r="F243" s="21"/>
      <c r="G243" s="21"/>
      <c r="H243" s="29"/>
    </row>
    <row r="244" spans="1:8">
      <c r="A244" s="27"/>
      <c r="B244" s="28"/>
      <c r="C244" s="28"/>
      <c r="D244" s="28"/>
      <c r="E244" s="21"/>
      <c r="F244" s="21"/>
      <c r="G244" s="21"/>
      <c r="H244" s="29"/>
    </row>
    <row r="245" spans="1:8">
      <c r="A245" s="49"/>
      <c r="B245" s="50"/>
      <c r="C245" s="50"/>
      <c r="D245" s="50"/>
      <c r="E245" s="50"/>
      <c r="F245" s="50"/>
      <c r="G245" s="50"/>
      <c r="H245" s="57"/>
    </row>
    <row r="251" spans="1:8" ht="23.25">
      <c r="A251" s="372" t="s">
        <v>224</v>
      </c>
      <c r="B251" s="372"/>
      <c r="C251" s="372"/>
      <c r="D251" s="372"/>
      <c r="E251" s="372"/>
      <c r="F251" s="372"/>
      <c r="G251" s="372"/>
      <c r="H251" s="372"/>
    </row>
    <row r="252" spans="1:8">
      <c r="A252" s="27"/>
      <c r="B252" s="28"/>
      <c r="C252" s="28"/>
      <c r="D252" s="28"/>
      <c r="E252" s="21"/>
      <c r="F252" s="21"/>
      <c r="G252" s="21"/>
      <c r="H252" s="29"/>
    </row>
    <row r="253" spans="1:8">
      <c r="A253" s="139" t="s">
        <v>225</v>
      </c>
      <c r="B253" s="143">
        <f>K35</f>
        <v>7.0000000000000007E-2</v>
      </c>
      <c r="C253" s="144"/>
      <c r="D253" s="374" t="s">
        <v>226</v>
      </c>
      <c r="E253" s="374"/>
      <c r="F253" s="143">
        <f>B83</f>
        <v>0.12000000000000001</v>
      </c>
      <c r="G253" s="21"/>
      <c r="H253" s="29"/>
    </row>
    <row r="254" spans="1:8">
      <c r="A254" s="139" t="s">
        <v>227</v>
      </c>
      <c r="B254" s="146">
        <f>(E182-B182)-(B201-B182-A185)</f>
        <v>6216.3580000000075</v>
      </c>
      <c r="C254" s="144"/>
      <c r="D254" s="374" t="s">
        <v>228</v>
      </c>
      <c r="E254" s="374"/>
      <c r="F254" s="146">
        <f>F261+F267+F269+B270+B271</f>
        <v>1036.1477699999998</v>
      </c>
      <c r="G254" s="21"/>
      <c r="H254" s="29"/>
    </row>
    <row r="255" spans="1:8">
      <c r="A255" s="139" t="s">
        <v>229</v>
      </c>
      <c r="B255" s="146">
        <f>F262+B263</f>
        <v>1266.1400000000001</v>
      </c>
      <c r="C255" s="144"/>
      <c r="D255" s="374" t="s">
        <v>230</v>
      </c>
      <c r="E255" s="374"/>
      <c r="F255" s="146">
        <f>(B254-F254)+B255</f>
        <v>6446.3502300000082</v>
      </c>
      <c r="G255" s="21"/>
      <c r="H255" s="29"/>
    </row>
    <row r="256" spans="1:8">
      <c r="A256" s="147"/>
      <c r="B256" s="144"/>
      <c r="C256" s="148"/>
      <c r="D256" s="148"/>
      <c r="E256" s="148"/>
      <c r="F256" s="148"/>
      <c r="G256" s="149"/>
      <c r="H256" s="150"/>
    </row>
    <row r="257" spans="1:8">
      <c r="A257" s="27" t="s">
        <v>225</v>
      </c>
      <c r="B257" s="151">
        <f>B253</f>
        <v>7.0000000000000007E-2</v>
      </c>
      <c r="C257" s="144"/>
      <c r="D257" s="144"/>
      <c r="E257" s="144"/>
      <c r="F257" s="144"/>
      <c r="G257" s="21"/>
      <c r="H257" s="29"/>
    </row>
    <row r="258" spans="1:8">
      <c r="A258" s="152"/>
      <c r="B258" s="153"/>
      <c r="C258" s="154"/>
      <c r="D258" s="154"/>
      <c r="E258" s="149"/>
      <c r="F258" s="149"/>
      <c r="G258" s="149"/>
      <c r="H258" s="150"/>
    </row>
    <row r="259" spans="1:8">
      <c r="A259" s="27" t="s">
        <v>231</v>
      </c>
      <c r="B259" s="151">
        <f>B64</f>
        <v>0.05</v>
      </c>
      <c r="C259" s="28"/>
      <c r="D259" s="363" t="s">
        <v>232</v>
      </c>
      <c r="E259" s="363"/>
      <c r="F259" s="151">
        <v>0</v>
      </c>
      <c r="G259" s="21"/>
      <c r="H259" s="29"/>
    </row>
    <row r="260" spans="1:8">
      <c r="A260" s="93" t="s">
        <v>226</v>
      </c>
      <c r="B260" s="155">
        <f>B83</f>
        <v>0.12000000000000001</v>
      </c>
      <c r="C260" s="38"/>
      <c r="D260" s="363" t="s">
        <v>227</v>
      </c>
      <c r="E260" s="363"/>
      <c r="F260" s="115">
        <f>B254</f>
        <v>6216.3580000000075</v>
      </c>
      <c r="G260" s="21"/>
      <c r="H260" s="29"/>
    </row>
    <row r="261" spans="1:8">
      <c r="A261" s="27" t="s">
        <v>233</v>
      </c>
      <c r="B261" s="155">
        <f>B67</f>
        <v>1.4999999999999999E-2</v>
      </c>
      <c r="C261" s="28"/>
      <c r="D261" s="363" t="s">
        <v>233</v>
      </c>
      <c r="E261" s="363"/>
      <c r="F261" s="119">
        <f>B68</f>
        <v>1036.1477699999998</v>
      </c>
      <c r="G261" s="21"/>
      <c r="H261" s="29"/>
    </row>
    <row r="262" spans="1:8">
      <c r="A262" s="27" t="s">
        <v>234</v>
      </c>
      <c r="B262" s="151">
        <f>A108</f>
        <v>0.2</v>
      </c>
      <c r="C262" s="28"/>
      <c r="D262" s="363" t="s">
        <v>234</v>
      </c>
      <c r="E262" s="363"/>
      <c r="F262" s="115">
        <f>E240*10</f>
        <v>1246.1400000000001</v>
      </c>
      <c r="G262" s="21"/>
      <c r="H262" s="29"/>
    </row>
    <row r="263" spans="1:8">
      <c r="A263" s="27" t="s">
        <v>235</v>
      </c>
      <c r="B263" s="115">
        <f>A243</f>
        <v>20</v>
      </c>
      <c r="C263" s="28"/>
      <c r="D263" s="35" t="s">
        <v>230</v>
      </c>
      <c r="E263" s="35"/>
      <c r="F263" s="115">
        <f>(B254-F254)+B255</f>
        <v>6446.3502300000082</v>
      </c>
      <c r="G263" s="21"/>
      <c r="H263" s="29"/>
    </row>
    <row r="264" spans="1:8">
      <c r="A264" s="94"/>
      <c r="B264" s="34"/>
      <c r="C264" s="28"/>
      <c r="D264" s="28"/>
      <c r="E264" s="34"/>
      <c r="F264" s="21"/>
      <c r="G264" s="21"/>
      <c r="H264" s="29"/>
    </row>
    <row r="265" spans="1:8" ht="23.25">
      <c r="A265" s="373" t="s">
        <v>236</v>
      </c>
      <c r="B265" s="373"/>
      <c r="C265" s="373"/>
      <c r="D265" s="373"/>
      <c r="E265" s="373"/>
      <c r="F265" s="373"/>
      <c r="G265" s="373"/>
      <c r="H265" s="373"/>
    </row>
    <row r="266" spans="1:8">
      <c r="A266" s="27" t="s">
        <v>237</v>
      </c>
      <c r="B266" s="119">
        <v>0</v>
      </c>
      <c r="C266" s="28"/>
      <c r="D266" s="375" t="s">
        <v>238</v>
      </c>
      <c r="E266" s="375"/>
      <c r="F266" s="119">
        <v>0</v>
      </c>
      <c r="G266" s="21"/>
      <c r="H266" s="29"/>
    </row>
    <row r="267" spans="1:8">
      <c r="A267" s="94"/>
      <c r="B267" s="115"/>
      <c r="C267" s="28"/>
      <c r="D267" s="363" t="s">
        <v>239</v>
      </c>
      <c r="E267" s="363"/>
      <c r="F267" s="115">
        <f>B266+F266*B209</f>
        <v>0</v>
      </c>
      <c r="G267" s="21"/>
      <c r="H267" s="29"/>
    </row>
    <row r="268" spans="1:8">
      <c r="A268" s="53" t="s">
        <v>240</v>
      </c>
      <c r="B268" s="156" t="s">
        <v>10</v>
      </c>
      <c r="C268" s="28"/>
      <c r="D268" s="363" t="s">
        <v>241</v>
      </c>
      <c r="E268" s="363"/>
      <c r="F268" s="156">
        <f>B70</f>
        <v>0</v>
      </c>
      <c r="G268" s="21"/>
      <c r="H268" s="29"/>
    </row>
    <row r="269" spans="1:8">
      <c r="A269" s="53"/>
      <c r="B269" s="121"/>
      <c r="C269" s="28"/>
      <c r="D269" s="363" t="s">
        <v>242</v>
      </c>
      <c r="E269" s="363"/>
      <c r="F269" s="115">
        <f>B91</f>
        <v>0</v>
      </c>
      <c r="G269" s="21"/>
      <c r="H269" s="29"/>
    </row>
    <row r="270" spans="1:8">
      <c r="A270" s="53" t="s">
        <v>243</v>
      </c>
      <c r="B270" s="119">
        <v>0</v>
      </c>
      <c r="C270" s="28"/>
      <c r="D270" s="28"/>
      <c r="E270" s="34"/>
      <c r="F270" s="21"/>
      <c r="G270" s="21"/>
      <c r="H270" s="29"/>
    </row>
    <row r="271" spans="1:8">
      <c r="A271" s="27" t="s">
        <v>244</v>
      </c>
      <c r="B271" s="119">
        <v>0</v>
      </c>
      <c r="C271" s="28"/>
      <c r="D271" s="28"/>
      <c r="E271" s="21"/>
      <c r="F271" s="21"/>
      <c r="G271" s="21"/>
      <c r="H271" s="29"/>
    </row>
    <row r="272" spans="1:8">
      <c r="A272" s="49"/>
      <c r="B272" s="50"/>
      <c r="C272" s="50"/>
      <c r="D272" s="50"/>
      <c r="E272" s="50"/>
      <c r="F272" s="50"/>
      <c r="G272" s="50"/>
      <c r="H272" s="57"/>
    </row>
  </sheetData>
  <mergeCells count="287">
    <mergeCell ref="D269:E269"/>
    <mergeCell ref="D255:E255"/>
    <mergeCell ref="D259:E259"/>
    <mergeCell ref="D260:E260"/>
    <mergeCell ref="D261:E261"/>
    <mergeCell ref="D262:E262"/>
    <mergeCell ref="A265:H265"/>
    <mergeCell ref="D266:E266"/>
    <mergeCell ref="D267:E267"/>
    <mergeCell ref="D268:E268"/>
    <mergeCell ref="B197:D197"/>
    <mergeCell ref="K197:M197"/>
    <mergeCell ref="T197:V197"/>
    <mergeCell ref="AC197:AE197"/>
    <mergeCell ref="A206:H206"/>
    <mergeCell ref="A238:H238"/>
    <mergeCell ref="A251:H251"/>
    <mergeCell ref="D253:E253"/>
    <mergeCell ref="D254:E254"/>
    <mergeCell ref="A195:A196"/>
    <mergeCell ref="B195:D195"/>
    <mergeCell ref="J195:J196"/>
    <mergeCell ref="K195:M195"/>
    <mergeCell ref="S195:S196"/>
    <mergeCell ref="T195:V195"/>
    <mergeCell ref="AB195:AB196"/>
    <mergeCell ref="AC195:AE195"/>
    <mergeCell ref="B196:D196"/>
    <mergeCell ref="K196:M196"/>
    <mergeCell ref="T196:V196"/>
    <mergeCell ref="AC196:AE196"/>
    <mergeCell ref="G159:H159"/>
    <mergeCell ref="P159:Q159"/>
    <mergeCell ref="Y159:Z159"/>
    <mergeCell ref="AH159:AI159"/>
    <mergeCell ref="A162:H162"/>
    <mergeCell ref="J162:Q162"/>
    <mergeCell ref="S162:Z162"/>
    <mergeCell ref="AB162:AI162"/>
    <mergeCell ref="B164:C164"/>
    <mergeCell ref="K164:L164"/>
    <mergeCell ref="T164:U164"/>
    <mergeCell ref="AC164:AD164"/>
    <mergeCell ref="E155:F155"/>
    <mergeCell ref="N155:O155"/>
    <mergeCell ref="W155:X155"/>
    <mergeCell ref="AF155:AG155"/>
    <mergeCell ref="G157:H157"/>
    <mergeCell ref="P157:Q157"/>
    <mergeCell ref="Y157:Z157"/>
    <mergeCell ref="AH157:AI157"/>
    <mergeCell ref="G158:H158"/>
    <mergeCell ref="P158:Q158"/>
    <mergeCell ref="Y158:Z158"/>
    <mergeCell ref="AH158:AI158"/>
    <mergeCell ref="E153:F153"/>
    <mergeCell ref="G153:H153"/>
    <mergeCell ref="N153:O153"/>
    <mergeCell ref="P153:Q153"/>
    <mergeCell ref="W153:X153"/>
    <mergeCell ref="Y153:Z153"/>
    <mergeCell ref="AF153:AG153"/>
    <mergeCell ref="AH153:AI153"/>
    <mergeCell ref="E154:F154"/>
    <mergeCell ref="G154:H154"/>
    <mergeCell ref="N154:O154"/>
    <mergeCell ref="P154:Q154"/>
    <mergeCell ref="W154:X154"/>
    <mergeCell ref="Y154:Z154"/>
    <mergeCell ref="AF154:AG154"/>
    <mergeCell ref="AH154:AI154"/>
    <mergeCell ref="A150:H150"/>
    <mergeCell ref="J150:Q150"/>
    <mergeCell ref="S150:Z150"/>
    <mergeCell ref="AB150:AI150"/>
    <mergeCell ref="E152:F152"/>
    <mergeCell ref="G152:H152"/>
    <mergeCell ref="N152:O152"/>
    <mergeCell ref="P152:Q152"/>
    <mergeCell ref="W152:X152"/>
    <mergeCell ref="Y152:Z152"/>
    <mergeCell ref="AF152:AG152"/>
    <mergeCell ref="AH152:AI152"/>
    <mergeCell ref="B146:F146"/>
    <mergeCell ref="K146:O146"/>
    <mergeCell ref="T146:X146"/>
    <mergeCell ref="AC146:AG146"/>
    <mergeCell ref="A147:F147"/>
    <mergeCell ref="J147:O147"/>
    <mergeCell ref="S147:X147"/>
    <mergeCell ref="AB147:AG147"/>
    <mergeCell ref="A148:F148"/>
    <mergeCell ref="J148:O148"/>
    <mergeCell ref="S148:X148"/>
    <mergeCell ref="AB148:AG148"/>
    <mergeCell ref="A143:F143"/>
    <mergeCell ref="J143:O143"/>
    <mergeCell ref="S143:X143"/>
    <mergeCell ref="AB143:AG143"/>
    <mergeCell ref="B144:F144"/>
    <mergeCell ref="K144:O144"/>
    <mergeCell ref="T144:X144"/>
    <mergeCell ref="AC144:AG144"/>
    <mergeCell ref="B145:F145"/>
    <mergeCell ref="K145:O145"/>
    <mergeCell ref="T145:X145"/>
    <mergeCell ref="AC145:AG145"/>
    <mergeCell ref="A140:F140"/>
    <mergeCell ref="J140:O140"/>
    <mergeCell ref="S140:X140"/>
    <mergeCell ref="AB140:AG140"/>
    <mergeCell ref="A141:F141"/>
    <mergeCell ref="J141:O141"/>
    <mergeCell ref="S141:X141"/>
    <mergeCell ref="AB141:AG141"/>
    <mergeCell ref="A142:F142"/>
    <mergeCell ref="J142:O142"/>
    <mergeCell ref="S142:X142"/>
    <mergeCell ref="AB142:AG142"/>
    <mergeCell ref="A137:F137"/>
    <mergeCell ref="J137:O137"/>
    <mergeCell ref="S137:X137"/>
    <mergeCell ref="AB137:AG137"/>
    <mergeCell ref="A138:F138"/>
    <mergeCell ref="J138:O138"/>
    <mergeCell ref="S138:X138"/>
    <mergeCell ref="AB138:AG138"/>
    <mergeCell ref="A139:F139"/>
    <mergeCell ref="J139:O139"/>
    <mergeCell ref="S139:X139"/>
    <mergeCell ref="AB139:AG139"/>
    <mergeCell ref="AC133:AD133"/>
    <mergeCell ref="AE133:AF133"/>
    <mergeCell ref="AG133:AH133"/>
    <mergeCell ref="A135:F135"/>
    <mergeCell ref="J135:O135"/>
    <mergeCell ref="S135:X135"/>
    <mergeCell ref="AB135:AG135"/>
    <mergeCell ref="A136:F136"/>
    <mergeCell ref="J136:O136"/>
    <mergeCell ref="S136:X136"/>
    <mergeCell ref="AB136:AG136"/>
    <mergeCell ref="B133:C133"/>
    <mergeCell ref="D133:E133"/>
    <mergeCell ref="F133:G133"/>
    <mergeCell ref="K133:L133"/>
    <mergeCell ref="M133:N133"/>
    <mergeCell ref="O133:P133"/>
    <mergeCell ref="T133:U133"/>
    <mergeCell ref="V133:W133"/>
    <mergeCell ref="X133:Y133"/>
    <mergeCell ref="AC131:AD131"/>
    <mergeCell ref="AE131:AF131"/>
    <mergeCell ref="AG131:AH131"/>
    <mergeCell ref="B132:C132"/>
    <mergeCell ref="D132:E132"/>
    <mergeCell ref="F132:G132"/>
    <mergeCell ref="K132:L132"/>
    <mergeCell ref="M132:N132"/>
    <mergeCell ref="O132:P132"/>
    <mergeCell ref="T132:U132"/>
    <mergeCell ref="V132:W132"/>
    <mergeCell ref="X132:Y132"/>
    <mergeCell ref="AC132:AD132"/>
    <mergeCell ref="AE132:AF132"/>
    <mergeCell ref="AG132:AH132"/>
    <mergeCell ref="B131:C131"/>
    <mergeCell ref="D131:E131"/>
    <mergeCell ref="F131:G131"/>
    <mergeCell ref="K131:L131"/>
    <mergeCell ref="M131:N131"/>
    <mergeCell ref="O131:P131"/>
    <mergeCell ref="T131:U131"/>
    <mergeCell ref="V131:W131"/>
    <mergeCell ref="X131:Y131"/>
    <mergeCell ref="AC119:AD119"/>
    <mergeCell ref="AE119:AF119"/>
    <mergeCell ref="AG119:AH119"/>
    <mergeCell ref="B130:C130"/>
    <mergeCell ref="D130:E130"/>
    <mergeCell ref="F130:G130"/>
    <mergeCell ref="K130:L130"/>
    <mergeCell ref="M130:N130"/>
    <mergeCell ref="O130:P130"/>
    <mergeCell ref="T130:U130"/>
    <mergeCell ref="V130:W130"/>
    <mergeCell ref="X130:Y130"/>
    <mergeCell ref="AC130:AD130"/>
    <mergeCell ref="AE130:AF130"/>
    <mergeCell ref="AG130:AH130"/>
    <mergeCell ref="B119:C119"/>
    <mergeCell ref="D119:E119"/>
    <mergeCell ref="F119:G119"/>
    <mergeCell ref="K119:L119"/>
    <mergeCell ref="M119:N119"/>
    <mergeCell ref="O119:P119"/>
    <mergeCell ref="T119:U119"/>
    <mergeCell ref="V119:W119"/>
    <mergeCell ref="X119:Y119"/>
    <mergeCell ref="B114:D114"/>
    <mergeCell ref="E114:G114"/>
    <mergeCell ref="K114:M114"/>
    <mergeCell ref="N114:P114"/>
    <mergeCell ref="T114:V114"/>
    <mergeCell ref="W114:Y114"/>
    <mergeCell ref="AC114:AE114"/>
    <mergeCell ref="AF114:AH114"/>
    <mergeCell ref="A117:H117"/>
    <mergeCell ref="J117:Q117"/>
    <mergeCell ref="S117:Z117"/>
    <mergeCell ref="AB117:AI117"/>
    <mergeCell ref="B108:D108"/>
    <mergeCell ref="E108:G108"/>
    <mergeCell ref="K108:M108"/>
    <mergeCell ref="N108:P108"/>
    <mergeCell ref="T108:V108"/>
    <mergeCell ref="W108:Y108"/>
    <mergeCell ref="AC108:AE108"/>
    <mergeCell ref="AF108:AH108"/>
    <mergeCell ref="B111:D111"/>
    <mergeCell ref="E111:G111"/>
    <mergeCell ref="K111:M111"/>
    <mergeCell ref="N111:P111"/>
    <mergeCell ref="T111:V111"/>
    <mergeCell ref="W111:Y111"/>
    <mergeCell ref="AC111:AE111"/>
    <mergeCell ref="AF111:AH111"/>
    <mergeCell ref="S100:Z100"/>
    <mergeCell ref="AB100:AI100"/>
    <mergeCell ref="A102:H102"/>
    <mergeCell ref="J102:Q102"/>
    <mergeCell ref="S102:Z102"/>
    <mergeCell ref="AB102:AI102"/>
    <mergeCell ref="B105:D105"/>
    <mergeCell ref="E105:G105"/>
    <mergeCell ref="K105:M105"/>
    <mergeCell ref="N105:P105"/>
    <mergeCell ref="T105:V105"/>
    <mergeCell ref="W105:Y105"/>
    <mergeCell ref="AC105:AE105"/>
    <mergeCell ref="AF105:AH105"/>
    <mergeCell ref="J38:K38"/>
    <mergeCell ref="B40:D40"/>
    <mergeCell ref="C45:E45"/>
    <mergeCell ref="A50:A51"/>
    <mergeCell ref="B50:D50"/>
    <mergeCell ref="B51:D51"/>
    <mergeCell ref="B52:D52"/>
    <mergeCell ref="A100:H100"/>
    <mergeCell ref="J100:Q100"/>
    <mergeCell ref="B18:F18"/>
    <mergeCell ref="B19:F19"/>
    <mergeCell ref="B20:F20"/>
    <mergeCell ref="A21:F21"/>
    <mergeCell ref="A24:H24"/>
    <mergeCell ref="A28:H28"/>
    <mergeCell ref="B30:D30"/>
    <mergeCell ref="E33:G33"/>
    <mergeCell ref="E36:G36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A1:H1"/>
    <mergeCell ref="B2:C2"/>
    <mergeCell ref="D2:E2"/>
    <mergeCell ref="F2:G2"/>
    <mergeCell ref="B3:C3"/>
    <mergeCell ref="D3:E3"/>
    <mergeCell ref="F3:G3"/>
    <mergeCell ref="B4:C4"/>
    <mergeCell ref="D4:E4"/>
    <mergeCell ref="F4:G4"/>
  </mergeCells>
  <dataValidations count="2">
    <dataValidation type="list" allowBlank="1" showInputMessage="1" showErrorMessage="1" sqref="A18:A20 B105 K105 N105 T105 W105 AC105 AF105 B108:D108 K108:M108 T108:V108 AC108:AE108 A111 J111 S111 AB111 A144:A146 J144:J146 S144:S146 AB144:AB146" xr:uid="{00000000-0002-0000-4100-000000000000}">
      <formula1>#REF!</formula1>
      <formula2>0</formula2>
    </dataValidation>
    <dataValidation type="list" allowBlank="1" showInputMessage="1" showErrorMessage="1" sqref="B26 E105" xr:uid="{00000000-0002-0000-4100-000001000000}">
      <formula1>$Z$19:$Z$20</formula1>
      <formula2>0</formula2>
    </dataValidation>
  </dataValidations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AC1000"/>
  <sheetViews>
    <sheetView topLeftCell="A176" zoomScale="110" zoomScaleNormal="110" workbookViewId="0">
      <selection activeCell="D201" sqref="D201"/>
    </sheetView>
  </sheetViews>
  <sheetFormatPr defaultColWidth="10.875" defaultRowHeight="14.25"/>
  <cols>
    <col min="1" max="1" customWidth="true" width="56.0"/>
    <col min="2" max="2" customWidth="true" width="18.125"/>
    <col min="3" max="3" customWidth="true" width="25.125"/>
    <col min="4" max="4" customWidth="true" width="18.125"/>
    <col min="5" max="5" customWidth="true" width="24.0"/>
    <col min="7" max="7" customWidth="true" width="53.5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38.2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 t="s">
        <v>31</v>
      </c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90">
        <v>20255</v>
      </c>
      <c r="C3" s="187">
        <v>0</v>
      </c>
      <c r="D3" s="190">
        <v>0</v>
      </c>
      <c r="E3" s="289">
        <v>0</v>
      </c>
      <c r="F3" s="55"/>
      <c r="G3" s="55">
        <v>25000</v>
      </c>
      <c r="H3" s="55"/>
      <c r="I3" s="55" t="s">
        <v>32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0">
        <v>0</v>
      </c>
      <c r="C4" s="0">
        <v>0</v>
      </c>
      <c r="D4" s="0">
        <v>0</v>
      </c>
      <c r="E4" s="214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>
        <v>0</v>
      </c>
      <c r="C5" s="187">
        <v>0</v>
      </c>
      <c r="D5" s="187">
        <v>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0</v>
      </c>
      <c r="C6" s="28">
        <f>(C3*C4/100)+C5</f>
        <v>0</v>
      </c>
      <c r="D6" s="28">
        <f>(D3*D4/100)+D5</f>
        <v>0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20255</v>
      </c>
      <c r="C7" s="28">
        <f>C3-C6</f>
        <v>0</v>
      </c>
      <c r="D7" s="28">
        <f>D3-D6</f>
        <v>0</v>
      </c>
      <c r="E7" s="29"/>
      <c r="F7" s="55"/>
      <c r="G7" s="297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298">
        <f>G9*100/B3</f>
        <v>-651.78968156010865</v>
      </c>
      <c r="H8" s="55"/>
      <c r="I8" s="14" t="s">
        <v>17</v>
      </c>
      <c r="J8" s="11">
        <f>E13+E14</f>
        <v>340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/>
      <c r="C9" s="408"/>
      <c r="D9" s="408"/>
      <c r="E9" s="326">
        <f>(B7+C7+D7+E3)</f>
        <v>20255</v>
      </c>
      <c r="F9" s="55"/>
      <c r="G9" s="297">
        <f>E9-G11</f>
        <v>-132020</v>
      </c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>
        <v>695</v>
      </c>
      <c r="F10" s="55"/>
      <c r="G10" s="297"/>
      <c r="H10" s="55"/>
      <c r="I10" s="16" t="s">
        <v>15</v>
      </c>
      <c r="J10" s="11">
        <f>E15-E11-J8</f>
        <v>20950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/>
      <c r="C11" s="409"/>
      <c r="D11" s="409"/>
      <c r="E11" s="29">
        <f>(E9+E10)*0.2</f>
        <v>4190</v>
      </c>
      <c r="F11" s="55"/>
      <c r="G11" s="297">
        <f>G13/1.2</f>
        <v>152275</v>
      </c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/>
      <c r="C13" s="409"/>
      <c r="D13" s="409"/>
      <c r="E13" s="289">
        <v>275</v>
      </c>
      <c r="F13" s="55"/>
      <c r="G13" s="297">
        <f>G15-E14-E13-E12</f>
        <v>182730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>
        <v>65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327">
        <f>(E9+E10+E13+E14+E11)-E12</f>
        <v>25480</v>
      </c>
      <c r="F15" s="55"/>
      <c r="G15" s="17">
        <v>183070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>
        <v>0</v>
      </c>
      <c r="F16" s="55"/>
      <c r="G16" s="299">
        <f>(B3+C3+E10)*1.2</f>
        <v>25140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>
        <v>0</v>
      </c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(B3+C3+D3+E3+E10)*1.2</f>
        <v>25140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>
        <v>150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25300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354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162" t="s">
        <v>138</v>
      </c>
      <c r="B26" s="164" t="s">
        <v>385</v>
      </c>
      <c r="C26" s="158"/>
      <c r="D26" s="158"/>
      <c r="E26" s="159"/>
      <c r="F26" s="55"/>
      <c r="G26" s="160" t="s">
        <v>36</v>
      </c>
      <c r="H26" s="160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38</v>
      </c>
      <c r="H27" s="161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377" t="s">
        <v>192</v>
      </c>
      <c r="B28" s="377"/>
      <c r="C28" s="377"/>
      <c r="D28" s="377"/>
      <c r="E28" s="377"/>
      <c r="F28" s="55"/>
      <c r="G28" s="161" t="s">
        <v>40</v>
      </c>
      <c r="H28" s="16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57"/>
      <c r="B29" s="158"/>
      <c r="C29" s="158"/>
      <c r="D29" s="158"/>
      <c r="E29" s="159"/>
      <c r="F29" s="55"/>
      <c r="G29" s="160" t="s">
        <v>41</v>
      </c>
      <c r="H29" s="300">
        <v>22</v>
      </c>
      <c r="I29" s="55"/>
      <c r="J29" s="55"/>
      <c r="K29" s="55">
        <v>36</v>
      </c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 t="s">
        <v>193</v>
      </c>
      <c r="B30" s="368" t="s">
        <v>387</v>
      </c>
      <c r="C30" s="368"/>
      <c r="D30" s="158"/>
      <c r="E30" s="159"/>
      <c r="F30" s="55"/>
      <c r="G30" s="160" t="s">
        <v>45</v>
      </c>
      <c r="H30" s="300">
        <v>22000</v>
      </c>
      <c r="I30" s="55"/>
      <c r="J30" s="55"/>
      <c r="K30" s="55">
        <v>10000</v>
      </c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57"/>
      <c r="B31" s="158"/>
      <c r="C31" s="158"/>
      <c r="D31" s="158"/>
      <c r="E31" s="159"/>
      <c r="F31" s="55"/>
      <c r="G31" s="160" t="s">
        <v>48</v>
      </c>
      <c r="H31" s="37">
        <v>12090</v>
      </c>
      <c r="I31" s="5">
        <f>IF(C107="YES",H31,0)</f>
        <v>12090</v>
      </c>
      <c r="J31" s="55"/>
      <c r="K31" s="55">
        <v>20000</v>
      </c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57" t="s">
        <v>94</v>
      </c>
      <c r="B32" s="158" t="s">
        <v>95</v>
      </c>
      <c r="C32" s="158"/>
      <c r="D32" s="301" t="s">
        <v>355</v>
      </c>
      <c r="E32" s="159"/>
      <c r="F32" s="55"/>
      <c r="G32" s="160" t="s">
        <v>49</v>
      </c>
      <c r="I32" s="37">
        <v>1406.9</v>
      </c>
      <c r="J32" s="55"/>
      <c r="K32" s="55">
        <v>2160</v>
      </c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31.7" customHeight="1">
      <c r="A33" s="169">
        <f>A52</f>
        <v>22</v>
      </c>
      <c r="B33" s="170">
        <v>10000</v>
      </c>
      <c r="C33" s="171"/>
      <c r="D33" s="302">
        <f>H48</f>
        <v>655.72936351659939</v>
      </c>
      <c r="E33" s="159"/>
      <c r="F33" s="55"/>
      <c r="G33" s="161" t="s">
        <v>356</v>
      </c>
      <c r="H33" s="43">
        <f>E21-E11+((E16*20%)+(E19*20%)+(E20*20%))</f>
        <v>21140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57"/>
      <c r="B34" s="158"/>
      <c r="C34" s="158"/>
      <c r="D34" s="158"/>
      <c r="E34" s="159"/>
      <c r="F34" s="55"/>
      <c r="G34" s="55" t="s">
        <v>372</v>
      </c>
      <c r="H34" s="55">
        <f>H29</f>
        <v>22</v>
      </c>
      <c r="I34" s="55">
        <v>43957.29</v>
      </c>
      <c r="J34" s="55">
        <v>841.24</v>
      </c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57" t="s">
        <v>357</v>
      </c>
      <c r="B35" s="158" t="s">
        <v>358</v>
      </c>
      <c r="C35" s="158"/>
      <c r="D35" s="158" t="s">
        <v>359</v>
      </c>
      <c r="E35" s="159"/>
      <c r="F35" s="55"/>
      <c r="G35" s="46" t="s">
        <v>59</v>
      </c>
      <c r="H35" s="174">
        <v>6.5000000000000002E-2</v>
      </c>
      <c r="I35" s="55">
        <v>46215.83</v>
      </c>
      <c r="J35" s="55">
        <v>909.69</v>
      </c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38">
        <f>H47</f>
        <v>591.77936351659935</v>
      </c>
      <c r="B36" s="34">
        <f>IF(B26="YES",H42,"")</f>
        <v>63.95</v>
      </c>
      <c r="C36" s="163"/>
      <c r="D36" s="137">
        <f>I31</f>
        <v>12090</v>
      </c>
      <c r="E36" s="159"/>
      <c r="F36" s="55"/>
      <c r="G36" s="55"/>
      <c r="H36" s="55"/>
      <c r="I36" s="55">
        <f>I35-I34</f>
        <v>2258.5400000000009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94"/>
      <c r="B37" s="34"/>
      <c r="C37" s="163"/>
      <c r="D37" s="34"/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57"/>
      <c r="B38" s="158"/>
      <c r="C38" s="158"/>
      <c r="D38" s="158"/>
      <c r="E38" s="159"/>
      <c r="F38" s="55"/>
      <c r="G38" s="384" t="s">
        <v>65</v>
      </c>
      <c r="H38" s="384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57" t="s">
        <v>360</v>
      </c>
      <c r="B39" s="158" t="s">
        <v>361</v>
      </c>
      <c r="C39" s="158"/>
      <c r="D39" s="158" t="s">
        <v>362</v>
      </c>
      <c r="E39" s="159"/>
      <c r="F39" s="55"/>
      <c r="G39" s="55" t="s">
        <v>96</v>
      </c>
      <c r="H39" s="5">
        <f>H33</f>
        <v>21140</v>
      </c>
      <c r="I39" s="5">
        <f>(I48*H46)+H44</f>
        <v>36536.736266329266</v>
      </c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92">
        <f>D36*A45/100</f>
        <v>12090</v>
      </c>
      <c r="B40" s="348">
        <f>IF(B26="YES",H42,"0")</f>
        <v>63.95</v>
      </c>
      <c r="C40" s="348"/>
      <c r="D40" s="137">
        <f>I32</f>
        <v>1406.9</v>
      </c>
      <c r="E40" s="159"/>
      <c r="F40" s="55"/>
      <c r="G40" s="55" t="s">
        <v>118</v>
      </c>
      <c r="H40" s="5">
        <f>A40/1.2</f>
        <v>10075</v>
      </c>
      <c r="I40" s="5">
        <f>H39-I39</f>
        <v>-15396.736266329266</v>
      </c>
      <c r="J40" s="55">
        <v>24541.66</v>
      </c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157"/>
      <c r="B41" s="158"/>
      <c r="C41" s="158"/>
      <c r="D41" s="158"/>
      <c r="E41" s="159"/>
      <c r="F41" s="55"/>
      <c r="G41" s="55" t="s">
        <v>363</v>
      </c>
      <c r="H41" s="180">
        <f>H35/12</f>
        <v>5.4166666666666669E-3</v>
      </c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57"/>
      <c r="B42" s="158"/>
      <c r="C42" s="158"/>
      <c r="D42" s="158"/>
      <c r="E42" s="159"/>
      <c r="F42" s="55"/>
      <c r="G42" s="55" t="s">
        <v>364</v>
      </c>
      <c r="H42" s="5">
        <f>(I32/H34)*(C45/100)</f>
        <v>63.95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209"/>
      <c r="B43" s="210"/>
      <c r="C43" s="210"/>
      <c r="D43" s="210"/>
      <c r="E43" s="211"/>
      <c r="F43" s="55"/>
      <c r="G43" s="55" t="s">
        <v>365</v>
      </c>
      <c r="H43" s="55"/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303" t="s">
        <v>89</v>
      </c>
      <c r="B44" s="158"/>
      <c r="C44" s="404" t="s">
        <v>90</v>
      </c>
      <c r="D44" s="404"/>
      <c r="E44" s="159"/>
      <c r="F44" s="55"/>
      <c r="G44" s="55" t="s">
        <v>373</v>
      </c>
      <c r="H44" s="5">
        <f>(H40/(1+H41)^(H34+1))</f>
        <v>8897.8526663741559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304">
        <v>100</v>
      </c>
      <c r="B45" s="158"/>
      <c r="C45" s="405">
        <v>100</v>
      </c>
      <c r="D45" s="405"/>
      <c r="E45" s="159"/>
      <c r="F45" s="55"/>
      <c r="G45" s="55" t="s">
        <v>374</v>
      </c>
      <c r="H45" s="5">
        <f>(H39-H44)</f>
        <v>12242.147333625844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6"/>
      <c r="B46" s="207"/>
      <c r="C46" s="207"/>
      <c r="D46" s="207"/>
      <c r="E46" s="208"/>
      <c r="F46" s="55"/>
      <c r="G46" s="55" t="s">
        <v>375</v>
      </c>
      <c r="H46" s="5">
        <f>((1-(1/((1+H41)^H34)))/H41)</f>
        <v>20.687012911159844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57"/>
      <c r="B47" s="158"/>
      <c r="C47" s="158"/>
      <c r="D47" s="158"/>
      <c r="E47" s="159"/>
      <c r="F47" s="55"/>
      <c r="G47" s="55" t="s">
        <v>369</v>
      </c>
      <c r="H47" s="5">
        <f>H45/H46</f>
        <v>591.77936351659935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305" t="s">
        <v>370</v>
      </c>
      <c r="H48" s="5">
        <f>IF(B26="YES",H47+H42,H47)</f>
        <v>655.72936351659939</v>
      </c>
      <c r="I48" s="5">
        <f>I49-H42</f>
        <v>1336.05</v>
      </c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 t="s">
        <v>371</v>
      </c>
      <c r="H49" s="205"/>
      <c r="I49" s="5">
        <v>1400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22000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22</v>
      </c>
      <c r="B52" s="343">
        <f>H48</f>
        <v>655.72936351659939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158"/>
      <c r="N55" s="158"/>
      <c r="O55" s="158"/>
      <c r="P55" s="158"/>
      <c r="Q55" s="158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209"/>
      <c r="N56" s="210"/>
      <c r="O56" s="210"/>
      <c r="P56" s="210"/>
      <c r="Q56" s="211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IF(B99=Y97,1,IF(B99=Y98,1,IF(B99=Y99,3,IF(B99=Y100,6,IF(B99=Y101,9,IF(B99=Y102,12,IF(B99=Y103,3,IF(B99=Y104,6,IF(B99=Y105,9,0)))))))))</f>
        <v>1</v>
      </c>
      <c r="C57" s="158"/>
      <c r="D57" s="158"/>
      <c r="E57" s="159"/>
      <c r="F57" s="55"/>
      <c r="G57" s="157" t="s">
        <v>96</v>
      </c>
      <c r="H57" s="158">
        <f>IF(H99=Y97,1,IF(H99=Y98,1,IF(H99=Y99,3,IF(H99=Y100,6,IF(H99=Y101,9,IF(H99=Y102,12,IF(H99=Y103,3,IF(H99=Y104,6,IF(H99=Y105,9,0)))))))))</f>
        <v>6</v>
      </c>
      <c r="I57" s="158"/>
      <c r="J57" s="158"/>
      <c r="K57" s="159"/>
      <c r="L57" s="55"/>
      <c r="M57" s="157" t="s">
        <v>96</v>
      </c>
      <c r="N57" s="158">
        <f>IF(N99=Y97,1,IF(N99=Y98,1,IF(N99=Y99,3,IF(N99=Y100,6,IF(N99=Y101,9,IF(N99=Y102,12,IF(N99=Y103,3,IF(N99=Y104,6,IF(N99=Y105,9,0)))))))))</f>
        <v>6</v>
      </c>
      <c r="O57" s="158"/>
      <c r="P57" s="158"/>
      <c r="Q57" s="159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IF(B99=Y97,H29-B57,IF(B99=Y98,H29-B57,IF(B99=Y99,H29-1,IF(B99=Y100,H29-1,IF(B99=Y101,H29-1,IF(B99=Y102,H29-1,IF(B99=Y103,H29-B57,IF(B99=Y104,H29-B57,IF(B99=Y105,H29-B57,0)))))))))</f>
        <v>21</v>
      </c>
      <c r="C58" s="158"/>
      <c r="D58" s="158"/>
      <c r="E58" s="159"/>
      <c r="F58" s="55"/>
      <c r="G58" s="157" t="s">
        <v>97</v>
      </c>
      <c r="H58" s="158">
        <f>IF(H99=Y97,H29-H57,IF(H99=Y98,H29-H57,IF(H99=Y99,H29-1,IF(H99=Y100,H29-1,IF(H99=Y101,H29-1,IF(H99=Y102,H29-1,IF(H99=Y103,H29-H57,IF(H99=Y104,H29-H57,IF(H99=Y105,H29-H57,0)))))))))</f>
        <v>21</v>
      </c>
      <c r="I58" s="158"/>
      <c r="J58" s="158"/>
      <c r="K58" s="159"/>
      <c r="L58" s="55"/>
      <c r="M58" s="157" t="s">
        <v>97</v>
      </c>
      <c r="N58" s="158">
        <f>IF(N99=Y97,H29-N57,IF(N99=Y98,H29-N57,IF(N99=Y99,H29-1,IF(N99=Y100,H29-1,IF(N99=Y101,H29-1,IF(N99=Y102,H29-1,IF(N99=Y103,H29-N57,IF(N99=Y104,H29-N57,IF(N99=Y105,H29-N57,0)))))))))</f>
        <v>21</v>
      </c>
      <c r="O58" s="158"/>
      <c r="P58" s="158"/>
      <c r="Q58" s="159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157"/>
      <c r="N59" s="158"/>
      <c r="O59" s="158"/>
      <c r="P59" s="158"/>
      <c r="Q59" s="159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/>
      <c r="B60" s="158"/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157"/>
      <c r="N60" s="158"/>
      <c r="O60" s="158"/>
      <c r="P60" s="158"/>
      <c r="Q60" s="159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f>G18</f>
        <v>25140</v>
      </c>
      <c r="C61" s="158"/>
      <c r="D61" s="158"/>
      <c r="E61" s="159"/>
      <c r="F61" s="55"/>
      <c r="G61" s="157" t="s">
        <v>27</v>
      </c>
      <c r="H61" s="28">
        <f>G18</f>
        <v>25140</v>
      </c>
      <c r="I61" s="158"/>
      <c r="J61" s="158"/>
      <c r="K61" s="159"/>
      <c r="L61" s="55"/>
      <c r="M61" s="157" t="s">
        <v>27</v>
      </c>
      <c r="N61" s="28">
        <f>G18</f>
        <v>25140</v>
      </c>
      <c r="O61" s="158"/>
      <c r="P61" s="158"/>
      <c r="Q61" s="159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212" t="s">
        <v>283</v>
      </c>
      <c r="N62" s="213">
        <v>7.0000000000000007E-2</v>
      </c>
      <c r="O62" s="158"/>
      <c r="P62" s="158"/>
      <c r="Q62" s="159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8.4599999999999995E-2</v>
      </c>
      <c r="C63" s="158"/>
      <c r="D63" s="158"/>
      <c r="E63" s="159"/>
      <c r="F63" s="55"/>
      <c r="G63" s="157" t="s">
        <v>284</v>
      </c>
      <c r="H63" s="214">
        <f>H62+(H62*0.25*(H29/12-1))</f>
        <v>8.4583333333333344E-2</v>
      </c>
      <c r="I63" s="158"/>
      <c r="J63" s="158"/>
      <c r="K63" s="159"/>
      <c r="L63" s="55"/>
      <c r="M63" s="157" t="s">
        <v>284</v>
      </c>
      <c r="N63" s="214">
        <f>N62+(N62*0.25*(H29/12-1))</f>
        <v>8.4583333333333344E-2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B61*B63</f>
        <v>2126.8440000000001</v>
      </c>
      <c r="C64" s="158">
        <v>10000</v>
      </c>
      <c r="D64" s="28">
        <f>B64-A143</f>
        <v>2126.8440000000001</v>
      </c>
      <c r="E64" s="159"/>
      <c r="F64" s="55"/>
      <c r="G64" s="206" t="s">
        <v>102</v>
      </c>
      <c r="H64" s="57">
        <f>H61*H63</f>
        <v>2126.4250000000002</v>
      </c>
      <c r="I64" s="158"/>
      <c r="J64" s="28">
        <f>H64-G145</f>
        <v>2126.4250000000002</v>
      </c>
      <c r="K64" s="159"/>
      <c r="L64" s="55"/>
      <c r="M64" s="206" t="s">
        <v>102</v>
      </c>
      <c r="N64" s="57">
        <f>N61*N63</f>
        <v>2126.4250000000002</v>
      </c>
      <c r="O64" s="158"/>
      <c r="P64" s="28">
        <f>N64-M145</f>
        <v>2126.4250000000002</v>
      </c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>
        <v>100</v>
      </c>
      <c r="C65" s="158"/>
      <c r="D65" s="158"/>
      <c r="E65" s="159"/>
      <c r="F65" s="55"/>
      <c r="G65" s="212" t="s">
        <v>103</v>
      </c>
      <c r="H65" s="213">
        <v>0.01</v>
      </c>
      <c r="I65" s="158"/>
      <c r="J65" s="158"/>
      <c r="K65" s="159"/>
      <c r="L65" s="55"/>
      <c r="M65" s="212" t="s">
        <v>103</v>
      </c>
      <c r="N65" s="213">
        <v>0.01</v>
      </c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158"/>
      <c r="D66" s="158"/>
      <c r="E66" s="159"/>
      <c r="F66" s="55"/>
      <c r="G66" s="157" t="s">
        <v>104</v>
      </c>
      <c r="H66" s="214">
        <f>H65+(H65*0.5*(H29/12-1))</f>
        <v>1.4166666666666668E-2</v>
      </c>
      <c r="I66" s="158"/>
      <c r="J66" s="158"/>
      <c r="K66" s="159"/>
      <c r="L66" s="55"/>
      <c r="M66" s="157" t="s">
        <v>104</v>
      </c>
      <c r="N66" s="214">
        <f>N65+(N65*0.5*(H29/12-1))</f>
        <v>1.4166666666666668E-2</v>
      </c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100</v>
      </c>
      <c r="C67" s="158"/>
      <c r="D67" s="28"/>
      <c r="E67" s="159"/>
      <c r="F67" s="55"/>
      <c r="G67" s="206" t="s">
        <v>105</v>
      </c>
      <c r="H67" s="57">
        <f>(H61*H66)/1.2</f>
        <v>296.79166666666669</v>
      </c>
      <c r="I67" s="158"/>
      <c r="J67" s="28"/>
      <c r="K67" s="159"/>
      <c r="L67" s="55"/>
      <c r="M67" s="206" t="s">
        <v>105</v>
      </c>
      <c r="N67" s="57">
        <f>(N61*N66)/1.2</f>
        <v>296.79166666666669</v>
      </c>
      <c r="O67" s="158"/>
      <c r="P67" s="2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158"/>
      <c r="D68" s="15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212" t="s">
        <v>106</v>
      </c>
      <c r="N68" s="213">
        <v>7.4999999999999997E-3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216" t="s">
        <v>107</v>
      </c>
      <c r="N69" s="217">
        <v>0.12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312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206" t="s">
        <v>108</v>
      </c>
      <c r="N70" s="312">
        <f>N68*(1+N69)</f>
        <v>8.4000000000000012E-3</v>
      </c>
      <c r="O70" s="158"/>
      <c r="P70" s="158"/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200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212" t="s">
        <v>109</v>
      </c>
      <c r="N71" s="74">
        <v>160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216" t="s">
        <v>110</v>
      </c>
      <c r="N72" s="65">
        <v>4.5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110</v>
      </c>
      <c r="C73" s="158"/>
      <c r="D73" s="28">
        <f>B73+B71</f>
        <v>310</v>
      </c>
      <c r="E73" s="159"/>
      <c r="F73" s="55"/>
      <c r="G73" s="206" t="s">
        <v>111</v>
      </c>
      <c r="H73" s="57">
        <f>H72*H29</f>
        <v>99</v>
      </c>
      <c r="I73" s="158"/>
      <c r="J73" s="28">
        <f>H73+H71</f>
        <v>259</v>
      </c>
      <c r="K73" s="159"/>
      <c r="L73" s="55"/>
      <c r="M73" s="206" t="s">
        <v>111</v>
      </c>
      <c r="N73" s="57">
        <f>N72*H29</f>
        <v>99</v>
      </c>
      <c r="O73" s="158"/>
      <c r="P73" s="28">
        <f>N73+N71</f>
        <v>259</v>
      </c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77" t="s">
        <v>285</v>
      </c>
      <c r="B74" s="278">
        <v>0</v>
      </c>
      <c r="C74" s="158"/>
      <c r="D74" s="158"/>
      <c r="E74" s="159"/>
      <c r="F74" s="55"/>
      <c r="G74" s="212" t="s">
        <v>285</v>
      </c>
      <c r="H74" s="74">
        <v>165</v>
      </c>
      <c r="I74" s="158"/>
      <c r="J74" s="158"/>
      <c r="K74" s="159"/>
      <c r="L74" s="55"/>
      <c r="M74" s="277" t="s">
        <v>285</v>
      </c>
      <c r="N74" s="278">
        <v>0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79" t="s">
        <v>286</v>
      </c>
      <c r="B75" s="280">
        <v>0</v>
      </c>
      <c r="C75" s="158"/>
      <c r="D75" s="158"/>
      <c r="E75" s="159"/>
      <c r="F75" s="55"/>
      <c r="G75" s="216" t="s">
        <v>286</v>
      </c>
      <c r="H75" s="65">
        <v>0</v>
      </c>
      <c r="I75" s="158"/>
      <c r="J75" s="158"/>
      <c r="K75" s="159"/>
      <c r="L75" s="55"/>
      <c r="M75" s="279" t="s">
        <v>286</v>
      </c>
      <c r="N75" s="280">
        <v>0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81" t="s">
        <v>287</v>
      </c>
      <c r="B76" s="282">
        <f>((B74+B75)/12)*(H29-11)</f>
        <v>0</v>
      </c>
      <c r="C76" s="158"/>
      <c r="D76" s="28">
        <f>B76</f>
        <v>0</v>
      </c>
      <c r="E76" s="159"/>
      <c r="F76" s="55"/>
      <c r="G76" s="206" t="s">
        <v>287</v>
      </c>
      <c r="H76" s="57">
        <f>((H74+H75)/12)*(H29-11)</f>
        <v>151.25</v>
      </c>
      <c r="I76" s="158"/>
      <c r="J76" s="28">
        <f>H76</f>
        <v>151.25</v>
      </c>
      <c r="K76" s="159"/>
      <c r="L76" s="55"/>
      <c r="M76" s="281" t="s">
        <v>287</v>
      </c>
      <c r="N76" s="282">
        <f>((N74+N75)/12)*(H29-11)</f>
        <v>0</v>
      </c>
      <c r="O76" s="158"/>
      <c r="P76" s="28">
        <f>N76</f>
        <v>0</v>
      </c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288</v>
      </c>
      <c r="B77" s="24">
        <f>B102/(1-0.1)</f>
        <v>222.22222222222223</v>
      </c>
      <c r="C77" s="158"/>
      <c r="D77" s="28">
        <f>B77</f>
        <v>222.22222222222223</v>
      </c>
      <c r="E77" s="159"/>
      <c r="F77" s="55"/>
      <c r="G77" s="212" t="s">
        <v>288</v>
      </c>
      <c r="H77" s="74">
        <v>0</v>
      </c>
      <c r="I77" s="158"/>
      <c r="J77" s="28">
        <f>H77</f>
        <v>0</v>
      </c>
      <c r="K77" s="159"/>
      <c r="L77" s="55"/>
      <c r="M77" s="212" t="s">
        <v>288</v>
      </c>
      <c r="N77" s="74">
        <v>0</v>
      </c>
      <c r="O77" s="158"/>
      <c r="P77" s="28">
        <f>N77</f>
        <v>0</v>
      </c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158"/>
      <c r="D78" s="28">
        <f>B78</f>
        <v>222.22222222222223</v>
      </c>
      <c r="E78" s="159"/>
      <c r="F78" s="55"/>
      <c r="G78" s="157" t="s">
        <v>289</v>
      </c>
      <c r="H78" s="29">
        <v>0</v>
      </c>
      <c r="I78" s="158"/>
      <c r="J78" s="28">
        <f>H78</f>
        <v>0</v>
      </c>
      <c r="K78" s="159"/>
      <c r="L78" s="55"/>
      <c r="M78" s="157" t="s">
        <v>289</v>
      </c>
      <c r="N78" s="29">
        <v>0</v>
      </c>
      <c r="O78" s="158"/>
      <c r="P78" s="28">
        <f>N78</f>
        <v>0</v>
      </c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200</v>
      </c>
      <c r="C79" s="158"/>
      <c r="D79" s="28">
        <f>B79</f>
        <v>200</v>
      </c>
      <c r="E79" s="159"/>
      <c r="F79" s="55"/>
      <c r="G79" s="216" t="s">
        <v>112</v>
      </c>
      <c r="H79" s="65">
        <v>200</v>
      </c>
      <c r="I79" s="158"/>
      <c r="J79" s="28">
        <f>H79</f>
        <v>200</v>
      </c>
      <c r="K79" s="159"/>
      <c r="L79" s="55"/>
      <c r="M79" s="216" t="s">
        <v>112</v>
      </c>
      <c r="N79" s="65">
        <v>200</v>
      </c>
      <c r="O79" s="158"/>
      <c r="P79" s="28">
        <f>N79</f>
        <v>200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200</v>
      </c>
      <c r="C80" s="158"/>
      <c r="D80" s="28">
        <f>B80</f>
        <v>200</v>
      </c>
      <c r="E80" s="159"/>
      <c r="F80" s="55"/>
      <c r="G80" s="219" t="s">
        <v>113</v>
      </c>
      <c r="H80" s="75">
        <v>200</v>
      </c>
      <c r="I80" s="158"/>
      <c r="J80" s="28">
        <f>H80</f>
        <v>200</v>
      </c>
      <c r="K80" s="159"/>
      <c r="L80" s="55"/>
      <c r="M80" s="219" t="s">
        <v>113</v>
      </c>
      <c r="N80" s="75">
        <v>200</v>
      </c>
      <c r="O80" s="158"/>
      <c r="P80" s="28">
        <f>N80</f>
        <v>200</v>
      </c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3281.2884444444444</v>
      </c>
      <c r="C81" s="158"/>
      <c r="D81" s="158"/>
      <c r="E81" s="159"/>
      <c r="F81" s="55"/>
      <c r="G81" s="220" t="s">
        <v>114</v>
      </c>
      <c r="H81" s="221">
        <f>SUM(J64:J80)</f>
        <v>2936.6750000000002</v>
      </c>
      <c r="I81" s="158"/>
      <c r="J81" s="158"/>
      <c r="K81" s="159"/>
      <c r="L81" s="55"/>
      <c r="M81" s="220" t="s">
        <v>114</v>
      </c>
      <c r="N81" s="221">
        <f>SUM(P64:P80)</f>
        <v>2785.4250000000002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149.14947474747476</v>
      </c>
      <c r="C82" s="158"/>
      <c r="D82" s="158"/>
      <c r="E82" s="159"/>
      <c r="F82" s="55"/>
      <c r="G82" s="157" t="s">
        <v>115</v>
      </c>
      <c r="H82" s="29">
        <f>H81/H29</f>
        <v>133.48522727272729</v>
      </c>
      <c r="I82" s="158"/>
      <c r="J82" s="158"/>
      <c r="K82" s="159"/>
      <c r="L82" s="55"/>
      <c r="M82" s="157" t="s">
        <v>115</v>
      </c>
      <c r="N82" s="29">
        <f>N81/H29</f>
        <v>126.61022727272729</v>
      </c>
      <c r="O82" s="158"/>
      <c r="P82" s="158"/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H47</f>
        <v>591.77936351659935</v>
      </c>
      <c r="C83" s="158"/>
      <c r="D83" s="158"/>
      <c r="E83" s="159"/>
      <c r="F83" s="55"/>
      <c r="G83" s="222" t="s">
        <v>116</v>
      </c>
      <c r="H83" s="52">
        <f>H47</f>
        <v>591.77936351659935</v>
      </c>
      <c r="I83" s="158"/>
      <c r="J83" s="158"/>
      <c r="K83" s="159"/>
      <c r="L83" s="55"/>
      <c r="M83" s="222" t="s">
        <v>116</v>
      </c>
      <c r="N83" s="52">
        <f>H47</f>
        <v>591.77936351659935</v>
      </c>
      <c r="O83" s="158"/>
      <c r="P83" s="158"/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158"/>
      <c r="D84" s="158"/>
      <c r="E84" s="159"/>
      <c r="F84" s="55"/>
      <c r="G84" s="157"/>
      <c r="H84" s="28"/>
      <c r="I84" s="158"/>
      <c r="J84" s="158"/>
      <c r="K84" s="159"/>
      <c r="L84" s="55"/>
      <c r="M84" s="157"/>
      <c r="N84" s="28"/>
      <c r="O84" s="158"/>
      <c r="P84" s="158"/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((B83*H29)+B81)</f>
        <v>16300.43444180963</v>
      </c>
      <c r="C85" s="158"/>
      <c r="D85" s="158"/>
      <c r="E85" s="159"/>
      <c r="F85" s="55"/>
      <c r="G85" s="209" t="s">
        <v>126</v>
      </c>
      <c r="H85" s="24">
        <f>((H83*H29)+H81)*1.2</f>
        <v>19146.985196838225</v>
      </c>
      <c r="I85" s="158"/>
      <c r="J85" s="158"/>
      <c r="K85" s="159"/>
      <c r="L85" s="55"/>
      <c r="M85" s="209" t="s">
        <v>126</v>
      </c>
      <c r="N85" s="24">
        <f>((N83*H29)+N81)</f>
        <v>15804.570997365186</v>
      </c>
      <c r="O85" s="158"/>
      <c r="P85" s="158"/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(B85/(1-B70))*B70</f>
        <v>138.08355114078347</v>
      </c>
      <c r="C86" s="158"/>
      <c r="D86" s="158"/>
      <c r="E86" s="159"/>
      <c r="F86" s="55"/>
      <c r="G86" s="157" t="s">
        <v>127</v>
      </c>
      <c r="H86" s="29">
        <f>((((H83*H29)+H81))/(1-H70))*H70</f>
        <v>135.16427629877731</v>
      </c>
      <c r="I86" s="158"/>
      <c r="J86" s="158"/>
      <c r="K86" s="159"/>
      <c r="L86" s="55"/>
      <c r="M86" s="157" t="s">
        <v>127</v>
      </c>
      <c r="N86" s="29">
        <f>(N85/(1-N70))*N70</f>
        <v>133.88301369288783</v>
      </c>
      <c r="O86" s="158"/>
      <c r="P86" s="158"/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IF(B110="YES",((B85+B86)-E114),(B85+B86))</f>
        <v>16438.517992950412</v>
      </c>
      <c r="C87" s="158"/>
      <c r="D87" s="158"/>
      <c r="E87" s="159"/>
      <c r="F87" s="55"/>
      <c r="G87" s="206" t="s">
        <v>128</v>
      </c>
      <c r="H87" s="57">
        <f>IF(H110="YES",((H85+H86)-K114),(H85+H86))</f>
        <v>19282.149473137</v>
      </c>
      <c r="I87" s="158"/>
      <c r="J87" s="158"/>
      <c r="K87" s="159"/>
      <c r="L87" s="55"/>
      <c r="M87" s="206" t="s">
        <v>128</v>
      </c>
      <c r="N87" s="57">
        <f>IF(N110="YES",((N85+N86)-Q114),(N85+N86))</f>
        <v>15938.454011058075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158"/>
      <c r="D88" s="158"/>
      <c r="E88" s="159"/>
      <c r="F88" s="55"/>
      <c r="G88" s="157"/>
      <c r="H88" s="28"/>
      <c r="I88" s="158"/>
      <c r="J88" s="158"/>
      <c r="K88" s="159"/>
      <c r="L88" s="55"/>
      <c r="M88" s="157"/>
      <c r="N88" s="28"/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1">
        <f>IF(B99=Y98,(D40+(D40*B105))/(B58),(D40+(D40*B105))/(B57+B58))*(C45/100)</f>
        <v>76.740000000000009</v>
      </c>
      <c r="C89" s="158"/>
      <c r="D89" s="158"/>
      <c r="E89" s="159"/>
      <c r="F89" s="55"/>
      <c r="G89" s="220" t="s">
        <v>129</v>
      </c>
      <c r="H89" s="221">
        <f>IF(H99=Y98,(D40+(D40*H105))/(H58),(D40+(D40*H105))/(H57+H58))*1.2</f>
        <v>75.034666666666666</v>
      </c>
      <c r="I89" s="158"/>
      <c r="J89" s="158"/>
      <c r="K89" s="159"/>
      <c r="L89" s="55"/>
      <c r="M89" s="220" t="s">
        <v>129</v>
      </c>
      <c r="N89" s="221">
        <f>IF(N99=Y98,(D40+(D40*N105))/(N58),(D40+(D40*N105))/(N57+N58))</f>
        <v>62.528888888888893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IF(B99=Y98,(B87-D105)/(B58),B87/(B57+B58))</f>
        <v>747.2053633159278</v>
      </c>
      <c r="C90" s="158"/>
      <c r="D90" s="158"/>
      <c r="E90" s="159"/>
      <c r="F90" s="55"/>
      <c r="G90" s="224" t="s">
        <v>130</v>
      </c>
      <c r="H90" s="225">
        <f>IF(H99=Y98,(H87-J105)/(H58),H87/(H57+H58))</f>
        <v>714.15368419025924</v>
      </c>
      <c r="I90" s="158"/>
      <c r="J90" s="158"/>
      <c r="K90" s="159"/>
      <c r="L90" s="55"/>
      <c r="M90" s="224" t="s">
        <v>130</v>
      </c>
      <c r="N90" s="225">
        <f>IF(N99=Y98,(N87-P105)/(N58),N87/(N57+N58))</f>
        <v>590.31311152066939</v>
      </c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823.94536331592781</v>
      </c>
      <c r="C91" s="158"/>
      <c r="D91" s="158"/>
      <c r="E91" s="159"/>
      <c r="F91" s="55"/>
      <c r="G91" s="226" t="s">
        <v>131</v>
      </c>
      <c r="H91" s="227">
        <f>IF(G105="YES",H90+H89,H90)</f>
        <v>789.18835085692592</v>
      </c>
      <c r="I91" s="158"/>
      <c r="J91" s="158"/>
      <c r="K91" s="159"/>
      <c r="L91" s="55"/>
      <c r="M91" s="226" t="s">
        <v>131</v>
      </c>
      <c r="N91" s="227">
        <f>IF(M105="YES",N90+N89,N90)</f>
        <v>652.8420004095583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207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206"/>
      <c r="N92" s="207"/>
      <c r="O92" s="207"/>
      <c r="P92" s="207"/>
      <c r="Q92" s="208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158"/>
      <c r="N93" s="158"/>
      <c r="O93" s="158"/>
      <c r="P93" s="158"/>
      <c r="Q93" s="158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56.25" customHeight="1">
      <c r="A94" s="376" t="s">
        <v>345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376" t="s">
        <v>345</v>
      </c>
      <c r="N94" s="376"/>
      <c r="O94" s="376"/>
      <c r="P94" s="376"/>
      <c r="Q94" s="376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/>
      <c r="F95" s="55"/>
      <c r="G95" s="157"/>
      <c r="H95" s="158"/>
      <c r="I95" s="158"/>
      <c r="J95" s="158"/>
      <c r="K95" s="159"/>
      <c r="L95" s="55"/>
      <c r="M95" s="157"/>
      <c r="N95" s="158"/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377" t="s">
        <v>136</v>
      </c>
      <c r="N96" s="377"/>
      <c r="O96" s="377"/>
      <c r="P96" s="377"/>
      <c r="Q96" s="377"/>
      <c r="R96" s="55"/>
      <c r="S96" s="55"/>
      <c r="T96" s="55"/>
      <c r="U96" s="55"/>
      <c r="V96" s="55"/>
      <c r="W96" s="55"/>
      <c r="X96" s="55"/>
      <c r="Y96" s="55"/>
      <c r="Z96" s="55"/>
    </row>
    <row r="97" spans="1:29" ht="18.75" customHeight="1">
      <c r="A97" s="157"/>
      <c r="B97" s="158"/>
      <c r="C97" s="158"/>
      <c r="D97" s="158"/>
      <c r="E97" s="159"/>
      <c r="F97" s="55"/>
      <c r="G97" s="157"/>
      <c r="H97" s="158"/>
      <c r="I97" s="158"/>
      <c r="J97" s="158"/>
      <c r="K97" s="159"/>
      <c r="L97" s="55"/>
      <c r="M97" s="157"/>
      <c r="N97" s="158"/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 t="s">
        <v>140</v>
      </c>
      <c r="Z97" s="55"/>
      <c r="AC97" s="55"/>
    </row>
    <row r="98" spans="1:29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157" t="s">
        <v>137</v>
      </c>
      <c r="N98" s="158" t="s">
        <v>36</v>
      </c>
      <c r="O98" s="158"/>
      <c r="P98" s="158" t="s">
        <v>291</v>
      </c>
      <c r="Q98" s="159"/>
      <c r="R98" s="55"/>
      <c r="S98" s="55"/>
      <c r="T98" s="55"/>
      <c r="U98" s="55"/>
      <c r="V98" s="55"/>
      <c r="W98" s="55"/>
      <c r="X98" s="55"/>
      <c r="Y98" s="55" t="s">
        <v>270</v>
      </c>
      <c r="Z98" s="55"/>
    </row>
    <row r="99" spans="1:29" ht="18.75" customHeight="1">
      <c r="A99" s="162" t="s">
        <v>292</v>
      </c>
      <c r="B99" s="395" t="s">
        <v>140</v>
      </c>
      <c r="C99" s="395"/>
      <c r="D99" s="348">
        <v>1000</v>
      </c>
      <c r="E99" s="348"/>
      <c r="F99" s="55"/>
      <c r="G99" s="162" t="s">
        <v>292</v>
      </c>
      <c r="H99" s="395" t="s">
        <v>272</v>
      </c>
      <c r="I99" s="395"/>
      <c r="J99" s="348">
        <v>0</v>
      </c>
      <c r="K99" s="348"/>
      <c r="L99" s="55"/>
      <c r="M99" s="162" t="s">
        <v>292</v>
      </c>
      <c r="N99" s="395" t="s">
        <v>272</v>
      </c>
      <c r="O99" s="395"/>
      <c r="P99" s="348">
        <v>0</v>
      </c>
      <c r="Q99" s="348"/>
      <c r="R99" s="55"/>
      <c r="S99" s="55"/>
      <c r="T99" s="55"/>
      <c r="U99" s="55"/>
      <c r="V99" s="55"/>
      <c r="W99" s="55"/>
      <c r="X99" s="55"/>
      <c r="Y99" s="55" t="s">
        <v>271</v>
      </c>
      <c r="Z99" s="55"/>
    </row>
    <row r="100" spans="1:29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157"/>
      <c r="N100" s="158"/>
      <c r="O100" s="158"/>
      <c r="P100" s="158"/>
      <c r="Q100" s="159"/>
      <c r="R100" s="55"/>
      <c r="S100" s="55"/>
      <c r="T100" s="55"/>
      <c r="U100" s="55"/>
      <c r="V100" s="55"/>
      <c r="W100" s="55"/>
      <c r="X100" s="55"/>
      <c r="Y100" s="55" t="s">
        <v>272</v>
      </c>
      <c r="Z100" s="55"/>
    </row>
    <row r="101" spans="1:29" ht="18.75" customHeight="1">
      <c r="A101" s="157" t="s">
        <v>293</v>
      </c>
      <c r="B101" s="158" t="s">
        <v>294</v>
      </c>
      <c r="C101" s="158"/>
      <c r="D101" s="158" t="s">
        <v>295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157" t="s">
        <v>293</v>
      </c>
      <c r="N101" s="158" t="s">
        <v>294</v>
      </c>
      <c r="O101" s="158"/>
      <c r="P101" s="158" t="s">
        <v>295</v>
      </c>
      <c r="Q101" s="159"/>
      <c r="R101" s="55"/>
      <c r="S101" s="55"/>
      <c r="T101" s="55"/>
      <c r="U101" s="55"/>
      <c r="V101" s="55"/>
      <c r="W101" s="55"/>
      <c r="X101" s="55"/>
      <c r="Y101" s="55" t="s">
        <v>273</v>
      </c>
      <c r="Z101" s="55"/>
    </row>
    <row r="102" spans="1:29" ht="18.75" customHeight="1">
      <c r="A102" s="228">
        <v>900</v>
      </c>
      <c r="B102" s="348">
        <v>200</v>
      </c>
      <c r="C102" s="348"/>
      <c r="D102" s="348">
        <v>200</v>
      </c>
      <c r="E102" s="348"/>
      <c r="F102" s="55"/>
      <c r="G102" s="228">
        <v>199.99</v>
      </c>
      <c r="H102" s="348">
        <v>0</v>
      </c>
      <c r="I102" s="348"/>
      <c r="J102" s="348">
        <v>0</v>
      </c>
      <c r="K102" s="348"/>
      <c r="L102" s="55"/>
      <c r="M102" s="228">
        <v>199.99</v>
      </c>
      <c r="N102" s="348">
        <v>0</v>
      </c>
      <c r="O102" s="348"/>
      <c r="P102" s="348">
        <v>0</v>
      </c>
      <c r="Q102" s="348"/>
      <c r="R102" s="55"/>
      <c r="S102" s="55"/>
      <c r="T102" s="55"/>
      <c r="U102" s="55"/>
      <c r="V102" s="55"/>
      <c r="W102" s="55"/>
      <c r="X102" s="55"/>
      <c r="Y102" s="55" t="s">
        <v>274</v>
      </c>
      <c r="Z102" s="55"/>
    </row>
    <row r="103" spans="1:29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 t="s">
        <v>275</v>
      </c>
      <c r="Z103" s="55"/>
    </row>
    <row r="104" spans="1:29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162" t="s">
        <v>138</v>
      </c>
      <c r="N104" s="55" t="s">
        <v>141</v>
      </c>
      <c r="O104" s="158"/>
      <c r="P104" s="158" t="s">
        <v>152</v>
      </c>
      <c r="Q104" s="159"/>
      <c r="R104" s="55"/>
      <c r="S104" s="55"/>
      <c r="T104" s="55"/>
      <c r="U104" s="55"/>
      <c r="V104" s="55"/>
      <c r="W104" s="55"/>
      <c r="X104" s="55"/>
      <c r="Y104" s="55" t="s">
        <v>276</v>
      </c>
      <c r="Z104" s="55"/>
    </row>
    <row r="105" spans="1:29" ht="18.75" customHeight="1">
      <c r="A105" s="164" t="s">
        <v>385</v>
      </c>
      <c r="B105" s="396">
        <v>0.2</v>
      </c>
      <c r="C105" s="396"/>
      <c r="D105" s="348">
        <v>200</v>
      </c>
      <c r="E105" s="348"/>
      <c r="F105" s="55"/>
      <c r="G105" s="164" t="s">
        <v>31</v>
      </c>
      <c r="H105" s="396">
        <v>0.2</v>
      </c>
      <c r="I105" s="396"/>
      <c r="J105" s="348"/>
      <c r="K105" s="348"/>
      <c r="L105" s="55"/>
      <c r="M105" s="164" t="s">
        <v>31</v>
      </c>
      <c r="N105" s="396">
        <v>0.2</v>
      </c>
      <c r="O105" s="396"/>
      <c r="P105" s="348">
        <v>0</v>
      </c>
      <c r="Q105" s="348"/>
      <c r="R105" s="55"/>
      <c r="S105" s="55"/>
      <c r="T105" s="55"/>
      <c r="U105" s="55"/>
      <c r="V105" s="55"/>
      <c r="W105" s="55"/>
      <c r="X105" s="55"/>
      <c r="Y105" s="55" t="s">
        <v>277</v>
      </c>
      <c r="Z105" s="55"/>
    </row>
    <row r="106" spans="1:29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9" ht="18.75" customHeight="1">
      <c r="A107" s="157"/>
      <c r="B107" s="158" t="s">
        <v>346</v>
      </c>
      <c r="C107" s="164" t="s">
        <v>385</v>
      </c>
      <c r="D107" s="158"/>
      <c r="E107" s="159"/>
      <c r="F107" s="55"/>
      <c r="G107" s="157"/>
      <c r="H107" s="158"/>
      <c r="I107" s="158"/>
      <c r="J107" s="158"/>
      <c r="K107" s="159"/>
      <c r="L107" s="55"/>
      <c r="M107" s="157"/>
      <c r="N107" s="158" t="s">
        <v>346</v>
      </c>
      <c r="O107" s="164" t="s">
        <v>31</v>
      </c>
      <c r="P107" s="158"/>
      <c r="Q107" s="159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9" ht="18.75" customHeight="1">
      <c r="A108" s="377" t="s">
        <v>296</v>
      </c>
      <c r="B108" s="377"/>
      <c r="C108" s="377"/>
      <c r="D108" s="377"/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377" t="s">
        <v>296</v>
      </c>
      <c r="N108" s="377"/>
      <c r="O108" s="377"/>
      <c r="P108" s="377"/>
      <c r="Q108" s="377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9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9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157" t="s">
        <v>297</v>
      </c>
      <c r="N110" s="164" t="s">
        <v>32</v>
      </c>
      <c r="O110" s="158"/>
      <c r="P110" s="158"/>
      <c r="Q110" s="159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9" ht="18.75" customHeight="1">
      <c r="A111" s="157" t="s">
        <v>31</v>
      </c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157"/>
      <c r="N111" s="158"/>
      <c r="O111" s="158"/>
      <c r="P111" s="158"/>
      <c r="Q111" s="159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9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0</v>
      </c>
      <c r="K112" s="92">
        <v>0</v>
      </c>
      <c r="L112" s="55"/>
      <c r="M112" s="157" t="s">
        <v>185</v>
      </c>
      <c r="N112" s="158"/>
      <c r="O112" s="158"/>
      <c r="P112" s="228">
        <v>500</v>
      </c>
      <c r="Q112" s="92">
        <v>300</v>
      </c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0</v>
      </c>
      <c r="K113" s="92">
        <v>0</v>
      </c>
      <c r="L113" s="55"/>
      <c r="M113" s="157" t="s">
        <v>186</v>
      </c>
      <c r="N113" s="158"/>
      <c r="O113" s="158"/>
      <c r="P113" s="35">
        <f>Q113</f>
        <v>100</v>
      </c>
      <c r="Q113" s="92">
        <v>100</v>
      </c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0</v>
      </c>
      <c r="K114" s="127">
        <f>K112-K113</f>
        <v>0</v>
      </c>
      <c r="L114" s="55"/>
      <c r="M114" s="157" t="s">
        <v>187</v>
      </c>
      <c r="N114" s="158"/>
      <c r="O114" s="158"/>
      <c r="P114" s="35">
        <f>P112-P113</f>
        <v>400</v>
      </c>
      <c r="Q114" s="127">
        <f>Q112-Q113</f>
        <v>200</v>
      </c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0</v>
      </c>
      <c r="K115" s="159"/>
      <c r="L115" s="55"/>
      <c r="M115" s="157" t="s">
        <v>188</v>
      </c>
      <c r="N115" s="158"/>
      <c r="O115" s="158"/>
      <c r="P115" s="35">
        <f>P114-Q114</f>
        <v>200</v>
      </c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157"/>
      <c r="N116" s="158"/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f>D99</f>
        <v>1000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209" t="s">
        <v>148</v>
      </c>
      <c r="N117" s="210"/>
      <c r="O117" s="210"/>
      <c r="P117" s="210"/>
      <c r="Q117" s="24">
        <f>P99</f>
        <v>0</v>
      </c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f>A102</f>
        <v>900</v>
      </c>
      <c r="F118" s="55"/>
      <c r="G118" s="157" t="s">
        <v>66</v>
      </c>
      <c r="H118" s="158"/>
      <c r="I118" s="158"/>
      <c r="J118" s="158"/>
      <c r="K118" s="29">
        <f>G102</f>
        <v>199.99</v>
      </c>
      <c r="L118" s="55"/>
      <c r="M118" s="157" t="s">
        <v>66</v>
      </c>
      <c r="N118" s="158"/>
      <c r="O118" s="158"/>
      <c r="P118" s="158"/>
      <c r="Q118" s="29">
        <f>M102</f>
        <v>199.99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(E118*1.2)+E117-E114</f>
        <v>2080</v>
      </c>
      <c r="F119" s="55"/>
      <c r="G119" s="229" t="s">
        <v>298</v>
      </c>
      <c r="H119" s="207"/>
      <c r="I119" s="207"/>
      <c r="J119" s="207"/>
      <c r="K119" s="57">
        <f>((K118/1.2)+K117)-(J115-K113)</f>
        <v>166.65833333333336</v>
      </c>
      <c r="L119" s="55"/>
      <c r="M119" s="229" t="s">
        <v>298</v>
      </c>
      <c r="N119" s="207"/>
      <c r="O119" s="207"/>
      <c r="P119" s="207"/>
      <c r="Q119" s="57">
        <f>(Q118+Q117)-P115</f>
        <v>-9.9999999999909051E-3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157"/>
      <c r="N120" s="158"/>
      <c r="O120" s="158"/>
      <c r="P120" s="158"/>
      <c r="Q120" s="159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157"/>
      <c r="N121" s="158"/>
      <c r="O121" s="158"/>
      <c r="P121" s="158"/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377" t="s">
        <v>299</v>
      </c>
      <c r="N122" s="377"/>
      <c r="O122" s="377"/>
      <c r="P122" s="377"/>
      <c r="Q122" s="377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157"/>
      <c r="N123" s="158"/>
      <c r="O123" s="158"/>
      <c r="P123" s="158"/>
      <c r="Q123" s="159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157" t="s">
        <v>193</v>
      </c>
      <c r="N124" s="368">
        <v>0</v>
      </c>
      <c r="O124" s="368"/>
      <c r="P124" s="158"/>
      <c r="Q124" s="159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22</v>
      </c>
      <c r="C125" s="236"/>
      <c r="D125" s="235">
        <f>B160</f>
        <v>22000</v>
      </c>
      <c r="E125" s="233"/>
      <c r="F125" s="55"/>
      <c r="G125" s="157"/>
      <c r="H125" s="158"/>
      <c r="I125" s="158"/>
      <c r="J125" s="158"/>
      <c r="K125" s="159"/>
      <c r="L125" s="55"/>
      <c r="M125" s="157"/>
      <c r="N125" s="158"/>
      <c r="O125" s="158"/>
      <c r="P125" s="158"/>
      <c r="Q125" s="159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238" t="s">
        <v>302</v>
      </c>
      <c r="H126" s="239" t="s">
        <v>303</v>
      </c>
      <c r="I126" s="239"/>
      <c r="J126" s="239" t="s">
        <v>304</v>
      </c>
      <c r="K126" s="159"/>
      <c r="L126" s="55"/>
      <c r="M126" s="238" t="s">
        <v>347</v>
      </c>
      <c r="N126" s="239" t="s">
        <v>259</v>
      </c>
      <c r="O126" s="239"/>
      <c r="P126" s="239" t="s">
        <v>131</v>
      </c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242">
        <f>H90</f>
        <v>714.15368419025924</v>
      </c>
      <c r="H127" s="133">
        <f>IF(G105="YES",H89*H57,0)</f>
        <v>450.20799999999997</v>
      </c>
      <c r="I127" s="133"/>
      <c r="J127" s="243">
        <f>H91</f>
        <v>789.18835085692592</v>
      </c>
      <c r="K127" s="159"/>
      <c r="L127" s="55"/>
      <c r="M127" s="242">
        <f>N90</f>
        <v>590.31311152066939</v>
      </c>
      <c r="N127" s="133">
        <f>IF(M105="YES",N89*N57,0)</f>
        <v>375.17333333333335</v>
      </c>
      <c r="O127" s="133"/>
      <c r="P127" s="133">
        <f>N91</f>
        <v>652.8420004095583</v>
      </c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747.2053633159278</v>
      </c>
      <c r="B128" s="232">
        <f>IF(A105="YES",B89,0)</f>
        <v>76.740000000000009</v>
      </c>
      <c r="C128" s="236"/>
      <c r="D128" s="232">
        <f>B91</f>
        <v>823.94536331592781</v>
      </c>
      <c r="E128" s="233"/>
      <c r="F128" s="55"/>
      <c r="G128" s="157"/>
      <c r="H128" s="158"/>
      <c r="I128" s="158"/>
      <c r="J128" s="158"/>
      <c r="K128" s="159"/>
      <c r="L128" s="55"/>
      <c r="M128" s="157"/>
      <c r="N128" s="158"/>
      <c r="O128" s="158"/>
      <c r="P128" s="158"/>
      <c r="Q128" s="159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 t="s">
        <v>94</v>
      </c>
      <c r="H129" s="158" t="s">
        <v>95</v>
      </c>
      <c r="I129" s="158"/>
      <c r="J129" s="158" t="s">
        <v>97</v>
      </c>
      <c r="K129" s="159"/>
      <c r="L129" s="55"/>
      <c r="M129" s="157" t="s">
        <v>94</v>
      </c>
      <c r="N129" s="158" t="s">
        <v>95</v>
      </c>
      <c r="O129" s="158"/>
      <c r="P129" s="158" t="s">
        <v>97</v>
      </c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169">
        <f>G152</f>
        <v>22</v>
      </c>
      <c r="H130" s="170">
        <f>B151</f>
        <v>0</v>
      </c>
      <c r="I130" s="171"/>
      <c r="J130" s="170">
        <f>B58</f>
        <v>21</v>
      </c>
      <c r="K130" s="159"/>
      <c r="L130" s="55"/>
      <c r="M130" s="169">
        <f>M155</f>
        <v>22</v>
      </c>
      <c r="N130" s="170">
        <f>B151</f>
        <v>0</v>
      </c>
      <c r="O130" s="171"/>
      <c r="P130" s="170">
        <f>B58</f>
        <v>21</v>
      </c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44" t="str">
        <f>B99</f>
        <v xml:space="preserve"> Monthly in advance </v>
      </c>
      <c r="B131" s="34">
        <f>B90*B57</f>
        <v>747.2053633159278</v>
      </c>
      <c r="C131" s="158"/>
      <c r="D131" s="34">
        <f>IF(A105="YES",B89*B57,0)</f>
        <v>76.740000000000009</v>
      </c>
      <c r="E131" s="159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157" t="s">
        <v>348</v>
      </c>
      <c r="N132" s="158" t="s">
        <v>251</v>
      </c>
      <c r="O132" s="158"/>
      <c r="P132" s="158" t="s">
        <v>254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4284.9221051415552</v>
      </c>
      <c r="H133" s="34">
        <f>IF(G105="YES",H89*H57,0)</f>
        <v>450.20799999999997</v>
      </c>
      <c r="I133" s="163"/>
      <c r="J133" s="137">
        <f>H91*H57</f>
        <v>4735.1301051415558</v>
      </c>
      <c r="K133" s="159"/>
      <c r="L133" s="55"/>
      <c r="M133" s="138">
        <f>N90*N57</f>
        <v>3541.8786691240166</v>
      </c>
      <c r="N133" s="34">
        <f>IF(M105="YES",N89*N57,0)</f>
        <v>375.17333333333335</v>
      </c>
      <c r="O133" s="163"/>
      <c r="P133" s="137">
        <f>N91*N57</f>
        <v>3917.0520024573498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94">
        <f>B91*B57</f>
        <v>823.94536331592781</v>
      </c>
      <c r="B134" s="34">
        <f>E114</f>
        <v>0</v>
      </c>
      <c r="C134" s="158"/>
      <c r="D134" s="245">
        <f>B58</f>
        <v>21</v>
      </c>
      <c r="E134" s="159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157" t="s">
        <v>261</v>
      </c>
      <c r="N135" s="158" t="s">
        <v>262</v>
      </c>
      <c r="O135" s="158"/>
      <c r="P135" s="158" t="s">
        <v>266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0.15288000000000002</v>
      </c>
      <c r="H136" s="34">
        <f>IF(G105="YES",E15*0.000002,0)</f>
        <v>5.0959999999999998E-2</v>
      </c>
      <c r="I136" s="34"/>
      <c r="J136" s="34">
        <f>G136+H136</f>
        <v>0.20384000000000002</v>
      </c>
      <c r="K136" s="90"/>
      <c r="L136" s="55"/>
      <c r="M136" s="94">
        <f>E15*0.000006</f>
        <v>0.15288000000000002</v>
      </c>
      <c r="N136" s="34">
        <f>IF(M105="YES",E15*0.000002,0)</f>
        <v>5.0959999999999998E-2</v>
      </c>
      <c r="O136" s="34"/>
      <c r="P136" s="34">
        <f>M136+N136</f>
        <v>0.20384000000000002</v>
      </c>
      <c r="Q136" s="90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94">
        <f>B90</f>
        <v>747.2053633159278</v>
      </c>
      <c r="B137" s="34">
        <f>IF(A105="YES",B89,0)</f>
        <v>76.740000000000009</v>
      </c>
      <c r="C137" s="158"/>
      <c r="D137" s="34">
        <f>B91</f>
        <v>823.94536331592781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157" t="s">
        <v>151</v>
      </c>
      <c r="N138" s="158" t="s">
        <v>316</v>
      </c>
      <c r="O138" s="158"/>
      <c r="P138" s="158" t="s">
        <v>317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199.99</v>
      </c>
      <c r="H139" s="34">
        <f>H67</f>
        <v>296.79166666666669</v>
      </c>
      <c r="I139" s="34"/>
      <c r="J139" s="34">
        <f>H102*0.9</f>
        <v>0</v>
      </c>
      <c r="K139" s="90"/>
      <c r="L139" s="55"/>
      <c r="M139" s="94">
        <f>M102</f>
        <v>199.99</v>
      </c>
      <c r="N139" s="34">
        <f>N67</f>
        <v>296.79166666666669</v>
      </c>
      <c r="O139" s="34"/>
      <c r="P139" s="34">
        <f>N102*0.9</f>
        <v>0</v>
      </c>
      <c r="Q139" s="90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250">
        <f>(G18*0.000006)*100</f>
        <v>15.084</v>
      </c>
      <c r="B140" s="251">
        <f>IF(A105="YES",G18*0.000002,0)*100</f>
        <v>5.0279999999999996</v>
      </c>
      <c r="C140" s="252"/>
      <c r="D140" s="251">
        <f>A140+B140</f>
        <v>20.111999999999998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157" t="s">
        <v>319</v>
      </c>
      <c r="N141" s="158" t="s">
        <v>320</v>
      </c>
      <c r="O141" s="158"/>
      <c r="P141" s="158" t="s">
        <v>321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IF(G105="YES",((B36*H105)*0.1)*(G130),0)</f>
        <v>28.138000000000002</v>
      </c>
      <c r="H142" s="34">
        <f>G102-100</f>
        <v>99.990000000000009</v>
      </c>
      <c r="I142" s="34"/>
      <c r="J142" s="34">
        <f>(H139+J139+G142+H142)-H145</f>
        <v>424.91966666666667</v>
      </c>
      <c r="K142" s="90"/>
      <c r="L142" s="55"/>
      <c r="M142" s="94">
        <f>IF(M105="YES",((B36*N105)*0.1)*(M130),0)</f>
        <v>28.138000000000002</v>
      </c>
      <c r="N142" s="34">
        <f>M102-100</f>
        <v>99.990000000000009</v>
      </c>
      <c r="O142" s="34"/>
      <c r="P142" s="34">
        <f>(N139+P139+M142+N142)-N145</f>
        <v>424.91966666666667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v>0</v>
      </c>
      <c r="B143" s="34">
        <f>E118</f>
        <v>900</v>
      </c>
      <c r="C143" s="158"/>
      <c r="D143" s="119">
        <f>B102</f>
        <v>200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157" t="s">
        <v>323</v>
      </c>
      <c r="N144" s="158" t="s">
        <v>324</v>
      </c>
      <c r="O144" s="158"/>
      <c r="P144" s="158"/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v>0</v>
      </c>
      <c r="H145" s="34">
        <f>(H139+J139+G142+H142)*(G145/H64)</f>
        <v>0</v>
      </c>
      <c r="I145" s="158"/>
      <c r="J145" s="158"/>
      <c r="K145" s="159"/>
      <c r="L145" s="55"/>
      <c r="M145" s="94">
        <v>0</v>
      </c>
      <c r="N145" s="34">
        <f>(N139+P139+M142+N142)*(M145/N64)</f>
        <v>0</v>
      </c>
      <c r="O145" s="158"/>
      <c r="P145" s="158"/>
      <c r="Q145" s="159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94"/>
      <c r="N146" s="34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3" t="s">
        <v>349</v>
      </c>
      <c r="N147" s="35" t="s">
        <v>350</v>
      </c>
      <c r="O147" s="158"/>
      <c r="P147" s="158"/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100</v>
      </c>
      <c r="B148" s="34">
        <f>B102</f>
        <v>200</v>
      </c>
      <c r="C148" s="34"/>
      <c r="D148" s="34">
        <f>IF(A105="YES",(B40*B105)*B125,0)*0.1</f>
        <v>28.138000000000002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285">
        <v>18000</v>
      </c>
      <c r="N148" s="400">
        <v>0.99</v>
      </c>
      <c r="O148" s="400"/>
      <c r="P148" s="158"/>
      <c r="Q148" s="159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157"/>
      <c r="N150" s="158"/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225</v>
      </c>
      <c r="B151" s="34">
        <f>(A148+B148+D148+A151)*(A143/B64)</f>
        <v>0</v>
      </c>
      <c r="C151" s="34"/>
      <c r="D151" s="34">
        <f>(A148+B148+D148+A151)-B151-A154</f>
        <v>353.13799999999992</v>
      </c>
      <c r="E151" s="90"/>
      <c r="F151" s="55"/>
      <c r="G151" s="387"/>
      <c r="H151" s="389">
        <f>B51</f>
        <v>22000</v>
      </c>
      <c r="I151" s="389"/>
      <c r="J151" s="158"/>
      <c r="K151" s="159"/>
      <c r="L151" s="55"/>
      <c r="M151" s="202" t="s">
        <v>329</v>
      </c>
      <c r="N151" s="158"/>
      <c r="O151" s="158"/>
      <c r="P151" s="203"/>
      <c r="Q151" s="204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22</v>
      </c>
      <c r="H152" s="343">
        <f>H91</f>
        <v>789.18835085692592</v>
      </c>
      <c r="I152" s="343"/>
      <c r="J152" s="158"/>
      <c r="K152" s="159"/>
      <c r="L152" s="55"/>
      <c r="M152" s="157"/>
      <c r="N152" s="183"/>
      <c r="O152" s="183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387" t="s">
        <v>94</v>
      </c>
      <c r="N153" s="388" t="s">
        <v>95</v>
      </c>
      <c r="O153" s="38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387"/>
      <c r="N154" s="389">
        <f>B51</f>
        <v>22000</v>
      </c>
      <c r="O154" s="389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185">
        <f>A52</f>
        <v>22</v>
      </c>
      <c r="N155" s="343">
        <f>N91</f>
        <v>652.8420004095583</v>
      </c>
      <c r="O155" s="343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157"/>
      <c r="N157" s="158"/>
      <c r="O157" s="158"/>
      <c r="P157" s="158"/>
      <c r="Q157" s="159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157"/>
      <c r="N158" s="158"/>
      <c r="O158" s="158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157"/>
      <c r="N159" s="158"/>
      <c r="O159" s="15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22000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157"/>
      <c r="N160" s="158"/>
      <c r="O160" s="158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22</v>
      </c>
      <c r="B161" s="343">
        <f>B91</f>
        <v>823.94536331592781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157"/>
      <c r="N161" s="158"/>
      <c r="O161" s="158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206"/>
      <c r="N162" s="207"/>
      <c r="O162" s="207"/>
      <c r="P162" s="207"/>
      <c r="Q162" s="208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157"/>
      <c r="B165" s="158"/>
      <c r="C165" s="158"/>
      <c r="D165" s="158"/>
      <c r="E165" s="159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206"/>
      <c r="B166" s="207"/>
      <c r="C166" s="207"/>
      <c r="D166" s="207"/>
      <c r="E166" s="208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35">
        <f>A161</f>
        <v>22</v>
      </c>
      <c r="C174" s="236"/>
      <c r="D174" s="235">
        <f>D125</f>
        <v>22000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B90</f>
        <v>747.2053633159278</v>
      </c>
      <c r="B177" s="232">
        <f>IF(A105="YES",B89,0)</f>
        <v>76.740000000000009</v>
      </c>
      <c r="C177" s="236"/>
      <c r="D177" s="232">
        <f>B91</f>
        <v>823.94536331592781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B99</f>
        <v xml:space="preserve"> Monthly in advance </v>
      </c>
      <c r="B180" s="34">
        <f>B90*B57</f>
        <v>747.2053633159278</v>
      </c>
      <c r="C180" s="158"/>
      <c r="D180" s="34">
        <f>IF(A105="YES",B89*B57,0)</f>
        <v>76.740000000000009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B91*B57</f>
        <v>823.94536331592781</v>
      </c>
      <c r="B183" s="34">
        <f>E114</f>
        <v>0</v>
      </c>
      <c r="C183" s="158"/>
      <c r="D183" s="245">
        <f>B58</f>
        <v>21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B90</f>
        <v>747.2053633159278</v>
      </c>
      <c r="B186" s="34">
        <f>IF(A105="YES",B89,0)</f>
        <v>76.740000000000009</v>
      </c>
      <c r="C186" s="158"/>
      <c r="D186" s="34">
        <f>B91</f>
        <v>823.94536331592781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15.084</v>
      </c>
      <c r="B189" s="251">
        <f>IF(A105="YES",G18*0.000002,0)*100</f>
        <v>5.0279999999999996</v>
      </c>
      <c r="C189" s="252"/>
      <c r="D189" s="251">
        <f>A189+B189</f>
        <v>20.111999999999998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E118</f>
        <v>900</v>
      </c>
      <c r="C192" s="158"/>
      <c r="D192" s="119">
        <f>B102</f>
        <v>200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B67</f>
        <v>100</v>
      </c>
      <c r="B197" s="34">
        <f>B102</f>
        <v>200</v>
      </c>
      <c r="C197" s="34"/>
      <c r="D197" s="34">
        <f>IF(A105="YES",(B40*B105)*B125,0)*0.1</f>
        <v>28.138000000000002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A151</f>
        <v>225</v>
      </c>
      <c r="B200" s="34">
        <f>(A148+B148+D148+A151)*(A143/B64)</f>
        <v>0</v>
      </c>
      <c r="C200" s="34"/>
      <c r="D200" s="34">
        <f>D151</f>
        <v>353.13799999999992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D102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6.5000000000000002E-2</v>
      </c>
      <c r="C209" s="232" t="s">
        <v>227</v>
      </c>
      <c r="D209" s="261">
        <f>D64</f>
        <v>2126.8440000000001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100</v>
      </c>
      <c r="C211" s="231" t="s">
        <v>229</v>
      </c>
      <c r="D211" s="261">
        <f>B225+E221+B221+B223</f>
        <v>726.38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2753.2240000000002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D64</f>
        <v>2126.8440000000001</v>
      </c>
      <c r="C217" s="178" t="s">
        <v>233</v>
      </c>
      <c r="D217" s="158"/>
      <c r="E217" s="214">
        <f>B66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B67</f>
        <v>100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20</v>
      </c>
      <c r="C221" s="163" t="s">
        <v>235</v>
      </c>
      <c r="D221" s="158"/>
      <c r="E221" s="29">
        <f>A200</f>
        <v>225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B78-(B78*(E219*100))</f>
        <v>200</v>
      </c>
      <c r="C223" s="163" t="s">
        <v>230</v>
      </c>
      <c r="D223" s="158"/>
      <c r="E223" s="29">
        <f>(B217-B211+D211)</f>
        <v>2753.2240000000002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281.38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B71</f>
        <v>200</v>
      </c>
      <c r="C229" s="163" t="s">
        <v>238</v>
      </c>
      <c r="D229" s="254"/>
      <c r="E229" s="118">
        <f>B72</f>
        <v>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D73</f>
        <v>310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B68</f>
        <v>7.4999999999999997E-3</v>
      </c>
      <c r="C231" s="163" t="s">
        <v>241</v>
      </c>
      <c r="D231" s="254"/>
      <c r="E231" s="214">
        <f>B69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B86</f>
        <v>138.08355114078347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B79</f>
        <v>200</v>
      </c>
      <c r="C233" s="268" t="s">
        <v>336</v>
      </c>
      <c r="D233" s="269"/>
      <c r="E233" s="118">
        <f>B74</f>
        <v>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B80</f>
        <v>200</v>
      </c>
      <c r="C235" s="272" t="s">
        <v>337</v>
      </c>
      <c r="D235" s="272"/>
      <c r="E235" s="118">
        <f>B75</f>
        <v>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5.75" customHeight="1"/>
    <row r="357" spans="1:26" ht="15.75" customHeight="1"/>
    <row r="358" spans="1:26" ht="15.75" customHeight="1"/>
    <row r="359" spans="1:26" ht="15.75" customHeight="1"/>
    <row r="360" spans="1:26" ht="15.75" customHeight="1"/>
    <row r="361" spans="1:26" ht="15.75" customHeight="1"/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2">
    <mergeCell ref="A207:E207"/>
    <mergeCell ref="A159:A160"/>
    <mergeCell ref="B159:C159"/>
    <mergeCell ref="B160:C160"/>
    <mergeCell ref="B161:C161"/>
    <mergeCell ref="A171:E171"/>
    <mergeCell ref="H152:I152"/>
    <mergeCell ref="M153:M154"/>
    <mergeCell ref="N153:O153"/>
    <mergeCell ref="N154:O154"/>
    <mergeCell ref="N155:O155"/>
    <mergeCell ref="H124:I124"/>
    <mergeCell ref="N124:O124"/>
    <mergeCell ref="N148:O148"/>
    <mergeCell ref="G150:G151"/>
    <mergeCell ref="H150:I150"/>
    <mergeCell ref="H151:I151"/>
    <mergeCell ref="P105:Q105"/>
    <mergeCell ref="A108:E108"/>
    <mergeCell ref="G108:K108"/>
    <mergeCell ref="M108:Q108"/>
    <mergeCell ref="A122:E122"/>
    <mergeCell ref="G122:K122"/>
    <mergeCell ref="M122:Q122"/>
    <mergeCell ref="B105:C105"/>
    <mergeCell ref="D105:E105"/>
    <mergeCell ref="H105:I105"/>
    <mergeCell ref="J105:K105"/>
    <mergeCell ref="N105:O105"/>
    <mergeCell ref="P99:Q99"/>
    <mergeCell ref="B102:C102"/>
    <mergeCell ref="D102:E102"/>
    <mergeCell ref="H102:I102"/>
    <mergeCell ref="J102:K102"/>
    <mergeCell ref="N102:O102"/>
    <mergeCell ref="P102:Q102"/>
    <mergeCell ref="B99:C99"/>
    <mergeCell ref="D99:E99"/>
    <mergeCell ref="H99:I99"/>
    <mergeCell ref="J99:K99"/>
    <mergeCell ref="N99:O99"/>
    <mergeCell ref="A94:E94"/>
    <mergeCell ref="G94:K94"/>
    <mergeCell ref="M94:Q94"/>
    <mergeCell ref="A96:E96"/>
    <mergeCell ref="G96:K96"/>
    <mergeCell ref="M96:Q96"/>
    <mergeCell ref="C45:D45"/>
    <mergeCell ref="A50:A51"/>
    <mergeCell ref="B50:C50"/>
    <mergeCell ref="B51:C51"/>
    <mergeCell ref="B52:C52"/>
    <mergeCell ref="A28:E28"/>
    <mergeCell ref="B30:C30"/>
    <mergeCell ref="G38:H38"/>
    <mergeCell ref="B40:C40"/>
    <mergeCell ref="C44:D44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4">
    <dataValidation type="list" allowBlank="1" showErrorMessage="1" sqref="A18:A20 H99 N99 G105 M105 O107 H110 N110" xr:uid="{00000000-0002-0000-4200-000000000000}">
      <formula1>#REF!</formula1>
      <formula2>0</formula2>
    </dataValidation>
    <dataValidation type="list" allowBlank="1" showErrorMessage="1" sqref="B26 A105 B110" xr:uid="{00000000-0002-0000-4200-000001000000}">
      <formula1>$I$2:$I$3</formula1>
      <formula2>0</formula2>
    </dataValidation>
    <dataValidation type="list" allowBlank="1" showErrorMessage="1" sqref="B99" xr:uid="{00000000-0002-0000-4200-000002000000}">
      <formula1>$Y$97:$Y$105</formula1>
      <formula2>0</formula2>
    </dataValidation>
    <dataValidation type="list" allowBlank="1" showErrorMessage="1" sqref="C107" xr:uid="{00000000-0002-0000-4200-000003000000}">
      <formula1>"YES,NO"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AC1000"/>
  <sheetViews>
    <sheetView topLeftCell="A158" zoomScale="110" zoomScaleNormal="110" workbookViewId="0">
      <selection activeCell="A151" sqref="A151"/>
    </sheetView>
  </sheetViews>
  <sheetFormatPr defaultColWidth="10.875" defaultRowHeight="14.25"/>
  <cols>
    <col min="1" max="1" customWidth="true" width="56.0"/>
    <col min="2" max="2" customWidth="true" width="18.125"/>
    <col min="3" max="3" customWidth="true" width="25.125"/>
    <col min="4" max="4" customWidth="true" width="18.125"/>
    <col min="5" max="5" customWidth="true" width="24.0"/>
    <col min="7" max="7" customWidth="true" width="53.5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38.2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90">
        <v>56579.17</v>
      </c>
      <c r="C3" s="187">
        <v>0</v>
      </c>
      <c r="D3" s="190">
        <v>833.33</v>
      </c>
      <c r="E3" s="289">
        <v>0</v>
      </c>
      <c r="F3" s="55"/>
      <c r="G3" s="55">
        <v>25000</v>
      </c>
      <c r="H3" s="55"/>
      <c r="I3" s="55" t="s">
        <v>31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0">
        <v>2</v>
      </c>
      <c r="C4" s="0">
        <v>0</v>
      </c>
      <c r="D4" s="0">
        <v>2</v>
      </c>
      <c r="E4" s="214"/>
      <c r="F4" s="55"/>
      <c r="G4" s="55"/>
      <c r="H4" s="55"/>
      <c r="I4" s="55" t="s">
        <v>32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>
        <v>0</v>
      </c>
      <c r="C5" s="187">
        <v>0</v>
      </c>
      <c r="D5" s="187">
        <v>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1131.5834</v>
      </c>
      <c r="C6" s="28">
        <f>(C3*C4/100)+C5</f>
        <v>0</v>
      </c>
      <c r="D6" s="28">
        <f>(D3*D4/100)+D5</f>
        <v>16.666600000000003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55447.586599999995</v>
      </c>
      <c r="C7" s="28">
        <f>C3-C6</f>
        <v>0</v>
      </c>
      <c r="D7" s="28">
        <f>D3-D6</f>
        <v>816.66340000000002</v>
      </c>
      <c r="E7" s="29"/>
      <c r="F7" s="55"/>
      <c r="G7" s="297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298">
        <f>G9*100/B3</f>
        <v>-169.16252041166388</v>
      </c>
      <c r="H8" s="55"/>
      <c r="I8" s="14" t="s">
        <v>17</v>
      </c>
      <c r="J8" s="11">
        <f>E13+E14</f>
        <v>700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/>
      <c r="C9" s="408"/>
      <c r="D9" s="408"/>
      <c r="E9" s="326">
        <f>(B7+C7+D7+E3)</f>
        <v>56264.249999999993</v>
      </c>
      <c r="F9" s="55"/>
      <c r="G9" s="297">
        <f>E9-G11</f>
        <v>-95710.75</v>
      </c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>
        <v>150</v>
      </c>
      <c r="F10" s="55"/>
      <c r="G10" s="297"/>
      <c r="H10" s="55"/>
      <c r="I10" s="16" t="s">
        <v>15</v>
      </c>
      <c r="J10" s="11">
        <f>E15-E11-J8</f>
        <v>56414.249999999993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/>
      <c r="C11" s="409"/>
      <c r="D11" s="409"/>
      <c r="E11" s="29">
        <f>(E9+E10)*0.2</f>
        <v>11282.849999999999</v>
      </c>
      <c r="F11" s="55"/>
      <c r="G11" s="297">
        <f>G13/1.2</f>
        <v>151975</v>
      </c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/>
      <c r="C13" s="409"/>
      <c r="D13" s="409"/>
      <c r="E13" s="289">
        <v>645</v>
      </c>
      <c r="F13" s="55"/>
      <c r="G13" s="297">
        <f>G15-E14-E13-E12</f>
        <v>182370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>
        <v>55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327">
        <f>(E9+E10+E13+E14+E11)-E12</f>
        <v>68397.099999999991</v>
      </c>
      <c r="F15" s="55"/>
      <c r="G15" s="17">
        <v>183070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>
        <v>0</v>
      </c>
      <c r="F16" s="55"/>
      <c r="G16" s="299">
        <f>(B3+C3+E10)*1.2</f>
        <v>68075.004000000001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>
        <v>0</v>
      </c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(B3+C3+D3+E3+E10)*1.2</f>
        <v>69075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>
        <v>200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68157.099999999991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354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162" t="s">
        <v>138</v>
      </c>
      <c r="B26" s="164" t="s">
        <v>410</v>
      </c>
      <c r="C26" s="158"/>
      <c r="D26" s="158"/>
      <c r="E26" s="159"/>
      <c r="F26" s="55"/>
      <c r="G26" s="160" t="s">
        <v>36</v>
      </c>
      <c r="H26" s="160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38</v>
      </c>
      <c r="H27" s="161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377" t="s">
        <v>192</v>
      </c>
      <c r="B28" s="377"/>
      <c r="C28" s="377"/>
      <c r="D28" s="377"/>
      <c r="E28" s="377"/>
      <c r="F28" s="55"/>
      <c r="G28" s="161" t="s">
        <v>40</v>
      </c>
      <c r="H28" s="16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57"/>
      <c r="B29" s="158"/>
      <c r="C29" s="158"/>
      <c r="D29" s="158"/>
      <c r="E29" s="159"/>
      <c r="F29" s="55"/>
      <c r="G29" s="160" t="s">
        <v>41</v>
      </c>
      <c r="H29" s="300">
        <v>36</v>
      </c>
      <c r="I29" s="55"/>
      <c r="J29" s="55"/>
      <c r="K29" s="55">
        <v>36</v>
      </c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 t="s">
        <v>193</v>
      </c>
      <c r="B30" s="368" t="s">
        <v>387</v>
      </c>
      <c r="C30" s="368"/>
      <c r="D30" s="158"/>
      <c r="E30" s="159"/>
      <c r="F30" s="55"/>
      <c r="G30" s="160" t="s">
        <v>45</v>
      </c>
      <c r="H30" s="300">
        <v>10000</v>
      </c>
      <c r="I30" s="55"/>
      <c r="J30" s="55"/>
      <c r="K30" s="55">
        <v>10000</v>
      </c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57"/>
      <c r="B31" s="158"/>
      <c r="C31" s="158"/>
      <c r="D31" s="158"/>
      <c r="E31" s="159"/>
      <c r="F31" s="55"/>
      <c r="G31" s="160" t="s">
        <v>48</v>
      </c>
      <c r="H31" s="37">
        <v>27575</v>
      </c>
      <c r="I31" s="55"/>
      <c r="J31" s="55"/>
      <c r="K31" s="55">
        <v>20000</v>
      </c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57" t="s">
        <v>94</v>
      </c>
      <c r="B32" s="158" t="s">
        <v>95</v>
      </c>
      <c r="C32" s="158"/>
      <c r="D32" s="301" t="s">
        <v>355</v>
      </c>
      <c r="E32" s="159"/>
      <c r="F32" s="55"/>
      <c r="G32" s="160" t="s">
        <v>49</v>
      </c>
      <c r="I32" s="37">
        <v>1426.68</v>
      </c>
      <c r="J32" s="55"/>
      <c r="K32" s="55">
        <v>0</v>
      </c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31.7" customHeight="1">
      <c r="A33" s="169">
        <f>A52</f>
        <v>36</v>
      </c>
      <c r="B33" s="170">
        <v>10000</v>
      </c>
      <c r="C33" s="171"/>
      <c r="D33" s="302">
        <f>H48</f>
        <v>1224.82951996679</v>
      </c>
      <c r="E33" s="159"/>
      <c r="F33" s="55"/>
      <c r="G33" s="161" t="s">
        <v>356</v>
      </c>
      <c r="H33" s="43">
        <f>E21-E11+((E16*20%)+(E19*20%)+(E20*20%))</f>
        <v>56914.249999999993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57"/>
      <c r="B34" s="158"/>
      <c r="C34" s="158"/>
      <c r="D34" s="158"/>
      <c r="E34" s="159"/>
      <c r="F34" s="55"/>
      <c r="G34" s="55" t="s">
        <v>372</v>
      </c>
      <c r="H34" s="55">
        <f>H29</f>
        <v>36</v>
      </c>
      <c r="I34" s="55">
        <v>43957.29</v>
      </c>
      <c r="J34" s="55">
        <v>841.24</v>
      </c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57" t="s">
        <v>357</v>
      </c>
      <c r="B35" s="158" t="s">
        <v>358</v>
      </c>
      <c r="C35" s="158"/>
      <c r="D35" s="158" t="s">
        <v>359</v>
      </c>
      <c r="E35" s="159"/>
      <c r="F35" s="55"/>
      <c r="G35" s="46" t="s">
        <v>59</v>
      </c>
      <c r="H35" s="174">
        <v>7.0000000000000007E-2</v>
      </c>
      <c r="I35" s="55">
        <v>46215.83</v>
      </c>
      <c r="J35" s="55">
        <v>909.69</v>
      </c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38">
        <f>H47</f>
        <v>1185.1995199667899</v>
      </c>
      <c r="B36" s="34">
        <f>IF(B26="YES",H42,"")</f>
        <v>39.630000000000003</v>
      </c>
      <c r="C36" s="163"/>
      <c r="D36" s="137">
        <f>H31</f>
        <v>27575</v>
      </c>
      <c r="E36" s="159"/>
      <c r="F36" s="55"/>
      <c r="G36" s="55"/>
      <c r="H36" s="55"/>
      <c r="I36" s="55">
        <f>I35-I34</f>
        <v>2258.5400000000009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94"/>
      <c r="B37" s="34"/>
      <c r="C37" s="163"/>
      <c r="D37" s="34"/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57"/>
      <c r="B38" s="158"/>
      <c r="C38" s="158"/>
      <c r="D38" s="158"/>
      <c r="E38" s="159"/>
      <c r="F38" s="55"/>
      <c r="G38" s="384" t="s">
        <v>65</v>
      </c>
      <c r="H38" s="384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57" t="s">
        <v>360</v>
      </c>
      <c r="B39" s="158" t="s">
        <v>361</v>
      </c>
      <c r="C39" s="158"/>
      <c r="D39" s="158" t="s">
        <v>362</v>
      </c>
      <c r="E39" s="159"/>
      <c r="F39" s="55"/>
      <c r="G39" s="55" t="s">
        <v>96</v>
      </c>
      <c r="H39" s="5">
        <f>H33</f>
        <v>56914.249999999993</v>
      </c>
      <c r="I39" s="5">
        <f>(I48*H46)+H44</f>
        <v>62587.402524571065</v>
      </c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92">
        <f>D36*A45/100</f>
        <v>27575</v>
      </c>
      <c r="B40" s="348">
        <f>IF(B26="YES",H42,"0")</f>
        <v>39.630000000000003</v>
      </c>
      <c r="C40" s="348"/>
      <c r="D40" s="137">
        <f>I32</f>
        <v>1426.68</v>
      </c>
      <c r="E40" s="159"/>
      <c r="F40" s="55"/>
      <c r="G40" s="55" t="s">
        <v>118</v>
      </c>
      <c r="H40" s="5">
        <f>(A40)/1.2</f>
        <v>22979.166666666668</v>
      </c>
      <c r="I40" s="5">
        <f>H39-I39</f>
        <v>-5673.1525245710727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157"/>
      <c r="B41" s="158"/>
      <c r="C41" s="158"/>
      <c r="D41" s="158"/>
      <c r="E41" s="159"/>
      <c r="F41" s="55"/>
      <c r="G41" s="55" t="s">
        <v>363</v>
      </c>
      <c r="H41" s="180">
        <f>H35/12</f>
        <v>5.8333333333333336E-3</v>
      </c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57"/>
      <c r="B42" s="158"/>
      <c r="C42" s="158"/>
      <c r="D42" s="158"/>
      <c r="E42" s="159"/>
      <c r="F42" s="55"/>
      <c r="G42" s="55" t="s">
        <v>364</v>
      </c>
      <c r="H42" s="5">
        <f>(I32/H34)*(C45/100)</f>
        <v>39.630000000000003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209"/>
      <c r="B43" s="210"/>
      <c r="C43" s="210"/>
      <c r="D43" s="210"/>
      <c r="E43" s="211"/>
      <c r="F43" s="55"/>
      <c r="G43" s="55" t="s">
        <v>365</v>
      </c>
      <c r="H43" s="55"/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303" t="s">
        <v>89</v>
      </c>
      <c r="B44" s="158"/>
      <c r="C44" s="404" t="s">
        <v>90</v>
      </c>
      <c r="D44" s="404"/>
      <c r="E44" s="159"/>
      <c r="F44" s="55"/>
      <c r="G44" s="55" t="s">
        <v>373</v>
      </c>
      <c r="H44" s="5">
        <f>(H40/(1+H41)^(H34+1))</f>
        <v>18529.827878502838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304">
        <v>100</v>
      </c>
      <c r="B45" s="158"/>
      <c r="C45" s="420">
        <v>100</v>
      </c>
      <c r="D45" s="420"/>
      <c r="E45" s="159"/>
      <c r="F45" s="55"/>
      <c r="G45" s="55" t="s">
        <v>374</v>
      </c>
      <c r="H45" s="5">
        <f>(H39-H44)</f>
        <v>38384.422121497155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6"/>
      <c r="B46" s="207"/>
      <c r="C46" s="207"/>
      <c r="D46" s="207"/>
      <c r="E46" s="208"/>
      <c r="F46" s="55"/>
      <c r="G46" s="55" t="s">
        <v>375</v>
      </c>
      <c r="H46" s="5">
        <f>((1-(1/((1+H41)^H34)))/H41)</f>
        <v>32.386464451633181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57"/>
      <c r="B47" s="158"/>
      <c r="C47" s="158"/>
      <c r="D47" s="158"/>
      <c r="E47" s="159"/>
      <c r="F47" s="55"/>
      <c r="G47" s="55" t="s">
        <v>369</v>
      </c>
      <c r="H47" s="5">
        <f>H45/H46</f>
        <v>1185.1995199667899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305" t="s">
        <v>370</v>
      </c>
      <c r="H48" s="5">
        <f>IF(B26="YES",H47+H42,H47)</f>
        <v>1224.82951996679</v>
      </c>
      <c r="I48" s="5">
        <f>I49-H42</f>
        <v>1360.37</v>
      </c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 t="s">
        <v>371</v>
      </c>
      <c r="H49" s="205"/>
      <c r="I49" s="5">
        <v>1400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10000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36</v>
      </c>
      <c r="B52" s="343">
        <f>H48</f>
        <v>1224.82951996679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158"/>
      <c r="N55" s="158"/>
      <c r="O55" s="158"/>
      <c r="P55" s="158"/>
      <c r="Q55" s="158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209"/>
      <c r="N56" s="210"/>
      <c r="O56" s="210"/>
      <c r="P56" s="210"/>
      <c r="Q56" s="211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IF(B99=Y97,1,IF(B99=Y98,1,IF(B99=Y99,3,IF(B99=Y100,6,IF(B99=Y101,9,IF(B99=Y102,12,IF(B99=Y103,3,IF(B99=Y104,6,IF(B99=Y105,9,0)))))))))</f>
        <v>1</v>
      </c>
      <c r="C57" s="158"/>
      <c r="D57" s="158"/>
      <c r="E57" s="159"/>
      <c r="F57" s="55"/>
      <c r="G57" s="157" t="s">
        <v>96</v>
      </c>
      <c r="H57" s="158">
        <f>IF(H99=Y97,1,IF(H99=Y98,1,IF(H99=Y99,3,IF(H99=Y100,6,IF(H99=Y101,9,IF(H99=Y102,12,IF(H99=Y103,3,IF(H99=Y104,6,IF(H99=Y105,9,0)))))))))</f>
        <v>6</v>
      </c>
      <c r="I57" s="158"/>
      <c r="J57" s="158"/>
      <c r="K57" s="159"/>
      <c r="L57" s="55"/>
      <c r="M57" s="157" t="s">
        <v>96</v>
      </c>
      <c r="N57" s="158">
        <f>IF(N99=Y97,1,IF(N99=Y98,1,IF(N99=Y99,3,IF(N99=Y100,6,IF(N99=Y101,9,IF(N99=Y102,12,IF(N99=Y103,3,IF(N99=Y104,6,IF(N99=Y105,9,0)))))))))</f>
        <v>6</v>
      </c>
      <c r="O57" s="158"/>
      <c r="P57" s="158"/>
      <c r="Q57" s="159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IF(B99=Y97,H29-B57,IF(B99=Y98,H29-B57,IF(B99=Y99,H29-1,IF(B99=Y100,H29-1,IF(B99=Y101,H29-1,IF(B99=Y102,H29-1,IF(B99=Y103,H29-B57,IF(B99=Y104,H29-B57,IF(B99=Y105,H29-B57,0)))))))))</f>
        <v>35</v>
      </c>
      <c r="C58" s="158"/>
      <c r="D58" s="158"/>
      <c r="E58" s="159"/>
      <c r="F58" s="55"/>
      <c r="G58" s="157" t="s">
        <v>97</v>
      </c>
      <c r="H58" s="158">
        <f>IF(H99=Y97,H29-H57,IF(H99=Y98,H29-H57,IF(H99=Y99,H29-1,IF(H99=Y100,H29-1,IF(H99=Y101,H29-1,IF(H99=Y102,H29-1,IF(H99=Y103,H29-H57,IF(H99=Y104,H29-H57,IF(H99=Y105,H29-H57,0)))))))))</f>
        <v>35</v>
      </c>
      <c r="I58" s="158"/>
      <c r="J58" s="158"/>
      <c r="K58" s="159"/>
      <c r="L58" s="55"/>
      <c r="M58" s="157" t="s">
        <v>97</v>
      </c>
      <c r="N58" s="158">
        <f>IF(N99=Y97,H29-N57,IF(N99=Y98,H29-N57,IF(N99=Y99,H29-1,IF(N99=Y100,H29-1,IF(N99=Y101,H29-1,IF(N99=Y102,H29-1,IF(N99=Y103,H29-N57,IF(N99=Y104,H29-N57,IF(N99=Y105,H29-N57,0)))))))))</f>
        <v>35</v>
      </c>
      <c r="O58" s="158"/>
      <c r="P58" s="158"/>
      <c r="Q58" s="159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157"/>
      <c r="N59" s="158"/>
      <c r="O59" s="158"/>
      <c r="P59" s="158"/>
      <c r="Q59" s="159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/>
      <c r="B60" s="158"/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157"/>
      <c r="N60" s="158"/>
      <c r="O60" s="158"/>
      <c r="P60" s="158"/>
      <c r="Q60" s="159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f>G18</f>
        <v>69075</v>
      </c>
      <c r="C61" s="158"/>
      <c r="D61" s="158"/>
      <c r="E61" s="159"/>
      <c r="F61" s="55"/>
      <c r="G61" s="157" t="s">
        <v>27</v>
      </c>
      <c r="H61" s="28">
        <f>G18</f>
        <v>69075</v>
      </c>
      <c r="I61" s="158"/>
      <c r="J61" s="158"/>
      <c r="K61" s="159"/>
      <c r="L61" s="55"/>
      <c r="M61" s="157" t="s">
        <v>27</v>
      </c>
      <c r="N61" s="28">
        <f>G18</f>
        <v>69075</v>
      </c>
      <c r="O61" s="158"/>
      <c r="P61" s="158"/>
      <c r="Q61" s="159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212" t="s">
        <v>283</v>
      </c>
      <c r="N62" s="213">
        <v>7.0000000000000007E-2</v>
      </c>
      <c r="O62" s="158"/>
      <c r="P62" s="158"/>
      <c r="Q62" s="159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0.105</v>
      </c>
      <c r="C63" s="158"/>
      <c r="D63" s="158"/>
      <c r="E63" s="159"/>
      <c r="F63" s="55"/>
      <c r="G63" s="157" t="s">
        <v>284</v>
      </c>
      <c r="H63" s="214">
        <f>H62+(H62*0.25*(H29/12-1))</f>
        <v>0.10500000000000001</v>
      </c>
      <c r="I63" s="158"/>
      <c r="J63" s="158"/>
      <c r="K63" s="159"/>
      <c r="L63" s="55"/>
      <c r="M63" s="157" t="s">
        <v>284</v>
      </c>
      <c r="N63" s="214">
        <f>N62+(N62*0.25*(H29/12-1))</f>
        <v>0.10500000000000001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C64</f>
        <v>10000</v>
      </c>
      <c r="C64" s="158">
        <v>10000</v>
      </c>
      <c r="D64" s="28">
        <f>B64-A143</f>
        <v>10000</v>
      </c>
      <c r="E64" s="307">
        <f>D64/(B58+B57)</f>
        <v>277.77777777777777</v>
      </c>
      <c r="F64" s="55"/>
      <c r="G64" s="206" t="s">
        <v>102</v>
      </c>
      <c r="H64" s="57">
        <f>H61*H63</f>
        <v>7252.8750000000009</v>
      </c>
      <c r="I64" s="158"/>
      <c r="J64" s="28">
        <f>H64-G145</f>
        <v>7252.8750000000009</v>
      </c>
      <c r="K64" s="159"/>
      <c r="L64" s="55"/>
      <c r="M64" s="206" t="s">
        <v>102</v>
      </c>
      <c r="N64" s="57">
        <f>N61*N63</f>
        <v>7252.8750000000009</v>
      </c>
      <c r="O64" s="158"/>
      <c r="P64" s="28">
        <f>N64-M145</f>
        <v>7252.8750000000009</v>
      </c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>
        <v>250</v>
      </c>
      <c r="C65" s="158"/>
      <c r="D65" s="158"/>
      <c r="E65" s="159"/>
      <c r="F65" s="55"/>
      <c r="G65" s="212" t="s">
        <v>103</v>
      </c>
      <c r="H65" s="213">
        <v>0.01</v>
      </c>
      <c r="I65" s="158"/>
      <c r="J65" s="158"/>
      <c r="K65" s="159"/>
      <c r="L65" s="55"/>
      <c r="M65" s="212" t="s">
        <v>103</v>
      </c>
      <c r="N65" s="213">
        <v>0.01</v>
      </c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158"/>
      <c r="D66" s="158"/>
      <c r="E66" s="159"/>
      <c r="F66" s="55"/>
      <c r="G66" s="157" t="s">
        <v>104</v>
      </c>
      <c r="H66" s="214">
        <f>H65+(H65*0.5*(H29/12-1))</f>
        <v>0.02</v>
      </c>
      <c r="I66" s="158"/>
      <c r="J66" s="158"/>
      <c r="K66" s="159"/>
      <c r="L66" s="55"/>
      <c r="M66" s="157" t="s">
        <v>104</v>
      </c>
      <c r="N66" s="214">
        <f>N65+(N65*0.5*(H29/12-1))</f>
        <v>0.02</v>
      </c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250</v>
      </c>
      <c r="C67" s="158"/>
      <c r="D67" s="28"/>
      <c r="E67" s="159"/>
      <c r="F67" s="55"/>
      <c r="G67" s="206" t="s">
        <v>105</v>
      </c>
      <c r="H67" s="57">
        <f>(H61*H66)/1.2</f>
        <v>1151.25</v>
      </c>
      <c r="I67" s="158"/>
      <c r="J67" s="28"/>
      <c r="K67" s="159"/>
      <c r="L67" s="55"/>
      <c r="M67" s="206" t="s">
        <v>105</v>
      </c>
      <c r="N67" s="57">
        <f>(N61*N66)/1.2</f>
        <v>1151.25</v>
      </c>
      <c r="O67" s="158"/>
      <c r="P67" s="2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158"/>
      <c r="D68" s="15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212" t="s">
        <v>106</v>
      </c>
      <c r="N68" s="213">
        <v>7.4999999999999997E-3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216" t="s">
        <v>107</v>
      </c>
      <c r="N69" s="217">
        <v>0.12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206" t="s">
        <v>108</v>
      </c>
      <c r="N70" s="312">
        <f>N68*(1+N69)</f>
        <v>8.4000000000000012E-3</v>
      </c>
      <c r="O70" s="158"/>
      <c r="P70" s="158"/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160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212" t="s">
        <v>109</v>
      </c>
      <c r="N71" s="74">
        <v>160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4.5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216" t="s">
        <v>110</v>
      </c>
      <c r="N72" s="65">
        <v>4.5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162</v>
      </c>
      <c r="C73" s="158"/>
      <c r="D73" s="28">
        <f>B73+B71</f>
        <v>322</v>
      </c>
      <c r="E73" s="159"/>
      <c r="F73" s="55"/>
      <c r="G73" s="206" t="s">
        <v>111</v>
      </c>
      <c r="H73" s="57">
        <f>H72*H29</f>
        <v>162</v>
      </c>
      <c r="I73" s="158"/>
      <c r="J73" s="28">
        <f>H73+H71</f>
        <v>322</v>
      </c>
      <c r="K73" s="159"/>
      <c r="L73" s="55"/>
      <c r="M73" s="206" t="s">
        <v>111</v>
      </c>
      <c r="N73" s="57">
        <f>N72*H29</f>
        <v>162</v>
      </c>
      <c r="O73" s="158"/>
      <c r="P73" s="28">
        <f>N73+N71</f>
        <v>322</v>
      </c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180</v>
      </c>
      <c r="C74" s="158"/>
      <c r="D74" s="158"/>
      <c r="E74" s="159"/>
      <c r="F74" s="55"/>
      <c r="G74" s="212" t="s">
        <v>285</v>
      </c>
      <c r="H74" s="74">
        <v>165</v>
      </c>
      <c r="I74" s="158"/>
      <c r="J74" s="158"/>
      <c r="K74" s="159"/>
      <c r="L74" s="55"/>
      <c r="M74" s="277" t="s">
        <v>285</v>
      </c>
      <c r="N74" s="278">
        <v>0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370</v>
      </c>
      <c r="C75" s="158"/>
      <c r="D75" s="158"/>
      <c r="E75" s="159"/>
      <c r="F75" s="55"/>
      <c r="G75" s="216" t="s">
        <v>286</v>
      </c>
      <c r="H75" s="65">
        <v>0</v>
      </c>
      <c r="I75" s="158"/>
      <c r="J75" s="158"/>
      <c r="K75" s="159"/>
      <c r="L75" s="55"/>
      <c r="M75" s="279" t="s">
        <v>286</v>
      </c>
      <c r="N75" s="280">
        <v>0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((B74+B75)/12)*(H29-11)</f>
        <v>1145.8333333333335</v>
      </c>
      <c r="C76" s="158"/>
      <c r="D76" s="28">
        <f>B76</f>
        <v>1145.8333333333335</v>
      </c>
      <c r="E76" s="159"/>
      <c r="F76" s="55"/>
      <c r="G76" s="206" t="s">
        <v>287</v>
      </c>
      <c r="H76" s="57">
        <f>((H74+H75)/12)*(H29-11)</f>
        <v>343.75</v>
      </c>
      <c r="I76" s="158"/>
      <c r="J76" s="28">
        <f>H76</f>
        <v>343.75</v>
      </c>
      <c r="K76" s="159"/>
      <c r="L76" s="55"/>
      <c r="M76" s="281" t="s">
        <v>287</v>
      </c>
      <c r="N76" s="282">
        <f>((N74+N75)/12)*(H29-11)</f>
        <v>0</v>
      </c>
      <c r="O76" s="158"/>
      <c r="P76" s="28">
        <f>N76</f>
        <v>0</v>
      </c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288</v>
      </c>
      <c r="B77" s="24">
        <f>B102/(1-0.1)</f>
        <v>444.44444444444446</v>
      </c>
      <c r="C77" s="158"/>
      <c r="D77" s="28">
        <f>B77</f>
        <v>444.44444444444446</v>
      </c>
      <c r="E77" s="307">
        <f>D77/(B58+B57)</f>
        <v>12.345679012345679</v>
      </c>
      <c r="F77" s="55"/>
      <c r="G77" s="212" t="s">
        <v>288</v>
      </c>
      <c r="H77" s="74">
        <v>0</v>
      </c>
      <c r="I77" s="158"/>
      <c r="J77" s="28">
        <f>H77</f>
        <v>0</v>
      </c>
      <c r="K77" s="159"/>
      <c r="L77" s="55"/>
      <c r="M77" s="212" t="s">
        <v>288</v>
      </c>
      <c r="N77" s="74">
        <v>0</v>
      </c>
      <c r="O77" s="158"/>
      <c r="P77" s="28">
        <f>N77</f>
        <v>0</v>
      </c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158"/>
      <c r="D78" s="28">
        <f>B78</f>
        <v>222.22222222222223</v>
      </c>
      <c r="E78" s="307"/>
      <c r="F78" s="55"/>
      <c r="G78" s="157" t="s">
        <v>289</v>
      </c>
      <c r="H78" s="29">
        <v>0</v>
      </c>
      <c r="I78" s="158"/>
      <c r="J78" s="28">
        <f>H78</f>
        <v>0</v>
      </c>
      <c r="K78" s="159"/>
      <c r="L78" s="55"/>
      <c r="M78" s="157" t="s">
        <v>289</v>
      </c>
      <c r="N78" s="29">
        <v>0</v>
      </c>
      <c r="O78" s="158"/>
      <c r="P78" s="28">
        <f>N78</f>
        <v>0</v>
      </c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300</v>
      </c>
      <c r="C79" s="158"/>
      <c r="D79" s="28">
        <f>B79</f>
        <v>300</v>
      </c>
      <c r="E79" s="307"/>
      <c r="F79" s="55"/>
      <c r="G79" s="216" t="s">
        <v>112</v>
      </c>
      <c r="H79" s="65">
        <v>200</v>
      </c>
      <c r="I79" s="158"/>
      <c r="J79" s="28">
        <f>H79</f>
        <v>200</v>
      </c>
      <c r="K79" s="159"/>
      <c r="L79" s="55"/>
      <c r="M79" s="216" t="s">
        <v>112</v>
      </c>
      <c r="N79" s="65">
        <v>200</v>
      </c>
      <c r="O79" s="158"/>
      <c r="P79" s="28">
        <f>N79</f>
        <v>200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100</v>
      </c>
      <c r="C80" s="158"/>
      <c r="D80" s="28">
        <f>B80</f>
        <v>100</v>
      </c>
      <c r="E80" s="307">
        <f>(D73+D76+D79+D80)/(B58+B57)</f>
        <v>51.884259259259267</v>
      </c>
      <c r="F80" s="55"/>
      <c r="G80" s="219" t="s">
        <v>113</v>
      </c>
      <c r="H80" s="75">
        <v>200</v>
      </c>
      <c r="I80" s="158"/>
      <c r="J80" s="28">
        <f>H80</f>
        <v>200</v>
      </c>
      <c r="K80" s="159"/>
      <c r="L80" s="55"/>
      <c r="M80" s="219" t="s">
        <v>113</v>
      </c>
      <c r="N80" s="75">
        <v>200</v>
      </c>
      <c r="O80" s="158"/>
      <c r="P80" s="28">
        <f>N80</f>
        <v>200</v>
      </c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12534.500000000002</v>
      </c>
      <c r="C81" s="158"/>
      <c r="D81" s="158"/>
      <c r="E81" s="307"/>
      <c r="F81" s="55"/>
      <c r="G81" s="220" t="s">
        <v>114</v>
      </c>
      <c r="H81" s="221">
        <f>SUM(J64:J80)</f>
        <v>8318.625</v>
      </c>
      <c r="I81" s="158"/>
      <c r="J81" s="158"/>
      <c r="K81" s="159"/>
      <c r="L81" s="55"/>
      <c r="M81" s="220" t="s">
        <v>114</v>
      </c>
      <c r="N81" s="221">
        <f>SUM(P64:P80)</f>
        <v>7974.8750000000009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348.1805555555556</v>
      </c>
      <c r="C82" s="158"/>
      <c r="D82" s="158"/>
      <c r="E82" s="307"/>
      <c r="F82" s="55"/>
      <c r="G82" s="157" t="s">
        <v>115</v>
      </c>
      <c r="H82" s="29">
        <f>H81/H29</f>
        <v>231.07291666666666</v>
      </c>
      <c r="I82" s="158"/>
      <c r="J82" s="158"/>
      <c r="K82" s="159"/>
      <c r="L82" s="55"/>
      <c r="M82" s="157" t="s">
        <v>115</v>
      </c>
      <c r="N82" s="29">
        <f>N81/H29</f>
        <v>221.52430555555557</v>
      </c>
      <c r="O82" s="158"/>
      <c r="P82" s="158"/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H47</f>
        <v>1185.1995199667899</v>
      </c>
      <c r="C83" s="158"/>
      <c r="D83" s="158"/>
      <c r="E83" s="307">
        <f>B83+E80+E77+E64</f>
        <v>1527.2072360161728</v>
      </c>
      <c r="F83" s="55"/>
      <c r="G83" s="222" t="s">
        <v>116</v>
      </c>
      <c r="H83" s="52">
        <f>H47</f>
        <v>1185.1995199667899</v>
      </c>
      <c r="I83" s="158"/>
      <c r="J83" s="158"/>
      <c r="K83" s="159"/>
      <c r="L83" s="55"/>
      <c r="M83" s="222" t="s">
        <v>116</v>
      </c>
      <c r="N83" s="52">
        <f>H47</f>
        <v>1185.1995199667899</v>
      </c>
      <c r="O83" s="158"/>
      <c r="P83" s="158"/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158"/>
      <c r="D84" s="158"/>
      <c r="E84" s="307"/>
      <c r="F84" s="55"/>
      <c r="G84" s="157"/>
      <c r="H84" s="28"/>
      <c r="I84" s="158"/>
      <c r="J84" s="158"/>
      <c r="K84" s="159"/>
      <c r="L84" s="55"/>
      <c r="M84" s="157"/>
      <c r="N84" s="28"/>
      <c r="O84" s="158"/>
      <c r="P84" s="158"/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((B83*H29)+B81)*1.2</f>
        <v>66242.019262565329</v>
      </c>
      <c r="C85" s="158"/>
      <c r="D85" s="158"/>
      <c r="E85" s="307">
        <f>B85/(B58+B57)</f>
        <v>1840.0560906268147</v>
      </c>
      <c r="F85" s="55"/>
      <c r="G85" s="209" t="s">
        <v>126</v>
      </c>
      <c r="H85" s="24">
        <f>((H83*H29)+H81)*1.2</f>
        <v>61182.969262565326</v>
      </c>
      <c r="I85" s="158"/>
      <c r="J85" s="158"/>
      <c r="K85" s="159"/>
      <c r="L85" s="55"/>
      <c r="M85" s="209" t="s">
        <v>126</v>
      </c>
      <c r="N85" s="24">
        <f>((N83*H29)+N81)</f>
        <v>50642.057718804441</v>
      </c>
      <c r="O85" s="158"/>
      <c r="P85" s="158"/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((((B83*H29)+B81))/(1-B70))*B70</f>
        <v>467.62216099027563</v>
      </c>
      <c r="C86" s="158"/>
      <c r="D86" s="158"/>
      <c r="E86" s="307">
        <f>B86/(B58+B57)</f>
        <v>12.989504471952101</v>
      </c>
      <c r="F86" s="55"/>
      <c r="G86" s="157" t="s">
        <v>127</v>
      </c>
      <c r="H86" s="29">
        <f>((((H83*H29)+H81))/(1-H70))*H70</f>
        <v>431.90881891685893</v>
      </c>
      <c r="I86" s="158"/>
      <c r="J86" s="158"/>
      <c r="K86" s="159"/>
      <c r="L86" s="55"/>
      <c r="M86" s="157" t="s">
        <v>127</v>
      </c>
      <c r="N86" s="29">
        <f>(N85/(1-N70))*N70</f>
        <v>428.99685844892832</v>
      </c>
      <c r="O86" s="158"/>
      <c r="P86" s="158"/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IF(B110="YES",((B85+B86)-E114),(B85+B86))</f>
        <v>66709.6414235556</v>
      </c>
      <c r="C87" s="158"/>
      <c r="D87" s="158"/>
      <c r="E87" s="307">
        <f>E86+E85</f>
        <v>1853.0455950987669</v>
      </c>
      <c r="F87" s="55"/>
      <c r="G87" s="206" t="s">
        <v>128</v>
      </c>
      <c r="H87" s="57">
        <f>IF(H110="YES",((H85+H86)-K114),(H85+H86))</f>
        <v>61614.878081482188</v>
      </c>
      <c r="I87" s="158"/>
      <c r="J87" s="158"/>
      <c r="K87" s="159"/>
      <c r="L87" s="55"/>
      <c r="M87" s="206" t="s">
        <v>128</v>
      </c>
      <c r="N87" s="57">
        <f>IF(N110="YES",((N85+N86)-Q114),(N85+N86))</f>
        <v>51071.054577253366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158"/>
      <c r="D88" s="158"/>
      <c r="E88" s="159"/>
      <c r="F88" s="55"/>
      <c r="G88" s="157"/>
      <c r="H88" s="28"/>
      <c r="I88" s="158"/>
      <c r="J88" s="158"/>
      <c r="K88" s="159"/>
      <c r="L88" s="55"/>
      <c r="M88" s="157"/>
      <c r="N88" s="28"/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1">
        <f>IF(B99=Y98,(D40+(D40*B105))/(B58),(D40+(D40*B105))/(B57+B58))*1.2*(C45/100)</f>
        <v>58.697691428571432</v>
      </c>
      <c r="C89" s="158"/>
      <c r="D89" s="158"/>
      <c r="E89" s="159"/>
      <c r="F89" s="55"/>
      <c r="G89" s="220" t="s">
        <v>129</v>
      </c>
      <c r="H89" s="221">
        <f>IF(H99=Y98,(D40+(D40*H105))/(H58),(D40+(D40*H105))/(H57+H58))*1.2</f>
        <v>50.107785365853658</v>
      </c>
      <c r="I89" s="158"/>
      <c r="J89" s="158"/>
      <c r="K89" s="159"/>
      <c r="L89" s="55"/>
      <c r="M89" s="220" t="s">
        <v>129</v>
      </c>
      <c r="N89" s="221">
        <f>IF(N99=Y98,(D40+(D40*N105))/(N58),(D40+(D40*N105))/(N57+N58))</f>
        <v>41.756487804878049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IF(B99=Y98,(B87-D105)/(B58),B87/(B57+B58))</f>
        <v>1891.7040406730171</v>
      </c>
      <c r="C90" s="158"/>
      <c r="D90" s="158"/>
      <c r="E90" s="159"/>
      <c r="F90" s="55"/>
      <c r="G90" s="224" t="s">
        <v>130</v>
      </c>
      <c r="H90" s="225">
        <f>IF(H99=Y98,(H87-J105)/(H58),H87/(H57+H58))</f>
        <v>1502.8019044263949</v>
      </c>
      <c r="I90" s="158"/>
      <c r="J90" s="158"/>
      <c r="K90" s="159"/>
      <c r="L90" s="55"/>
      <c r="M90" s="224" t="s">
        <v>130</v>
      </c>
      <c r="N90" s="225">
        <f>IF(N99=Y98,(N87-P105)/(N58),N87/(N57+N58))</f>
        <v>1245.6354774939846</v>
      </c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1950.4017321015885</v>
      </c>
      <c r="C91" s="158"/>
      <c r="D91" s="158"/>
      <c r="E91" s="159"/>
      <c r="F91" s="55"/>
      <c r="G91" s="226" t="s">
        <v>131</v>
      </c>
      <c r="H91" s="227">
        <f>IF(G105="YES",H90+H89,H90)</f>
        <v>1552.9096897922486</v>
      </c>
      <c r="I91" s="158"/>
      <c r="J91" s="158"/>
      <c r="K91" s="159"/>
      <c r="L91" s="55"/>
      <c r="M91" s="226" t="s">
        <v>131</v>
      </c>
      <c r="N91" s="227">
        <f>IF(M105="YES",N90+N89,N90)</f>
        <v>1287.3919652988627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207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206"/>
      <c r="N92" s="207"/>
      <c r="O92" s="207"/>
      <c r="P92" s="207"/>
      <c r="Q92" s="208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158"/>
      <c r="N93" s="158"/>
      <c r="O93" s="158"/>
      <c r="P93" s="158"/>
      <c r="Q93" s="158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56.25" customHeight="1">
      <c r="A94" s="376" t="s">
        <v>290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376" t="s">
        <v>345</v>
      </c>
      <c r="N94" s="376"/>
      <c r="O94" s="376"/>
      <c r="P94" s="376"/>
      <c r="Q94" s="376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/>
      <c r="F95" s="55"/>
      <c r="G95" s="157"/>
      <c r="H95" s="158"/>
      <c r="I95" s="158"/>
      <c r="J95" s="158"/>
      <c r="K95" s="159"/>
      <c r="L95" s="55"/>
      <c r="M95" s="157"/>
      <c r="N95" s="158"/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377" t="s">
        <v>136</v>
      </c>
      <c r="N96" s="377"/>
      <c r="O96" s="377"/>
      <c r="P96" s="377"/>
      <c r="Q96" s="377"/>
      <c r="R96" s="55"/>
      <c r="S96" s="55"/>
      <c r="T96" s="55"/>
      <c r="U96" s="55"/>
      <c r="V96" s="55"/>
      <c r="W96" s="55"/>
      <c r="X96" s="55"/>
      <c r="Y96" s="55"/>
      <c r="Z96" s="55"/>
    </row>
    <row r="97" spans="1:29" ht="18.75" customHeight="1">
      <c r="A97" s="157"/>
      <c r="B97" s="158"/>
      <c r="C97" s="158"/>
      <c r="D97" s="158"/>
      <c r="E97" s="159"/>
      <c r="F97" s="55"/>
      <c r="G97" s="157"/>
      <c r="H97" s="158"/>
      <c r="I97" s="158"/>
      <c r="J97" s="158"/>
      <c r="K97" s="159"/>
      <c r="L97" s="55"/>
      <c r="M97" s="157"/>
      <c r="N97" s="158"/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 t="s">
        <v>140</v>
      </c>
      <c r="Z97" s="55"/>
      <c r="AC97" s="55"/>
    </row>
    <row r="98" spans="1:29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157" t="s">
        <v>137</v>
      </c>
      <c r="N98" s="158" t="s">
        <v>36</v>
      </c>
      <c r="O98" s="158"/>
      <c r="P98" s="158" t="s">
        <v>291</v>
      </c>
      <c r="Q98" s="159"/>
      <c r="R98" s="55"/>
      <c r="S98" s="55"/>
      <c r="T98" s="55"/>
      <c r="U98" s="55"/>
      <c r="V98" s="55"/>
      <c r="W98" s="55"/>
      <c r="X98" s="55"/>
      <c r="Y98" s="55" t="s">
        <v>270</v>
      </c>
      <c r="Z98" s="55"/>
    </row>
    <row r="99" spans="1:29" ht="18.75" customHeight="1">
      <c r="A99" s="162" t="s">
        <v>292</v>
      </c>
      <c r="B99" s="395" t="s">
        <v>270</v>
      </c>
      <c r="C99" s="395"/>
      <c r="D99" s="348">
        <v>5000</v>
      </c>
      <c r="E99" s="348"/>
      <c r="F99" s="55"/>
      <c r="G99" s="162" t="s">
        <v>292</v>
      </c>
      <c r="H99" s="395" t="s">
        <v>272</v>
      </c>
      <c r="I99" s="395"/>
      <c r="J99" s="348">
        <v>0</v>
      </c>
      <c r="K99" s="348"/>
      <c r="L99" s="55"/>
      <c r="M99" s="162" t="s">
        <v>292</v>
      </c>
      <c r="N99" s="395" t="s">
        <v>272</v>
      </c>
      <c r="O99" s="395"/>
      <c r="P99" s="348">
        <v>0</v>
      </c>
      <c r="Q99" s="348"/>
      <c r="R99" s="55"/>
      <c r="S99" s="55"/>
      <c r="T99" s="55"/>
      <c r="U99" s="55"/>
      <c r="V99" s="55"/>
      <c r="W99" s="55"/>
      <c r="X99" s="55"/>
      <c r="Y99" s="55" t="s">
        <v>271</v>
      </c>
      <c r="Z99" s="55"/>
    </row>
    <row r="100" spans="1:29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157"/>
      <c r="N100" s="158"/>
      <c r="O100" s="158"/>
      <c r="P100" s="158"/>
      <c r="Q100" s="159"/>
      <c r="R100" s="55"/>
      <c r="S100" s="55"/>
      <c r="T100" s="55"/>
      <c r="U100" s="55"/>
      <c r="V100" s="55"/>
      <c r="W100" s="55"/>
      <c r="X100" s="55"/>
      <c r="Y100" s="55" t="s">
        <v>272</v>
      </c>
      <c r="Z100" s="55"/>
    </row>
    <row r="101" spans="1:29" ht="18.75" customHeight="1">
      <c r="A101" s="157" t="s">
        <v>293</v>
      </c>
      <c r="B101" s="158" t="s">
        <v>294</v>
      </c>
      <c r="C101" s="158"/>
      <c r="D101" s="158" t="s">
        <v>295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157" t="s">
        <v>293</v>
      </c>
      <c r="N101" s="158" t="s">
        <v>294</v>
      </c>
      <c r="O101" s="158"/>
      <c r="P101" s="158" t="s">
        <v>295</v>
      </c>
      <c r="Q101" s="159"/>
      <c r="R101" s="55"/>
      <c r="S101" s="55"/>
      <c r="T101" s="55"/>
      <c r="U101" s="55"/>
      <c r="V101" s="55"/>
      <c r="W101" s="55"/>
      <c r="X101" s="55"/>
      <c r="Y101" s="55" t="s">
        <v>273</v>
      </c>
      <c r="Z101" s="55"/>
    </row>
    <row r="102" spans="1:29" ht="18.75" customHeight="1">
      <c r="A102" s="228">
        <v>0</v>
      </c>
      <c r="B102" s="348">
        <v>400</v>
      </c>
      <c r="C102" s="348"/>
      <c r="D102" s="348">
        <v>200</v>
      </c>
      <c r="E102" s="348"/>
      <c r="F102" s="55"/>
      <c r="G102" s="228">
        <v>199.99</v>
      </c>
      <c r="H102" s="348">
        <v>0</v>
      </c>
      <c r="I102" s="348"/>
      <c r="J102" s="348">
        <v>0</v>
      </c>
      <c r="K102" s="348"/>
      <c r="L102" s="55"/>
      <c r="M102" s="228">
        <v>199.99</v>
      </c>
      <c r="N102" s="348">
        <v>0</v>
      </c>
      <c r="O102" s="348"/>
      <c r="P102" s="348">
        <v>0</v>
      </c>
      <c r="Q102" s="348"/>
      <c r="R102" s="55"/>
      <c r="S102" s="55"/>
      <c r="T102" s="55"/>
      <c r="U102" s="55"/>
      <c r="V102" s="55"/>
      <c r="W102" s="55"/>
      <c r="X102" s="55"/>
      <c r="Y102" s="55" t="s">
        <v>274</v>
      </c>
      <c r="Z102" s="55"/>
    </row>
    <row r="103" spans="1:29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 t="s">
        <v>275</v>
      </c>
      <c r="Z103" s="55"/>
    </row>
    <row r="104" spans="1:29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162" t="s">
        <v>138</v>
      </c>
      <c r="N104" s="55" t="s">
        <v>141</v>
      </c>
      <c r="O104" s="158"/>
      <c r="P104" s="158" t="s">
        <v>152</v>
      </c>
      <c r="Q104" s="159"/>
      <c r="R104" s="55"/>
      <c r="S104" s="55"/>
      <c r="T104" s="55"/>
      <c r="U104" s="55"/>
      <c r="V104" s="55"/>
      <c r="W104" s="55"/>
      <c r="X104" s="55"/>
      <c r="Y104" s="55" t="s">
        <v>276</v>
      </c>
      <c r="Z104" s="55"/>
    </row>
    <row r="105" spans="1:29" ht="18.75" customHeight="1">
      <c r="A105" s="164" t="s">
        <v>410</v>
      </c>
      <c r="B105" s="396">
        <v>0.2</v>
      </c>
      <c r="C105" s="396"/>
      <c r="D105" s="348">
        <v>500</v>
      </c>
      <c r="E105" s="348"/>
      <c r="F105" s="55"/>
      <c r="G105" s="164" t="s">
        <v>31</v>
      </c>
      <c r="H105" s="396">
        <v>0.2</v>
      </c>
      <c r="I105" s="396"/>
      <c r="J105" s="348"/>
      <c r="K105" s="348"/>
      <c r="L105" s="55"/>
      <c r="M105" s="164" t="s">
        <v>31</v>
      </c>
      <c r="N105" s="396">
        <v>0.2</v>
      </c>
      <c r="O105" s="396"/>
      <c r="P105" s="348">
        <v>0</v>
      </c>
      <c r="Q105" s="348"/>
      <c r="R105" s="55"/>
      <c r="S105" s="55"/>
      <c r="T105" s="55"/>
      <c r="U105" s="55"/>
      <c r="V105" s="55"/>
      <c r="W105" s="55"/>
      <c r="X105" s="55"/>
      <c r="Y105" s="55" t="s">
        <v>277</v>
      </c>
      <c r="Z105" s="55"/>
    </row>
    <row r="106" spans="1:29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9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157"/>
      <c r="N107" s="158" t="s">
        <v>346</v>
      </c>
      <c r="O107" s="164" t="s">
        <v>31</v>
      </c>
      <c r="P107" s="158"/>
      <c r="Q107" s="159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9" ht="18.75" customHeight="1">
      <c r="A108" s="377" t="s">
        <v>296</v>
      </c>
      <c r="B108" s="377"/>
      <c r="C108" s="377"/>
      <c r="D108" s="377"/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377" t="s">
        <v>296</v>
      </c>
      <c r="N108" s="377"/>
      <c r="O108" s="377"/>
      <c r="P108" s="377"/>
      <c r="Q108" s="377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9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9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157" t="s">
        <v>297</v>
      </c>
      <c r="N110" s="164" t="s">
        <v>32</v>
      </c>
      <c r="O110" s="158"/>
      <c r="P110" s="158"/>
      <c r="Q110" s="159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9" ht="18.75" customHeight="1">
      <c r="A111" s="157"/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157"/>
      <c r="N111" s="158"/>
      <c r="O111" s="158"/>
      <c r="P111" s="158"/>
      <c r="Q111" s="159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9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0</v>
      </c>
      <c r="K112" s="92">
        <v>0</v>
      </c>
      <c r="L112" s="55"/>
      <c r="M112" s="157" t="s">
        <v>185</v>
      </c>
      <c r="N112" s="158"/>
      <c r="O112" s="158"/>
      <c r="P112" s="228">
        <v>500</v>
      </c>
      <c r="Q112" s="92">
        <v>300</v>
      </c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0</v>
      </c>
      <c r="K113" s="92">
        <v>0</v>
      </c>
      <c r="L113" s="55"/>
      <c r="M113" s="157" t="s">
        <v>186</v>
      </c>
      <c r="N113" s="158"/>
      <c r="O113" s="158"/>
      <c r="P113" s="35">
        <f>Q113</f>
        <v>100</v>
      </c>
      <c r="Q113" s="92">
        <v>100</v>
      </c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0</v>
      </c>
      <c r="K114" s="127">
        <f>K112-K113</f>
        <v>0</v>
      </c>
      <c r="L114" s="55"/>
      <c r="M114" s="157" t="s">
        <v>187</v>
      </c>
      <c r="N114" s="158"/>
      <c r="O114" s="158"/>
      <c r="P114" s="35">
        <f>P112-P113</f>
        <v>400</v>
      </c>
      <c r="Q114" s="127">
        <f>Q112-Q113</f>
        <v>200</v>
      </c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0</v>
      </c>
      <c r="K115" s="159"/>
      <c r="L115" s="55"/>
      <c r="M115" s="157" t="s">
        <v>188</v>
      </c>
      <c r="N115" s="158"/>
      <c r="O115" s="158"/>
      <c r="P115" s="35">
        <f>P114-Q114</f>
        <v>200</v>
      </c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157"/>
      <c r="N116" s="158"/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f>D99</f>
        <v>5000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209" t="s">
        <v>148</v>
      </c>
      <c r="N117" s="210"/>
      <c r="O117" s="210"/>
      <c r="P117" s="210"/>
      <c r="Q117" s="24">
        <f>P99</f>
        <v>0</v>
      </c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f>A102</f>
        <v>0</v>
      </c>
      <c r="F118" s="55"/>
      <c r="G118" s="157" t="s">
        <v>66</v>
      </c>
      <c r="H118" s="158"/>
      <c r="I118" s="158"/>
      <c r="J118" s="158"/>
      <c r="K118" s="29">
        <f>G102</f>
        <v>199.99</v>
      </c>
      <c r="L118" s="55"/>
      <c r="M118" s="157" t="s">
        <v>66</v>
      </c>
      <c r="N118" s="158"/>
      <c r="O118" s="158"/>
      <c r="P118" s="158"/>
      <c r="Q118" s="29">
        <f>M102</f>
        <v>199.99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E118+E117-E114</f>
        <v>5000</v>
      </c>
      <c r="F119" s="55"/>
      <c r="G119" s="229" t="s">
        <v>298</v>
      </c>
      <c r="H119" s="207"/>
      <c r="I119" s="207"/>
      <c r="J119" s="207"/>
      <c r="K119" s="57">
        <f>((K118/1.2)+K117)-(J115-K113)</f>
        <v>166.65833333333336</v>
      </c>
      <c r="L119" s="55"/>
      <c r="M119" s="229" t="s">
        <v>298</v>
      </c>
      <c r="N119" s="207"/>
      <c r="O119" s="207"/>
      <c r="P119" s="207"/>
      <c r="Q119" s="57">
        <f>(Q118+Q117)-P115</f>
        <v>-9.9999999999909051E-3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157"/>
      <c r="N120" s="158"/>
      <c r="O120" s="158"/>
      <c r="P120" s="158"/>
      <c r="Q120" s="159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157"/>
      <c r="N121" s="158"/>
      <c r="O121" s="158"/>
      <c r="P121" s="158"/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377" t="s">
        <v>299</v>
      </c>
      <c r="N122" s="377"/>
      <c r="O122" s="377"/>
      <c r="P122" s="377"/>
      <c r="Q122" s="377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157"/>
      <c r="N123" s="158"/>
      <c r="O123" s="158"/>
      <c r="P123" s="158"/>
      <c r="Q123" s="159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157" t="s">
        <v>193</v>
      </c>
      <c r="N124" s="368">
        <v>0</v>
      </c>
      <c r="O124" s="368"/>
      <c r="P124" s="158"/>
      <c r="Q124" s="159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36</v>
      </c>
      <c r="C125" s="236"/>
      <c r="D125" s="235">
        <f>B160</f>
        <v>10000</v>
      </c>
      <c r="E125" s="233"/>
      <c r="F125" s="55"/>
      <c r="G125" s="157"/>
      <c r="H125" s="158"/>
      <c r="I125" s="158"/>
      <c r="J125" s="158"/>
      <c r="K125" s="159"/>
      <c r="L125" s="55"/>
      <c r="M125" s="157"/>
      <c r="N125" s="158"/>
      <c r="O125" s="158"/>
      <c r="P125" s="158"/>
      <c r="Q125" s="159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238" t="s">
        <v>302</v>
      </c>
      <c r="H126" s="239" t="s">
        <v>303</v>
      </c>
      <c r="I126" s="239"/>
      <c r="J126" s="239" t="s">
        <v>304</v>
      </c>
      <c r="K126" s="159"/>
      <c r="L126" s="55"/>
      <c r="M126" s="238" t="s">
        <v>347</v>
      </c>
      <c r="N126" s="239" t="s">
        <v>259</v>
      </c>
      <c r="O126" s="239"/>
      <c r="P126" s="239" t="s">
        <v>131</v>
      </c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242">
        <f>H90</f>
        <v>1502.8019044263949</v>
      </c>
      <c r="H127" s="133">
        <f>IF(G105="YES",H89*H57,0)</f>
        <v>300.64671219512195</v>
      </c>
      <c r="I127" s="133"/>
      <c r="J127" s="243">
        <f>H91</f>
        <v>1552.9096897922486</v>
      </c>
      <c r="K127" s="159"/>
      <c r="L127" s="55"/>
      <c r="M127" s="242">
        <f>N90</f>
        <v>1245.6354774939846</v>
      </c>
      <c r="N127" s="133">
        <f>IF(M105="YES",N89*N57,0)</f>
        <v>250.53892682926829</v>
      </c>
      <c r="O127" s="133"/>
      <c r="P127" s="133">
        <f>N91</f>
        <v>1287.3919652988627</v>
      </c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1891.7040406730171</v>
      </c>
      <c r="B128" s="232">
        <f>IF(A105="YES",B89,0)</f>
        <v>58.697691428571432</v>
      </c>
      <c r="C128" s="236"/>
      <c r="D128" s="232">
        <f>B91</f>
        <v>1950.4017321015885</v>
      </c>
      <c r="E128" s="233"/>
      <c r="F128" s="55"/>
      <c r="G128" s="157"/>
      <c r="H128" s="158"/>
      <c r="I128" s="158"/>
      <c r="J128" s="158"/>
      <c r="K128" s="159"/>
      <c r="L128" s="55"/>
      <c r="M128" s="157"/>
      <c r="N128" s="158"/>
      <c r="O128" s="158"/>
      <c r="P128" s="158"/>
      <c r="Q128" s="159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 t="s">
        <v>94</v>
      </c>
      <c r="H129" s="158" t="s">
        <v>95</v>
      </c>
      <c r="I129" s="158"/>
      <c r="J129" s="158" t="s">
        <v>97</v>
      </c>
      <c r="K129" s="159"/>
      <c r="L129" s="55"/>
      <c r="M129" s="157" t="s">
        <v>94</v>
      </c>
      <c r="N129" s="158" t="s">
        <v>95</v>
      </c>
      <c r="O129" s="158"/>
      <c r="P129" s="158" t="s">
        <v>97</v>
      </c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169">
        <f>G152</f>
        <v>36</v>
      </c>
      <c r="H130" s="170">
        <f>B151</f>
        <v>0</v>
      </c>
      <c r="I130" s="171"/>
      <c r="J130" s="170">
        <f>B58</f>
        <v>35</v>
      </c>
      <c r="K130" s="159"/>
      <c r="L130" s="55"/>
      <c r="M130" s="169">
        <f>M155</f>
        <v>36</v>
      </c>
      <c r="N130" s="170">
        <f>B151</f>
        <v>0</v>
      </c>
      <c r="O130" s="171"/>
      <c r="P130" s="170">
        <f>B58</f>
        <v>35</v>
      </c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44" t="str">
        <f>B99</f>
        <v xml:space="preserve"> Spread rentals initial payment </v>
      </c>
      <c r="B131" s="34">
        <f>B90*B57</f>
        <v>1891.7040406730171</v>
      </c>
      <c r="C131" s="158"/>
      <c r="D131" s="34">
        <f>IF(A105="YES",B89*B57,0)</f>
        <v>58.697691428571432</v>
      </c>
      <c r="E131" s="159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157" t="s">
        <v>348</v>
      </c>
      <c r="N132" s="158" t="s">
        <v>251</v>
      </c>
      <c r="O132" s="158"/>
      <c r="P132" s="158" t="s">
        <v>254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9016.8114265583699</v>
      </c>
      <c r="H133" s="34">
        <f>IF(G105="YES",H89*H57,0)</f>
        <v>300.64671219512195</v>
      </c>
      <c r="I133" s="163"/>
      <c r="J133" s="137">
        <f>H91*H57</f>
        <v>9317.4581387534927</v>
      </c>
      <c r="K133" s="159"/>
      <c r="L133" s="55"/>
      <c r="M133" s="138">
        <f>N90*N57</f>
        <v>7473.8128649639075</v>
      </c>
      <c r="N133" s="34">
        <f>IF(M105="YES",N89*N57,0)</f>
        <v>250.53892682926829</v>
      </c>
      <c r="O133" s="163"/>
      <c r="P133" s="137">
        <f>N91*N57</f>
        <v>7724.3517917931767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94">
        <f>B91*B57</f>
        <v>1950.4017321015885</v>
      </c>
      <c r="B134" s="34">
        <f>E114</f>
        <v>0</v>
      </c>
      <c r="C134" s="158"/>
      <c r="D134" s="245">
        <f>B58</f>
        <v>35</v>
      </c>
      <c r="E134" s="159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157" t="s">
        <v>261</v>
      </c>
      <c r="N135" s="158" t="s">
        <v>262</v>
      </c>
      <c r="O135" s="158"/>
      <c r="P135" s="158" t="s">
        <v>266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0.41038259999999993</v>
      </c>
      <c r="H136" s="34">
        <f>IF(G105="YES",E15*0.000002,0)</f>
        <v>0.13679419999999998</v>
      </c>
      <c r="I136" s="34"/>
      <c r="J136" s="34">
        <f>G136+H136</f>
        <v>0.54717679999999991</v>
      </c>
      <c r="K136" s="90"/>
      <c r="L136" s="55"/>
      <c r="M136" s="94">
        <f>E15*0.000006</f>
        <v>0.41038259999999993</v>
      </c>
      <c r="N136" s="34">
        <f>IF(M105="YES",E15*0.000002,0)</f>
        <v>0.13679419999999998</v>
      </c>
      <c r="O136" s="34"/>
      <c r="P136" s="34">
        <f>M136+N136</f>
        <v>0.54717679999999991</v>
      </c>
      <c r="Q136" s="90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94">
        <f>B90</f>
        <v>1891.7040406730171</v>
      </c>
      <c r="B137" s="34">
        <f>IF(A105="YES",B89,0)</f>
        <v>58.697691428571432</v>
      </c>
      <c r="C137" s="158"/>
      <c r="D137" s="34">
        <f>B91</f>
        <v>1950.4017321015885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157" t="s">
        <v>151</v>
      </c>
      <c r="N138" s="158" t="s">
        <v>316</v>
      </c>
      <c r="O138" s="158"/>
      <c r="P138" s="158" t="s">
        <v>317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199.99</v>
      </c>
      <c r="H139" s="34">
        <f>H67</f>
        <v>1151.25</v>
      </c>
      <c r="I139" s="34"/>
      <c r="J139" s="34">
        <f>H102*0.9</f>
        <v>0</v>
      </c>
      <c r="K139" s="90"/>
      <c r="L139" s="55"/>
      <c r="M139" s="94">
        <f>M102</f>
        <v>199.99</v>
      </c>
      <c r="N139" s="34">
        <f>N67</f>
        <v>1151.25</v>
      </c>
      <c r="O139" s="34"/>
      <c r="P139" s="34">
        <f>N102*0.9</f>
        <v>0</v>
      </c>
      <c r="Q139" s="90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250">
        <f>(G18*0.000006)*1.2*100</f>
        <v>49.733999999999995</v>
      </c>
      <c r="B140" s="251">
        <f>IF(A105="YES",G18*0.000002,0)*1.2*100</f>
        <v>16.577999999999999</v>
      </c>
      <c r="C140" s="252"/>
      <c r="D140" s="251">
        <f>A140+B140</f>
        <v>66.311999999999998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157" t="s">
        <v>319</v>
      </c>
      <c r="N141" s="158" t="s">
        <v>320</v>
      </c>
      <c r="O141" s="158"/>
      <c r="P141" s="158" t="s">
        <v>321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IF(G105="YES",((B36*H105)*0.1)*(G130),0)</f>
        <v>28.533600000000007</v>
      </c>
      <c r="H142" s="34">
        <f>G102-100</f>
        <v>99.990000000000009</v>
      </c>
      <c r="I142" s="34"/>
      <c r="J142" s="34">
        <f>(H139+J139+G142+H142)-H145</f>
        <v>1279.7736</v>
      </c>
      <c r="K142" s="90"/>
      <c r="L142" s="55"/>
      <c r="M142" s="94">
        <f>IF(M105="YES",((B36*N105)*0.1)*(M130),0)</f>
        <v>28.533600000000007</v>
      </c>
      <c r="N142" s="34">
        <f>M102-100</f>
        <v>99.990000000000009</v>
      </c>
      <c r="O142" s="34"/>
      <c r="P142" s="34">
        <f>(N139+P139+M142+N142)-N145</f>
        <v>1279.7736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v>0</v>
      </c>
      <c r="B143" s="34">
        <f>E118</f>
        <v>0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157" t="s">
        <v>323</v>
      </c>
      <c r="N144" s="158" t="s">
        <v>324</v>
      </c>
      <c r="O144" s="158"/>
      <c r="P144" s="158"/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v>0</v>
      </c>
      <c r="H145" s="34">
        <f>(H139+J139+G142+H142)*(G145/H64)</f>
        <v>0</v>
      </c>
      <c r="I145" s="158"/>
      <c r="J145" s="158"/>
      <c r="K145" s="159"/>
      <c r="L145" s="55"/>
      <c r="M145" s="94">
        <v>0</v>
      </c>
      <c r="N145" s="34">
        <f>(N139+P139+M142+N142)*(M145/N64)</f>
        <v>0</v>
      </c>
      <c r="O145" s="158"/>
      <c r="P145" s="158"/>
      <c r="Q145" s="159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94"/>
      <c r="N146" s="34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3" t="s">
        <v>349</v>
      </c>
      <c r="N147" s="35" t="s">
        <v>350</v>
      </c>
      <c r="O147" s="158"/>
      <c r="P147" s="158"/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250</v>
      </c>
      <c r="B148" s="34">
        <f>B102</f>
        <v>400</v>
      </c>
      <c r="C148" s="34"/>
      <c r="D148" s="34">
        <f>IF(A105="YES",(B40*B105)*B125,0)*0.1</f>
        <v>28.533600000000003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285">
        <v>18000</v>
      </c>
      <c r="N148" s="400">
        <v>0.99</v>
      </c>
      <c r="O148" s="400"/>
      <c r="P148" s="158"/>
      <c r="Q148" s="159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157"/>
      <c r="N150" s="158"/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20</v>
      </c>
      <c r="B151" s="34">
        <f>(A148+B148+D148+A151)*(A143/B64)</f>
        <v>0</v>
      </c>
      <c r="C151" s="34"/>
      <c r="D151" s="34">
        <f>(A148+B148+D148+A151)-B151-A154</f>
        <v>498.53359999999998</v>
      </c>
      <c r="E151" s="90"/>
      <c r="F151" s="55"/>
      <c r="G151" s="387"/>
      <c r="H151" s="389">
        <f>B51</f>
        <v>10000</v>
      </c>
      <c r="I151" s="389"/>
      <c r="J151" s="158"/>
      <c r="K151" s="159"/>
      <c r="L151" s="55"/>
      <c r="M151" s="202" t="s">
        <v>329</v>
      </c>
      <c r="N151" s="158"/>
      <c r="O151" s="158"/>
      <c r="P151" s="203"/>
      <c r="Q151" s="204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36</v>
      </c>
      <c r="H152" s="343">
        <f>H91</f>
        <v>1552.9096897922486</v>
      </c>
      <c r="I152" s="343"/>
      <c r="J152" s="158"/>
      <c r="K152" s="159"/>
      <c r="L152" s="55"/>
      <c r="M152" s="157"/>
      <c r="N152" s="183"/>
      <c r="O152" s="183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387" t="s">
        <v>94</v>
      </c>
      <c r="N153" s="388" t="s">
        <v>95</v>
      </c>
      <c r="O153" s="38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387"/>
      <c r="N154" s="389">
        <f>B51</f>
        <v>10000</v>
      </c>
      <c r="O154" s="389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185">
        <f>A52</f>
        <v>36</v>
      </c>
      <c r="N155" s="343">
        <f>N91</f>
        <v>1287.3919652988627</v>
      </c>
      <c r="O155" s="343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157"/>
      <c r="N157" s="158"/>
      <c r="O157" s="158"/>
      <c r="P157" s="158"/>
      <c r="Q157" s="159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157"/>
      <c r="N158" s="158"/>
      <c r="O158" s="158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157"/>
      <c r="N159" s="158"/>
      <c r="O159" s="15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10000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157"/>
      <c r="N160" s="158"/>
      <c r="O160" s="158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36</v>
      </c>
      <c r="B161" s="343">
        <f>B91</f>
        <v>1950.4017321015885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157"/>
      <c r="N161" s="158"/>
      <c r="O161" s="158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206"/>
      <c r="N162" s="207"/>
      <c r="O162" s="207"/>
      <c r="P162" s="207"/>
      <c r="Q162" s="208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157"/>
      <c r="B165" s="158"/>
      <c r="C165" s="158"/>
      <c r="D165" s="158"/>
      <c r="E165" s="159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206"/>
      <c r="B166" s="207"/>
      <c r="C166" s="207"/>
      <c r="D166" s="207"/>
      <c r="E166" s="208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35">
        <f>A161</f>
        <v>36</v>
      </c>
      <c r="C174" s="236"/>
      <c r="D174" s="235">
        <f>D125</f>
        <v>10000</v>
      </c>
      <c r="E174" s="233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B90</f>
        <v>1891.7040406730171</v>
      </c>
      <c r="B177" s="232">
        <f>IF(A105="YES",B89,0)</f>
        <v>58.697691428571432</v>
      </c>
      <c r="C177" s="236"/>
      <c r="D177" s="232">
        <f>B91</f>
        <v>1950.4017321015885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B99</f>
        <v xml:space="preserve"> Spread rentals initial payment </v>
      </c>
      <c r="B180" s="34">
        <f>B90*B57</f>
        <v>1891.7040406730171</v>
      </c>
      <c r="C180" s="158"/>
      <c r="D180" s="34">
        <f>IF(A105="YES",B89*B57,0)</f>
        <v>58.697691428571432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B91*B57</f>
        <v>1950.4017321015885</v>
      </c>
      <c r="B183" s="34">
        <f>E114</f>
        <v>0</v>
      </c>
      <c r="C183" s="158"/>
      <c r="D183" s="245">
        <f>B58</f>
        <v>35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B90</f>
        <v>1891.7040406730171</v>
      </c>
      <c r="B186" s="34">
        <f>IF(A105="YES",B89,0)</f>
        <v>58.697691428571432</v>
      </c>
      <c r="C186" s="158"/>
      <c r="D186" s="34">
        <f>B91</f>
        <v>1950.4017321015885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(G18*0.000006)*1.2*100</f>
        <v>49.733999999999995</v>
      </c>
      <c r="B189" s="251">
        <f>IF(A105="YES",G18*0.000002,0)*1.2*100</f>
        <v>16.577999999999999</v>
      </c>
      <c r="C189" s="252"/>
      <c r="D189" s="251">
        <f>A189+B189</f>
        <v>66.311999999999998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E118</f>
        <v>0</v>
      </c>
      <c r="C192" s="158"/>
      <c r="D192" s="119">
        <f>B102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B67</f>
        <v>250</v>
      </c>
      <c r="B197" s="34">
        <f>B102</f>
        <v>400</v>
      </c>
      <c r="C197" s="34"/>
      <c r="D197" s="34">
        <f>IF(A105="YES",(B40*B105)*B125,0)*0.1</f>
        <v>28.533600000000003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A151</f>
        <v>20</v>
      </c>
      <c r="B200" s="34">
        <f>(A148+B148+D148+A151)*(A143/B64)</f>
        <v>0</v>
      </c>
      <c r="C200" s="34"/>
      <c r="D200" s="34">
        <f>D151</f>
        <v>498.53359999999998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D102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7.0000000000000007E-2</v>
      </c>
      <c r="C209" s="232" t="s">
        <v>227</v>
      </c>
      <c r="D209" s="261">
        <f>D64</f>
        <v>10000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250</v>
      </c>
      <c r="C211" s="231" t="s">
        <v>229</v>
      </c>
      <c r="D211" s="261">
        <f>B225+E221+B221+B223</f>
        <v>545.33600000000001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10295.335999999999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D64</f>
        <v>10000</v>
      </c>
      <c r="C217" s="178" t="s">
        <v>233</v>
      </c>
      <c r="D217" s="158"/>
      <c r="E217" s="214">
        <f>B66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B67</f>
        <v>250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B197*E219*100</f>
        <v>40</v>
      </c>
      <c r="C221" s="163" t="s">
        <v>235</v>
      </c>
      <c r="D221" s="158"/>
      <c r="E221" s="29">
        <f>A200</f>
        <v>20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B78-(B78*(E219*100))</f>
        <v>200</v>
      </c>
      <c r="C223" s="163" t="s">
        <v>230</v>
      </c>
      <c r="D223" s="158"/>
      <c r="E223" s="29">
        <f>(B217-B211+D211)</f>
        <v>10295.335999999999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285.33600000000001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B71</f>
        <v>160</v>
      </c>
      <c r="C229" s="163" t="s">
        <v>238</v>
      </c>
      <c r="D229" s="254"/>
      <c r="E229" s="118">
        <f>B72</f>
        <v>4.5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D73</f>
        <v>322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B68</f>
        <v>7.4999999999999997E-3</v>
      </c>
      <c r="C231" s="163" t="s">
        <v>241</v>
      </c>
      <c r="D231" s="254"/>
      <c r="E231" s="214">
        <f>B69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B86</f>
        <v>467.62216099027563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B79</f>
        <v>300</v>
      </c>
      <c r="C233" s="268" t="s">
        <v>336</v>
      </c>
      <c r="D233" s="269"/>
      <c r="E233" s="118">
        <f>B74</f>
        <v>180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B80</f>
        <v>100</v>
      </c>
      <c r="C235" s="272" t="s">
        <v>337</v>
      </c>
      <c r="D235" s="272"/>
      <c r="E235" s="118">
        <f>B75</f>
        <v>370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5.75" customHeight="1"/>
    <row r="357" spans="1:26" ht="15.75" customHeight="1"/>
    <row r="358" spans="1:26" ht="15.75" customHeight="1"/>
    <row r="359" spans="1:26" ht="15.75" customHeight="1"/>
    <row r="360" spans="1:26" ht="15.75" customHeight="1"/>
    <row r="361" spans="1:26" ht="15.75" customHeight="1"/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2">
    <mergeCell ref="A207:E207"/>
    <mergeCell ref="A159:A160"/>
    <mergeCell ref="B159:C159"/>
    <mergeCell ref="B160:C160"/>
    <mergeCell ref="B161:C161"/>
    <mergeCell ref="A171:E171"/>
    <mergeCell ref="H152:I152"/>
    <mergeCell ref="M153:M154"/>
    <mergeCell ref="N153:O153"/>
    <mergeCell ref="N154:O154"/>
    <mergeCell ref="N155:O155"/>
    <mergeCell ref="H124:I124"/>
    <mergeCell ref="N124:O124"/>
    <mergeCell ref="N148:O148"/>
    <mergeCell ref="G150:G151"/>
    <mergeCell ref="H150:I150"/>
    <mergeCell ref="H151:I151"/>
    <mergeCell ref="P105:Q105"/>
    <mergeCell ref="A108:E108"/>
    <mergeCell ref="G108:K108"/>
    <mergeCell ref="M108:Q108"/>
    <mergeCell ref="A122:E122"/>
    <mergeCell ref="G122:K122"/>
    <mergeCell ref="M122:Q122"/>
    <mergeCell ref="B105:C105"/>
    <mergeCell ref="D105:E105"/>
    <mergeCell ref="H105:I105"/>
    <mergeCell ref="J105:K105"/>
    <mergeCell ref="N105:O105"/>
    <mergeCell ref="P99:Q99"/>
    <mergeCell ref="B102:C102"/>
    <mergeCell ref="D102:E102"/>
    <mergeCell ref="H102:I102"/>
    <mergeCell ref="J102:K102"/>
    <mergeCell ref="N102:O102"/>
    <mergeCell ref="P102:Q102"/>
    <mergeCell ref="B99:C99"/>
    <mergeCell ref="D99:E99"/>
    <mergeCell ref="H99:I99"/>
    <mergeCell ref="J99:K99"/>
    <mergeCell ref="N99:O99"/>
    <mergeCell ref="A94:E94"/>
    <mergeCell ref="G94:K94"/>
    <mergeCell ref="M94:Q94"/>
    <mergeCell ref="A96:E96"/>
    <mergeCell ref="G96:K96"/>
    <mergeCell ref="M96:Q96"/>
    <mergeCell ref="C45:D45"/>
    <mergeCell ref="A50:A51"/>
    <mergeCell ref="B50:C50"/>
    <mergeCell ref="B51:C51"/>
    <mergeCell ref="B52:C52"/>
    <mergeCell ref="A28:E28"/>
    <mergeCell ref="B30:C30"/>
    <mergeCell ref="G38:H38"/>
    <mergeCell ref="B40:C40"/>
    <mergeCell ref="C44:D44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3">
    <dataValidation type="list" allowBlank="1" showErrorMessage="1" sqref="A18:A20 H99 N99 G105 M105 O107 H110 N110" xr:uid="{00000000-0002-0000-4300-000000000000}">
      <formula1>#REF!</formula1>
      <formula2>0</formula2>
    </dataValidation>
    <dataValidation type="list" allowBlank="1" showErrorMessage="1" sqref="B26 A105 B110" xr:uid="{00000000-0002-0000-4300-000001000000}">
      <formula1>$I$3:$I$4</formula1>
      <formula2>0</formula2>
    </dataValidation>
    <dataValidation type="list" allowBlank="1" showErrorMessage="1" sqref="B99" xr:uid="{00000000-0002-0000-4300-000002000000}">
      <formula1>$Y$97:$Y$105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AC1002"/>
  <sheetViews>
    <sheetView topLeftCell="A190" zoomScale="110" zoomScaleNormal="110" workbookViewId="0">
      <selection activeCell="D200" sqref="D200"/>
    </sheetView>
  </sheetViews>
  <sheetFormatPr defaultColWidth="10.875" defaultRowHeight="14.25"/>
  <cols>
    <col min="1" max="1" customWidth="true" width="56.0"/>
    <col min="2" max="2" customWidth="true" width="18.125"/>
    <col min="3" max="3" customWidth="true" width="25.125"/>
    <col min="4" max="4" customWidth="true" width="18.125"/>
    <col min="5" max="5" customWidth="true" width="24.0"/>
    <col min="7" max="7" customWidth="true" width="53.5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38.2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90" t="n">
        <v>56579.17</v>
      </c>
      <c r="C3" s="187" t="n">
        <v>0.0</v>
      </c>
      <c r="D3" s="190" t="n">
        <v>833.33</v>
      </c>
      <c r="E3" s="289">
        <v>0</v>
      </c>
      <c r="F3" s="55" t="s">
        <v>10</v>
      </c>
      <c r="G3" s="55">
        <v>25000</v>
      </c>
      <c r="H3" s="55"/>
      <c r="I3" s="55" t="s">
        <v>31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0" t="n">
        <v>0.0</v>
      </c>
      <c r="C4" s="0" t="n">
        <v>0.0</v>
      </c>
      <c r="D4" s="0" t="n">
        <v>0.0</v>
      </c>
      <c r="E4" s="214"/>
      <c r="F4" s="55" t="s">
        <v>10</v>
      </c>
      <c r="G4" s="55"/>
      <c r="H4" s="55"/>
      <c r="I4" s="55" t="s">
        <v>32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 t="n">
        <v>0.0</v>
      </c>
      <c r="C5" s="187" t="n">
        <v>0.0</v>
      </c>
      <c r="D5" s="187" t="n">
        <v>0.0</v>
      </c>
      <c r="E5" s="29"/>
      <c r="F5" s="55" t="s">
        <v>10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1131.5834</v>
      </c>
      <c r="C6" s="28">
        <f>(C3*C4/100)+C5</f>
        <v>0</v>
      </c>
      <c r="D6" s="28">
        <f>(D3*D4/100)+D5</f>
        <v>16.666600000000003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55447.586599999995</v>
      </c>
      <c r="C7" s="28">
        <f>C3-C6</f>
        <v>0</v>
      </c>
      <c r="D7" s="28">
        <f>D3-D6</f>
        <v>816.66340000000002</v>
      </c>
      <c r="E7" s="29"/>
      <c r="F7" s="55"/>
      <c r="G7" s="297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>
      <c r="A8" s="157"/>
      <c r="B8" s="158"/>
      <c r="C8" s="158"/>
      <c r="D8" s="158"/>
      <c r="E8" s="159"/>
      <c r="F8" s="55"/>
      <c r="G8" s="298">
        <f>G9*100/B3</f>
        <v>-169.16252041166388</v>
      </c>
      <c r="H8" s="55"/>
      <c r="I8" s="14" t="s">
        <v>17</v>
      </c>
      <c r="J8" s="11">
        <f>E13+E14</f>
        <v>700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>
        <v>18875</v>
      </c>
      <c r="C9" s="408"/>
      <c r="D9" s="408"/>
      <c r="E9" s="326">
        <f>(B7+C7+D7+E3)</f>
        <v>56264.249999999993</v>
      </c>
      <c r="F9" s="55"/>
      <c r="G9" s="297">
        <f>E9-G11</f>
        <v>-95710.75</v>
      </c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 t="n">
        <v>670.83</v>
      </c>
      <c r="F10" s="55"/>
      <c r="G10" s="297"/>
      <c r="H10" s="55"/>
      <c r="I10" s="16" t="s">
        <v>15</v>
      </c>
      <c r="J10" s="11">
        <f>E15-E11-J8</f>
        <v>56414.249999999993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>
        <v>0</v>
      </c>
      <c r="C11" s="409"/>
      <c r="D11" s="409"/>
      <c r="E11" s="29">
        <f>(E9+E10)*0.2</f>
        <v>11282.849999999999</v>
      </c>
      <c r="F11" s="55"/>
      <c r="G11" s="297">
        <f>G13/1.2</f>
        <v>151975</v>
      </c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>
        <v>0</v>
      </c>
      <c r="C13" s="409"/>
      <c r="D13" s="409"/>
      <c r="E13" s="289" t="n">
        <v>645.0</v>
      </c>
      <c r="F13" s="55"/>
      <c r="G13" s="297">
        <f>G15-E14-E13-E12</f>
        <v>182370</v>
      </c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 t="n">
        <v>55.0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327">
        <f>(E9+E10+E13+E14+E11)-E12</f>
        <v>68397.099999999991</v>
      </c>
      <c r="F15" s="55"/>
      <c r="G15" s="17">
        <v>183070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 t="n">
        <v>0.0</v>
      </c>
      <c r="F16" s="55"/>
      <c r="G16" s="299">
        <f>(B3+C3+E10)*1.2</f>
        <v>68075.004000000001</v>
      </c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>
        <v>0</v>
      </c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(B3+C3+D3+E3+E10)*1.2</f>
        <v>69075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 t="n">
        <v>0.0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68277.099999999991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354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162" t="s">
        <v>138</v>
      </c>
      <c r="B26" s="164" t="s">
        <v>410</v>
      </c>
      <c r="C26" s="158"/>
      <c r="D26" s="158"/>
      <c r="E26" s="159"/>
      <c r="F26" s="55"/>
      <c r="G26" s="160" t="s">
        <v>36</v>
      </c>
      <c r="H26" s="160" t="s">
        <v>37</v>
      </c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38</v>
      </c>
      <c r="H27" s="161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377" t="s">
        <v>192</v>
      </c>
      <c r="B28" s="377"/>
      <c r="C28" s="377"/>
      <c r="D28" s="377"/>
      <c r="E28" s="377"/>
      <c r="F28" s="55"/>
      <c r="G28" s="161" t="s">
        <v>40</v>
      </c>
      <c r="H28" s="16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57"/>
      <c r="B29" s="158"/>
      <c r="C29" s="158"/>
      <c r="D29" s="158"/>
      <c r="E29" s="159"/>
      <c r="F29" s="55"/>
      <c r="G29" s="160" t="s">
        <v>41</v>
      </c>
      <c r="H29" s="300">
        <v>36</v>
      </c>
      <c r="I29" s="273"/>
      <c r="J29" s="55"/>
      <c r="K29" s="55">
        <v>36</v>
      </c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 t="s">
        <v>193</v>
      </c>
      <c r="B30" s="368" t="s">
        <v>387</v>
      </c>
      <c r="C30" s="368"/>
      <c r="D30" s="158"/>
      <c r="E30" s="159"/>
      <c r="F30" s="55"/>
      <c r="G30" s="160" t="s">
        <v>45</v>
      </c>
      <c r="H30" s="300">
        <v>10000</v>
      </c>
      <c r="I30" s="55"/>
      <c r="J30" s="55"/>
      <c r="K30" s="55">
        <v>10000</v>
      </c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57"/>
      <c r="B31" s="158"/>
      <c r="C31" s="158"/>
      <c r="D31" s="158"/>
      <c r="E31" s="159"/>
      <c r="F31" s="55"/>
      <c r="G31" s="160" t="s">
        <v>48</v>
      </c>
      <c r="H31" s="37">
        <v>27575</v>
      </c>
      <c r="I31" s="55"/>
      <c r="J31" s="55"/>
      <c r="K31" s="55">
        <v>10000</v>
      </c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57" t="s">
        <v>94</v>
      </c>
      <c r="B32" s="158" t="s">
        <v>95</v>
      </c>
      <c r="C32" s="158"/>
      <c r="D32" s="301" t="s">
        <v>355</v>
      </c>
      <c r="E32" s="159"/>
      <c r="F32" s="55"/>
      <c r="G32" s="160" t="s">
        <v>49</v>
      </c>
      <c r="I32" s="37">
        <v>1426.68</v>
      </c>
      <c r="J32" s="55"/>
      <c r="K32" s="55">
        <v>14400</v>
      </c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31.7" customHeight="1">
      <c r="A33" s="169">
        <f>A52</f>
        <v>36</v>
      </c>
      <c r="B33" s="170">
        <v>10000</v>
      </c>
      <c r="C33" s="171"/>
      <c r="D33" s="302">
        <f>H48</f>
        <v>1296.3302531513289</v>
      </c>
      <c r="E33" s="159"/>
      <c r="F33" s="55"/>
      <c r="G33" s="161" t="s">
        <v>356</v>
      </c>
      <c r="H33" s="43">
        <f>E21-E11+((E16*20%)+(E19*20%)+(E20*20%))</f>
        <v>57014.249999999993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57"/>
      <c r="B34" s="158"/>
      <c r="C34" s="158"/>
      <c r="D34" s="158"/>
      <c r="E34" s="159"/>
      <c r="F34" s="55"/>
      <c r="G34" s="55" t="s">
        <v>372</v>
      </c>
      <c r="H34" s="55">
        <f>H29</f>
        <v>36</v>
      </c>
      <c r="I34" s="55">
        <v>43957.29</v>
      </c>
      <c r="J34" s="55">
        <v>841.24</v>
      </c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57" t="s">
        <v>357</v>
      </c>
      <c r="B35" s="158" t="s">
        <v>358</v>
      </c>
      <c r="C35" s="158"/>
      <c r="D35" s="158" t="s">
        <v>359</v>
      </c>
      <c r="E35" s="159"/>
      <c r="F35" s="55"/>
      <c r="G35" s="46" t="s">
        <v>59</v>
      </c>
      <c r="H35" s="174">
        <v>9.5000000000000001E-2</v>
      </c>
      <c r="I35" s="55">
        <v>46215.83</v>
      </c>
      <c r="J35" s="55">
        <v>909.69</v>
      </c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38">
        <f>H47</f>
        <v>1276.5152531513288</v>
      </c>
      <c r="B36" s="34">
        <f>IF(B26="YES",H42,"")</f>
        <v>19.815000000000001</v>
      </c>
      <c r="C36" s="163"/>
      <c r="D36" s="137">
        <f>H31</f>
        <v>27575</v>
      </c>
      <c r="E36" s="159"/>
      <c r="F36" s="55"/>
      <c r="G36" s="55"/>
      <c r="H36" s="55"/>
      <c r="I36" s="55">
        <f>I35-I34</f>
        <v>2258.5400000000009</v>
      </c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94"/>
      <c r="B37" s="34"/>
      <c r="C37" s="163"/>
      <c r="D37" s="34"/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57"/>
      <c r="B38" s="158"/>
      <c r="C38" s="158"/>
      <c r="D38" s="158"/>
      <c r="E38" s="159"/>
      <c r="F38" s="55"/>
      <c r="G38" s="384" t="s">
        <v>65</v>
      </c>
      <c r="H38" s="384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57" t="s">
        <v>360</v>
      </c>
      <c r="B39" s="158" t="s">
        <v>361</v>
      </c>
      <c r="C39" s="158"/>
      <c r="D39" s="158" t="s">
        <v>362</v>
      </c>
      <c r="E39" s="159"/>
      <c r="F39" s="55"/>
      <c r="G39" s="55" t="s">
        <v>96</v>
      </c>
      <c r="H39" s="5">
        <f>H33</f>
        <v>57014.249999999993</v>
      </c>
      <c r="I39" s="5">
        <f>(I48*H46)+H44</f>
        <v>60250.597188991029</v>
      </c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92">
        <f>D36*A45/100</f>
        <v>27575</v>
      </c>
      <c r="B40" s="348">
        <f>IF(B26="YES",H42,"0")</f>
        <v>19.815000000000001</v>
      </c>
      <c r="C40" s="348"/>
      <c r="D40" s="137">
        <f>I32</f>
        <v>1426.68</v>
      </c>
      <c r="E40" s="159"/>
      <c r="F40" s="55"/>
      <c r="G40" s="55" t="s">
        <v>118</v>
      </c>
      <c r="H40" s="5">
        <f>A40/1.2</f>
        <v>22979.166666666668</v>
      </c>
      <c r="I40" s="5">
        <f>H39-I39</f>
        <v>-3236.3471889910361</v>
      </c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157"/>
      <c r="B41" s="158"/>
      <c r="C41" s="158"/>
      <c r="D41" s="158"/>
      <c r="E41" s="159"/>
      <c r="F41" s="55"/>
      <c r="G41" s="55" t="s">
        <v>363</v>
      </c>
      <c r="H41" s="180">
        <f>H35/12</f>
        <v>7.9166666666666673E-3</v>
      </c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57"/>
      <c r="B42" s="158"/>
      <c r="C42" s="158"/>
      <c r="D42" s="158"/>
      <c r="E42" s="159"/>
      <c r="F42" s="55"/>
      <c r="G42" s="55" t="s">
        <v>364</v>
      </c>
      <c r="H42" s="5">
        <f>(I32/H34)*(C45/100)</f>
        <v>19.815000000000001</v>
      </c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209"/>
      <c r="B43" s="210"/>
      <c r="C43" s="210"/>
      <c r="D43" s="210"/>
      <c r="E43" s="211"/>
      <c r="F43" s="55"/>
      <c r="G43" s="55" t="s">
        <v>365</v>
      </c>
      <c r="H43" s="55"/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303" t="s">
        <v>89</v>
      </c>
      <c r="B44" s="158"/>
      <c r="C44" s="404" t="s">
        <v>90</v>
      </c>
      <c r="D44" s="404"/>
      <c r="E44" s="159"/>
      <c r="F44" s="55"/>
      <c r="G44" s="55" t="s">
        <v>373</v>
      </c>
      <c r="H44" s="5">
        <f>(H40/(1+H41)^(H34+1))</f>
        <v>17164.181133998518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304">
        <v>100</v>
      </c>
      <c r="B45" s="158"/>
      <c r="C45" s="405">
        <v>50</v>
      </c>
      <c r="D45" s="405"/>
      <c r="E45" s="159"/>
      <c r="F45" s="55"/>
      <c r="G45" s="55" t="s">
        <v>374</v>
      </c>
      <c r="H45" s="5">
        <f>(H39-H44)</f>
        <v>39850.068866001471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6"/>
      <c r="B46" s="207"/>
      <c r="C46" s="207"/>
      <c r="D46" s="207"/>
      <c r="E46" s="208"/>
      <c r="F46" s="55"/>
      <c r="G46" s="55" t="s">
        <v>375</v>
      </c>
      <c r="H46" s="5">
        <f>((1-(1/((1+H41)^H34)))/H41)</f>
        <v>31.217855617176326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57"/>
      <c r="B47" s="158"/>
      <c r="C47" s="158"/>
      <c r="D47" s="158"/>
      <c r="E47" s="159"/>
      <c r="F47" s="55"/>
      <c r="G47" s="55" t="s">
        <v>369</v>
      </c>
      <c r="H47" s="5">
        <f>H45/H46</f>
        <v>1276.5152531513288</v>
      </c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305" t="s">
        <v>370</v>
      </c>
      <c r="H48" s="5">
        <f>IF(B26="YES",H47+H42,H47)</f>
        <v>1296.3302531513289</v>
      </c>
      <c r="I48" s="5">
        <f>I49-H42</f>
        <v>1380.1849999999999</v>
      </c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 t="s">
        <v>371</v>
      </c>
      <c r="H49" s="205"/>
      <c r="I49" s="5">
        <v>1400</v>
      </c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10000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36</v>
      </c>
      <c r="B52" s="343">
        <f>H48</f>
        <v>1296.3302531513289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158"/>
      <c r="N55" s="158"/>
      <c r="O55" s="158"/>
      <c r="P55" s="158"/>
      <c r="Q55" s="158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209"/>
      <c r="N56" s="210"/>
      <c r="O56" s="210"/>
      <c r="P56" s="210"/>
      <c r="Q56" s="211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IF(B99=Y97,1,IF(B99=Y98,1,IF(B99=Y99,3,IF(B99=Y100,6,IF(B99=Y101,9,IF(B99=Y102,12,IF(B99=Y103,3,IF(B99=Y104,6,IF(B99=Y105,9,0)))))))))</f>
        <v>1</v>
      </c>
      <c r="C57" s="158"/>
      <c r="D57" s="158"/>
      <c r="E57" s="159"/>
      <c r="F57" s="55"/>
      <c r="G57" s="157" t="s">
        <v>96</v>
      </c>
      <c r="H57" s="158">
        <f>IF(H99=Y97,1,IF(H99=Y98,1,IF(H99=Y99,3,IF(H99=Y100,6,IF(H99=Y101,9,IF(H99=Y102,12,IF(H99=Y103,3,IF(H99=Y104,6,IF(H99=Y105,9,0)))))))))</f>
        <v>6</v>
      </c>
      <c r="I57" s="158"/>
      <c r="J57" s="158"/>
      <c r="K57" s="159"/>
      <c r="L57" s="55"/>
      <c r="M57" s="157" t="s">
        <v>96</v>
      </c>
      <c r="N57" s="158">
        <f>IF(N99=Y97,1,IF(N99=Y98,1,IF(N99=Y99,3,IF(N99=Y100,6,IF(N99=Y101,9,IF(N99=Y102,12,IF(N99=Y103,3,IF(N99=Y104,6,IF(N99=Y105,9,0)))))))))</f>
        <v>6</v>
      </c>
      <c r="O57" s="158"/>
      <c r="P57" s="158"/>
      <c r="Q57" s="159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IF(B99=Y97,H29-B57,IF(B99=Y98,H29-B57,IF(B99=Y99,H29-1,IF(B99=Y100,H29-1,IF(B99=Y101,H29-1,IF(B99=Y102,H29-1,IF(B99=Y103,H29-B57,IF(B99=Y104,H29-B57,IF(B99=Y105,H29-B57,0)))))))))</f>
        <v>35</v>
      </c>
      <c r="C58" s="158"/>
      <c r="D58" s="158"/>
      <c r="E58" s="159"/>
      <c r="F58" s="55"/>
      <c r="G58" s="157" t="s">
        <v>97</v>
      </c>
      <c r="H58" s="158">
        <f>IF(H99=Y97,H29-H57,IF(H99=Y98,H29-H57,IF(H99=Y99,H29-1,IF(H99=Y100,H29-1,IF(H99=Y101,H29-1,IF(H99=Y102,H29-1,IF(H99=Y103,H29-H57,IF(H99=Y104,H29-H57,IF(H99=Y105,H29-H57,0)))))))))</f>
        <v>35</v>
      </c>
      <c r="I58" s="158"/>
      <c r="J58" s="158"/>
      <c r="K58" s="159"/>
      <c r="L58" s="55"/>
      <c r="M58" s="157" t="s">
        <v>97</v>
      </c>
      <c r="N58" s="158">
        <f>IF(N99=Y97,H29-N57,IF(N99=Y98,H29-N57,IF(N99=Y99,H29-1,IF(N99=Y100,H29-1,IF(N99=Y101,H29-1,IF(N99=Y102,H29-1,IF(N99=Y103,H29-N57,IF(N99=Y104,H29-N57,IF(N99=Y105,H29-N57,0)))))))))</f>
        <v>35</v>
      </c>
      <c r="O58" s="158"/>
      <c r="P58" s="158"/>
      <c r="Q58" s="159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157"/>
      <c r="N59" s="158"/>
      <c r="O59" s="158"/>
      <c r="P59" s="158"/>
      <c r="Q59" s="159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/>
      <c r="B60" s="158"/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157"/>
      <c r="N60" s="158"/>
      <c r="O60" s="158"/>
      <c r="P60" s="158"/>
      <c r="Q60" s="159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f>G18</f>
        <v>69075</v>
      </c>
      <c r="C61" s="158"/>
      <c r="D61" s="158"/>
      <c r="E61" s="159"/>
      <c r="F61" s="55"/>
      <c r="G61" s="157" t="s">
        <v>27</v>
      </c>
      <c r="H61" s="28">
        <f>G18</f>
        <v>69075</v>
      </c>
      <c r="I61" s="158"/>
      <c r="J61" s="158"/>
      <c r="K61" s="159"/>
      <c r="L61" s="55"/>
      <c r="M61" s="157" t="s">
        <v>27</v>
      </c>
      <c r="N61" s="28">
        <f>G18</f>
        <v>69075</v>
      </c>
      <c r="O61" s="158"/>
      <c r="P61" s="158"/>
      <c r="Q61" s="159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212" t="s">
        <v>283</v>
      </c>
      <c r="N62" s="213">
        <v>7.0000000000000007E-2</v>
      </c>
      <c r="O62" s="158"/>
      <c r="P62" s="158"/>
      <c r="Q62" s="159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0.105</v>
      </c>
      <c r="C63" s="158"/>
      <c r="D63" s="158"/>
      <c r="E63" s="159"/>
      <c r="F63" s="55"/>
      <c r="G63" s="157" t="s">
        <v>284</v>
      </c>
      <c r="H63" s="214">
        <f>H62+(H62*0.25*(H29/12-1))</f>
        <v>0.10500000000000001</v>
      </c>
      <c r="I63" s="158"/>
      <c r="J63" s="158"/>
      <c r="K63" s="159"/>
      <c r="L63" s="55"/>
      <c r="M63" s="157" t="s">
        <v>284</v>
      </c>
      <c r="N63" s="214">
        <f>N62+(N62*0.25*(H29/12-1))</f>
        <v>0.10500000000000001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B61*B63</f>
        <v>7252.875</v>
      </c>
      <c r="C64" s="306">
        <v>10000</v>
      </c>
      <c r="D64" s="28">
        <f>B64</f>
        <v>7252.875</v>
      </c>
      <c r="E64" s="307">
        <f>D64/(B58+B57)</f>
        <v>201.46875</v>
      </c>
      <c r="F64" s="55"/>
      <c r="G64" s="206" t="s">
        <v>102</v>
      </c>
      <c r="H64" s="57">
        <f>H61*H63</f>
        <v>7252.8750000000009</v>
      </c>
      <c r="I64" s="158"/>
      <c r="J64" s="28">
        <f>H64-G145</f>
        <v>7252.8750000000009</v>
      </c>
      <c r="K64" s="159"/>
      <c r="L64" s="55"/>
      <c r="M64" s="206" t="s">
        <v>102</v>
      </c>
      <c r="N64" s="57">
        <f>N61*N63</f>
        <v>7252.8750000000009</v>
      </c>
      <c r="O64" s="158"/>
      <c r="P64" s="28">
        <f>N64-M145</f>
        <v>7252.8750000000009</v>
      </c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383</v>
      </c>
      <c r="B65" s="215">
        <v>250</v>
      </c>
      <c r="C65" s="158"/>
      <c r="D65" s="28"/>
      <c r="E65" s="159"/>
      <c r="F65" s="55"/>
      <c r="G65" s="212" t="s">
        <v>103</v>
      </c>
      <c r="H65" s="213">
        <v>0.01</v>
      </c>
      <c r="I65" s="158"/>
      <c r="J65" s="158"/>
      <c r="K65" s="159"/>
      <c r="L65" s="55"/>
      <c r="M65" s="212" t="s">
        <v>103</v>
      </c>
      <c r="N65" s="213">
        <v>0.01</v>
      </c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308" t="s">
        <v>233</v>
      </c>
      <c r="D66" s="158"/>
      <c r="E66" s="159"/>
      <c r="F66" s="55"/>
      <c r="G66" s="157" t="s">
        <v>104</v>
      </c>
      <c r="H66" s="214">
        <f>H65+(H65*0.5*(H29/12-1))</f>
        <v>0.02</v>
      </c>
      <c r="I66" s="158"/>
      <c r="J66" s="158"/>
      <c r="K66" s="159"/>
      <c r="L66" s="55"/>
      <c r="M66" s="157" t="s">
        <v>104</v>
      </c>
      <c r="N66" s="214">
        <f>N65+(N65*0.5*(H29/12-1))</f>
        <v>0.02</v>
      </c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250</v>
      </c>
      <c r="C67" s="309" t="s">
        <v>233</v>
      </c>
      <c r="D67" s="310"/>
      <c r="E67" s="159"/>
      <c r="F67" s="55"/>
      <c r="G67" s="206" t="s">
        <v>105</v>
      </c>
      <c r="H67" s="57">
        <f>(H61*H66)/1.2</f>
        <v>1151.25</v>
      </c>
      <c r="I67" s="158"/>
      <c r="J67" s="28"/>
      <c r="K67" s="159"/>
      <c r="L67" s="55"/>
      <c r="M67" s="206" t="s">
        <v>105</v>
      </c>
      <c r="N67" s="57">
        <f>(N61*N66)/1.2</f>
        <v>1151.25</v>
      </c>
      <c r="O67" s="158"/>
      <c r="P67" s="2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311"/>
      <c r="D68" s="2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212" t="s">
        <v>106</v>
      </c>
      <c r="N68" s="213">
        <v>7.4999999999999997E-3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216" t="s">
        <v>107</v>
      </c>
      <c r="N69" s="217">
        <v>0.12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206" t="s">
        <v>108</v>
      </c>
      <c r="N70" s="312">
        <f>N68*(1+N69)</f>
        <v>8.4000000000000012E-3</v>
      </c>
      <c r="O70" s="158"/>
      <c r="P70" s="158"/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160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212" t="s">
        <v>109</v>
      </c>
      <c r="N71" s="74">
        <v>160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4.5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216" t="s">
        <v>110</v>
      </c>
      <c r="N72" s="65">
        <v>4.5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162</v>
      </c>
      <c r="C73" s="158"/>
      <c r="D73" s="313">
        <f>B73+B71</f>
        <v>322</v>
      </c>
      <c r="E73" s="159" t="s">
        <v>239</v>
      </c>
      <c r="F73" s="55"/>
      <c r="G73" s="206" t="s">
        <v>111</v>
      </c>
      <c r="H73" s="57">
        <f>H72*H29</f>
        <v>162</v>
      </c>
      <c r="I73" s="158"/>
      <c r="J73" s="28">
        <f>H73+H71</f>
        <v>322</v>
      </c>
      <c r="K73" s="159"/>
      <c r="L73" s="55"/>
      <c r="M73" s="206" t="s">
        <v>111</v>
      </c>
      <c r="N73" s="57">
        <f>N72*H29</f>
        <v>162</v>
      </c>
      <c r="O73" s="158"/>
      <c r="P73" s="28">
        <f>N73+N71</f>
        <v>322</v>
      </c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180</v>
      </c>
      <c r="C74" s="158"/>
      <c r="D74" s="158"/>
      <c r="E74" s="159"/>
      <c r="F74" s="55"/>
      <c r="G74" s="212" t="s">
        <v>285</v>
      </c>
      <c r="H74" s="74">
        <v>165</v>
      </c>
      <c r="I74" s="158"/>
      <c r="J74" s="158"/>
      <c r="K74" s="159"/>
      <c r="L74" s="55"/>
      <c r="M74" s="277" t="s">
        <v>285</v>
      </c>
      <c r="N74" s="278">
        <v>0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370</v>
      </c>
      <c r="C75" s="158"/>
      <c r="D75" s="158"/>
      <c r="E75" s="159"/>
      <c r="F75" s="55"/>
      <c r="G75" s="216" t="s">
        <v>286</v>
      </c>
      <c r="H75" s="65">
        <v>0</v>
      </c>
      <c r="I75" s="158"/>
      <c r="J75" s="158"/>
      <c r="K75" s="159"/>
      <c r="L75" s="55"/>
      <c r="M75" s="279" t="s">
        <v>286</v>
      </c>
      <c r="N75" s="280">
        <v>0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((B74+B75)/12)*(H29-11)</f>
        <v>1145.8333333333335</v>
      </c>
      <c r="C76" s="158"/>
      <c r="D76" s="28">
        <f>B76</f>
        <v>1145.8333333333335</v>
      </c>
      <c r="E76" s="159"/>
      <c r="F76" s="55"/>
      <c r="G76" s="206" t="s">
        <v>287</v>
      </c>
      <c r="H76" s="57">
        <f>((H74+H75)/12)*(H29-11)</f>
        <v>343.75</v>
      </c>
      <c r="I76" s="158"/>
      <c r="J76" s="28">
        <f>H76</f>
        <v>343.75</v>
      </c>
      <c r="K76" s="159"/>
      <c r="L76" s="55"/>
      <c r="M76" s="281" t="s">
        <v>287</v>
      </c>
      <c r="N76" s="282">
        <f>((N74+N75)/12)*(H29-11)</f>
        <v>0</v>
      </c>
      <c r="O76" s="158"/>
      <c r="P76" s="28">
        <f>N76</f>
        <v>0</v>
      </c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09" t="s">
        <v>288</v>
      </c>
      <c r="B77" s="24">
        <f>B102/(1-0.1)</f>
        <v>444.44444444444446</v>
      </c>
      <c r="C77" s="252"/>
      <c r="D77" s="28">
        <f>B77</f>
        <v>444.44444444444446</v>
      </c>
      <c r="E77" s="307">
        <f>D77/(B58+B57)</f>
        <v>12.345679012345679</v>
      </c>
      <c r="F77" s="55"/>
      <c r="G77" s="212" t="s">
        <v>288</v>
      </c>
      <c r="H77" s="74">
        <v>0</v>
      </c>
      <c r="I77" s="158"/>
      <c r="J77" s="28">
        <f>H77</f>
        <v>0</v>
      </c>
      <c r="K77" s="159"/>
      <c r="L77" s="55"/>
      <c r="M77" s="212" t="s">
        <v>288</v>
      </c>
      <c r="N77" s="74">
        <v>0</v>
      </c>
      <c r="O77" s="158"/>
      <c r="P77" s="28">
        <f>N77</f>
        <v>0</v>
      </c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252"/>
      <c r="D78" s="28">
        <f>B78</f>
        <v>222.22222222222223</v>
      </c>
      <c r="E78" s="307"/>
      <c r="F78" s="55"/>
      <c r="G78" s="157" t="s">
        <v>289</v>
      </c>
      <c r="H78" s="29">
        <v>0</v>
      </c>
      <c r="I78" s="158"/>
      <c r="J78" s="28">
        <f>H78</f>
        <v>0</v>
      </c>
      <c r="K78" s="159"/>
      <c r="L78" s="55"/>
      <c r="M78" s="157" t="s">
        <v>289</v>
      </c>
      <c r="N78" s="29">
        <v>0</v>
      </c>
      <c r="O78" s="158"/>
      <c r="P78" s="28">
        <f>N78</f>
        <v>0</v>
      </c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300</v>
      </c>
      <c r="C79" s="252"/>
      <c r="D79" s="28">
        <f>B79</f>
        <v>300</v>
      </c>
      <c r="E79" s="307"/>
      <c r="F79" s="55"/>
      <c r="G79" s="216" t="s">
        <v>112</v>
      </c>
      <c r="H79" s="65">
        <v>200</v>
      </c>
      <c r="I79" s="158"/>
      <c r="J79" s="28">
        <f>H79</f>
        <v>200</v>
      </c>
      <c r="K79" s="159"/>
      <c r="L79" s="55"/>
      <c r="M79" s="216" t="s">
        <v>112</v>
      </c>
      <c r="N79" s="65">
        <v>200</v>
      </c>
      <c r="O79" s="158"/>
      <c r="P79" s="28">
        <f>N79</f>
        <v>200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100</v>
      </c>
      <c r="C80" s="252"/>
      <c r="D80" s="28">
        <f>B80</f>
        <v>100</v>
      </c>
      <c r="E80" s="307">
        <f>(D73+D76+D79+D80)/(B58+B57)</f>
        <v>51.884259259259267</v>
      </c>
      <c r="F80" s="55"/>
      <c r="G80" s="219" t="s">
        <v>113</v>
      </c>
      <c r="H80" s="75">
        <v>200</v>
      </c>
      <c r="I80" s="158"/>
      <c r="J80" s="28">
        <f>H80</f>
        <v>200</v>
      </c>
      <c r="K80" s="159"/>
      <c r="L80" s="55"/>
      <c r="M80" s="219" t="s">
        <v>113</v>
      </c>
      <c r="N80" s="75">
        <v>200</v>
      </c>
      <c r="O80" s="158"/>
      <c r="P80" s="28">
        <f>N80</f>
        <v>200</v>
      </c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9787.3750000000018</v>
      </c>
      <c r="C81" s="252"/>
      <c r="D81" s="314"/>
      <c r="E81" s="307"/>
      <c r="F81" s="55"/>
      <c r="G81" s="220" t="s">
        <v>114</v>
      </c>
      <c r="H81" s="221">
        <f>SUM(J64:J80)</f>
        <v>8318.625</v>
      </c>
      <c r="I81" s="158"/>
      <c r="J81" s="158"/>
      <c r="K81" s="159"/>
      <c r="L81" s="55"/>
      <c r="M81" s="220" t="s">
        <v>114</v>
      </c>
      <c r="N81" s="221">
        <f>SUM(P64:P80)</f>
        <v>7974.8750000000009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271.87152777777783</v>
      </c>
      <c r="C82" s="252"/>
      <c r="D82" s="158"/>
      <c r="E82" s="307"/>
      <c r="F82" s="55"/>
      <c r="G82" s="157" t="s">
        <v>115</v>
      </c>
      <c r="H82" s="29">
        <f>H81/H29</f>
        <v>231.07291666666666</v>
      </c>
      <c r="I82" s="158"/>
      <c r="J82" s="158"/>
      <c r="K82" s="159"/>
      <c r="L82" s="55"/>
      <c r="M82" s="157" t="s">
        <v>115</v>
      </c>
      <c r="N82" s="29">
        <f>N81/H29</f>
        <v>221.52430555555557</v>
      </c>
      <c r="O82" s="158"/>
      <c r="P82" s="158"/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H47</f>
        <v>1276.5152531513288</v>
      </c>
      <c r="C83" s="252"/>
      <c r="D83" s="158"/>
      <c r="E83" s="307">
        <f>B83+E80+E77+E64</f>
        <v>1542.2139414229339</v>
      </c>
      <c r="F83" s="55"/>
      <c r="G83" s="222" t="s">
        <v>116</v>
      </c>
      <c r="H83" s="52">
        <f>H47</f>
        <v>1276.5152531513288</v>
      </c>
      <c r="I83" s="158"/>
      <c r="J83" s="158"/>
      <c r="K83" s="159"/>
      <c r="L83" s="55"/>
      <c r="M83" s="222" t="s">
        <v>116</v>
      </c>
      <c r="N83" s="52">
        <f>H47</f>
        <v>1276.5152531513288</v>
      </c>
      <c r="O83" s="158"/>
      <c r="P83" s="158"/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252"/>
      <c r="D84" s="252"/>
      <c r="E84" s="307"/>
      <c r="F84" s="55"/>
      <c r="G84" s="157"/>
      <c r="H84" s="28"/>
      <c r="I84" s="158"/>
      <c r="J84" s="158"/>
      <c r="K84" s="159"/>
      <c r="L84" s="55"/>
      <c r="M84" s="157"/>
      <c r="N84" s="28"/>
      <c r="O84" s="158"/>
      <c r="P84" s="158"/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((B83*H29)+B81)</f>
        <v>55741.924113447836</v>
      </c>
      <c r="C85" s="252"/>
      <c r="D85" s="252"/>
      <c r="E85" s="307">
        <f>B85/(B58+B57)</f>
        <v>1548.3867809291066</v>
      </c>
      <c r="F85" s="55"/>
      <c r="G85" s="209" t="s">
        <v>126</v>
      </c>
      <c r="H85" s="24">
        <f>((H83*H29)+H81)*1.2</f>
        <v>65127.8089361374</v>
      </c>
      <c r="I85" s="158"/>
      <c r="J85" s="158"/>
      <c r="K85" s="159"/>
      <c r="L85" s="55"/>
      <c r="M85" s="209" t="s">
        <v>126</v>
      </c>
      <c r="N85" s="24">
        <f>((N83*H29)+N81)</f>
        <v>53929.424113447836</v>
      </c>
      <c r="O85" s="158"/>
      <c r="P85" s="158"/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(((B83*H29)+B81)/(1-B70))*B70</f>
        <v>472.19863105381393</v>
      </c>
      <c r="C86" s="252" t="s">
        <v>242</v>
      </c>
      <c r="D86" s="158"/>
      <c r="E86" s="307">
        <f>B86/(B58+B57)</f>
        <v>13.11662864038372</v>
      </c>
      <c r="F86" s="55"/>
      <c r="G86" s="157" t="s">
        <v>127</v>
      </c>
      <c r="H86" s="29">
        <f>((((H83*H29)+H81))/(1-H70))*H70</f>
        <v>459.75661814538307</v>
      </c>
      <c r="I86" s="158"/>
      <c r="J86" s="158"/>
      <c r="K86" s="159"/>
      <c r="L86" s="55"/>
      <c r="M86" s="157" t="s">
        <v>127</v>
      </c>
      <c r="N86" s="29">
        <f>(N85/(1-N70))*N70</f>
        <v>456.84465767745246</v>
      </c>
      <c r="O86" s="158"/>
      <c r="P86" s="158"/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56214.122744501648</v>
      </c>
      <c r="C87" s="252"/>
      <c r="D87" s="315"/>
      <c r="E87" s="307">
        <f>E86+E85</f>
        <v>1561.5034095694903</v>
      </c>
      <c r="F87" s="55"/>
      <c r="G87" s="206" t="s">
        <v>128</v>
      </c>
      <c r="H87" s="57">
        <f>IF(H110="YES",((H85+H86)-K114),(H85+H86))</f>
        <v>65587.565554282788</v>
      </c>
      <c r="I87" s="158"/>
      <c r="J87" s="158"/>
      <c r="K87" s="159"/>
      <c r="L87" s="55"/>
      <c r="M87" s="206" t="s">
        <v>128</v>
      </c>
      <c r="N87" s="57">
        <f>IF(N110="YES",((N85+N86)-Q114),(N85+N86))</f>
        <v>54386.268771125287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252"/>
      <c r="D88" s="158"/>
      <c r="E88" s="307"/>
      <c r="F88" s="55"/>
      <c r="G88" s="157"/>
      <c r="H88" s="28"/>
      <c r="I88" s="158"/>
      <c r="J88" s="158"/>
      <c r="K88" s="159"/>
      <c r="L88" s="55"/>
      <c r="M88" s="157"/>
      <c r="N88" s="28"/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1">
        <f>IF(B99=Y98,(I32+(I32*B105))/(B58),(I32+(I32*B105))/(B57+B58))*(C45/100)</f>
        <v>24.457371428571431</v>
      </c>
      <c r="C89" s="252"/>
      <c r="D89" s="158"/>
      <c r="E89" s="159"/>
      <c r="F89" s="55"/>
      <c r="G89" s="220" t="s">
        <v>129</v>
      </c>
      <c r="H89" s="221">
        <f>IF(H99=Y98,(D40+(D40*H105))/(H58),(D40+(D40*H105))/(H57+H58))*1.2</f>
        <v>50.107785365853658</v>
      </c>
      <c r="I89" s="158"/>
      <c r="J89" s="158"/>
      <c r="K89" s="159"/>
      <c r="L89" s="55"/>
      <c r="M89" s="220" t="s">
        <v>129</v>
      </c>
      <c r="N89" s="221">
        <f>IF(N99=Y98,(D40+(D40*N105))/(N58),(D40+(D40*N105))/(N57+N58))</f>
        <v>41.756487804878049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IF(B99=Y98,(B87-D105)/(B58),B87/(B57+B58))</f>
        <v>1591.8320784143327</v>
      </c>
      <c r="C90" s="252"/>
      <c r="D90" s="158"/>
      <c r="E90" s="316"/>
      <c r="F90" s="55"/>
      <c r="G90" s="224" t="s">
        <v>130</v>
      </c>
      <c r="H90" s="225">
        <f>IF(H99=Y98,(H87-J105)/(H58),H87/(H57+H58))</f>
        <v>1599.6967208361655</v>
      </c>
      <c r="I90" s="158"/>
      <c r="J90" s="158"/>
      <c r="K90" s="159"/>
      <c r="L90" s="55"/>
      <c r="M90" s="224" t="s">
        <v>130</v>
      </c>
      <c r="N90" s="225">
        <f>IF(N99=Y98,(N87-P105)/(N58),N87/(N57+N58))</f>
        <v>1326.4943602713486</v>
      </c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1616.2894498429041</v>
      </c>
      <c r="C91" s="252"/>
      <c r="D91" s="317"/>
      <c r="E91" s="274"/>
      <c r="F91" s="55"/>
      <c r="G91" s="226" t="s">
        <v>131</v>
      </c>
      <c r="H91" s="227">
        <f>IF(G105="YES",H90+H89,H90)</f>
        <v>1649.8045062020192</v>
      </c>
      <c r="I91" s="158"/>
      <c r="J91" s="158"/>
      <c r="K91" s="159"/>
      <c r="L91" s="55"/>
      <c r="M91" s="226" t="s">
        <v>131</v>
      </c>
      <c r="N91" s="227">
        <f>IF(M105="YES",N90+N89,N90)</f>
        <v>1368.2508480762267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50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206"/>
      <c r="N92" s="207"/>
      <c r="O92" s="207"/>
      <c r="P92" s="207"/>
      <c r="Q92" s="208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158"/>
      <c r="N93" s="158"/>
      <c r="O93" s="158"/>
      <c r="P93" s="158"/>
      <c r="Q93" s="158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56.25" customHeight="1">
      <c r="A94" s="376" t="s">
        <v>338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376" t="s">
        <v>345</v>
      </c>
      <c r="N94" s="376"/>
      <c r="O94" s="376"/>
      <c r="P94" s="376"/>
      <c r="Q94" s="376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 t="s">
        <v>377</v>
      </c>
      <c r="F95" s="55"/>
      <c r="G95" s="157"/>
      <c r="H95" s="158"/>
      <c r="I95" s="158"/>
      <c r="J95" s="158"/>
      <c r="K95" s="159"/>
      <c r="L95" s="55"/>
      <c r="M95" s="157"/>
      <c r="N95" s="158"/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377" t="s">
        <v>136</v>
      </c>
      <c r="N96" s="377"/>
      <c r="O96" s="377"/>
      <c r="P96" s="377"/>
      <c r="Q96" s="377"/>
      <c r="R96" s="55"/>
      <c r="S96" s="55"/>
      <c r="T96" s="55"/>
      <c r="U96" s="55"/>
      <c r="V96" s="55"/>
      <c r="W96" s="55"/>
      <c r="X96" s="55"/>
      <c r="Y96" s="55"/>
      <c r="Z96" s="55"/>
    </row>
    <row r="97" spans="1:29" ht="18.75" customHeight="1">
      <c r="A97" s="157"/>
      <c r="B97" s="406"/>
      <c r="C97" s="406"/>
      <c r="D97" s="158"/>
      <c r="E97" s="159"/>
      <c r="F97" s="55"/>
      <c r="G97" s="157"/>
      <c r="H97" s="158"/>
      <c r="I97" s="158"/>
      <c r="J97" s="158"/>
      <c r="K97" s="159"/>
      <c r="L97" s="55"/>
      <c r="M97" s="157"/>
      <c r="N97" s="158"/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 t="s">
        <v>140</v>
      </c>
      <c r="Z97" s="55"/>
      <c r="AC97" s="55"/>
    </row>
    <row r="98" spans="1:29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157" t="s">
        <v>137</v>
      </c>
      <c r="N98" s="158" t="s">
        <v>36</v>
      </c>
      <c r="O98" s="158"/>
      <c r="P98" s="158" t="s">
        <v>291</v>
      </c>
      <c r="Q98" s="159"/>
      <c r="R98" s="55"/>
      <c r="S98" s="55"/>
      <c r="T98" s="55"/>
      <c r="U98" s="55"/>
      <c r="V98" s="55"/>
      <c r="W98" s="55"/>
      <c r="X98" s="55"/>
      <c r="Y98" s="55" t="s">
        <v>270</v>
      </c>
      <c r="Z98" s="55"/>
    </row>
    <row r="99" spans="1:29" ht="18.75" customHeight="1">
      <c r="A99" s="162" t="s">
        <v>292</v>
      </c>
      <c r="B99" s="395" t="s">
        <v>270</v>
      </c>
      <c r="C99" s="395"/>
      <c r="D99" s="348">
        <v>5000</v>
      </c>
      <c r="E99" s="348"/>
      <c r="F99" s="55"/>
      <c r="G99" s="162" t="s">
        <v>292</v>
      </c>
      <c r="H99" s="395" t="s">
        <v>272</v>
      </c>
      <c r="I99" s="395"/>
      <c r="J99" s="348">
        <v>0</v>
      </c>
      <c r="K99" s="348"/>
      <c r="L99" s="55"/>
      <c r="M99" s="162" t="s">
        <v>292</v>
      </c>
      <c r="N99" s="395" t="s">
        <v>272</v>
      </c>
      <c r="O99" s="395"/>
      <c r="P99" s="348">
        <v>0</v>
      </c>
      <c r="Q99" s="348"/>
      <c r="R99" s="55"/>
      <c r="S99" s="55"/>
      <c r="T99" s="55"/>
      <c r="U99" s="55"/>
      <c r="V99" s="55"/>
      <c r="W99" s="55"/>
      <c r="X99" s="55"/>
      <c r="Y99" s="55" t="s">
        <v>271</v>
      </c>
      <c r="Z99" s="55"/>
    </row>
    <row r="100" spans="1:29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157"/>
      <c r="N100" s="158"/>
      <c r="O100" s="158"/>
      <c r="P100" s="158"/>
      <c r="Q100" s="159"/>
      <c r="R100" s="55"/>
      <c r="S100" s="55"/>
      <c r="T100" s="55"/>
      <c r="U100" s="55"/>
      <c r="V100" s="55"/>
      <c r="W100" s="55"/>
      <c r="X100" s="55"/>
      <c r="Y100" s="55" t="s">
        <v>272</v>
      </c>
      <c r="Z100" s="55"/>
    </row>
    <row r="101" spans="1:29" ht="18.75" customHeight="1">
      <c r="A101" s="157" t="s">
        <v>293</v>
      </c>
      <c r="B101" s="158" t="s">
        <v>294</v>
      </c>
      <c r="C101" s="158"/>
      <c r="D101" s="158" t="s">
        <v>378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157" t="s">
        <v>293</v>
      </c>
      <c r="N101" s="158" t="s">
        <v>294</v>
      </c>
      <c r="O101" s="158"/>
      <c r="P101" s="158" t="s">
        <v>295</v>
      </c>
      <c r="Q101" s="159"/>
      <c r="R101" s="55"/>
      <c r="S101" s="55"/>
      <c r="T101" s="55"/>
      <c r="U101" s="55"/>
      <c r="V101" s="55"/>
      <c r="W101" s="55"/>
      <c r="X101" s="55"/>
      <c r="Y101" s="55" t="s">
        <v>273</v>
      </c>
      <c r="Z101" s="55"/>
    </row>
    <row r="102" spans="1:29" ht="18.75" customHeight="1">
      <c r="A102" s="228">
        <v>0</v>
      </c>
      <c r="B102" s="348" t="n">
        <v>0.0</v>
      </c>
      <c r="C102" s="348"/>
      <c r="D102" s="348" t="n">
        <v>0.0</v>
      </c>
      <c r="E102" s="348"/>
      <c r="F102" s="55"/>
      <c r="G102" s="228">
        <v>199.99</v>
      </c>
      <c r="H102" s="348">
        <v>0</v>
      </c>
      <c r="I102" s="348"/>
      <c r="J102" s="348">
        <v>0</v>
      </c>
      <c r="K102" s="348"/>
      <c r="L102" s="55"/>
      <c r="M102" s="228">
        <v>199.99</v>
      </c>
      <c r="N102" s="348">
        <v>0</v>
      </c>
      <c r="O102" s="348"/>
      <c r="P102" s="348">
        <v>0</v>
      </c>
      <c r="Q102" s="348"/>
      <c r="R102" s="55"/>
      <c r="S102" s="55"/>
      <c r="T102" s="55"/>
      <c r="U102" s="55"/>
      <c r="V102" s="55"/>
      <c r="W102" s="55"/>
      <c r="X102" s="55"/>
      <c r="Y102" s="55" t="s">
        <v>274</v>
      </c>
      <c r="Z102" s="55"/>
    </row>
    <row r="103" spans="1:29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 t="s">
        <v>275</v>
      </c>
      <c r="Z103" s="55"/>
    </row>
    <row r="104" spans="1:29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162" t="s">
        <v>138</v>
      </c>
      <c r="N104" s="55" t="s">
        <v>141</v>
      </c>
      <c r="O104" s="158"/>
      <c r="P104" s="158" t="s">
        <v>152</v>
      </c>
      <c r="Q104" s="159"/>
      <c r="R104" s="55"/>
      <c r="S104" s="55"/>
      <c r="T104" s="55"/>
      <c r="U104" s="55"/>
      <c r="V104" s="55"/>
      <c r="W104" s="55"/>
      <c r="X104" s="55"/>
      <c r="Y104" s="55" t="s">
        <v>276</v>
      </c>
      <c r="Z104" s="55"/>
    </row>
    <row r="105" spans="1:29" ht="18.75" customHeight="1">
      <c r="A105" s="164" t="s">
        <v>410</v>
      </c>
      <c r="B105" s="396">
        <v>0.2</v>
      </c>
      <c r="C105" s="396"/>
      <c r="D105" s="348">
        <v>500</v>
      </c>
      <c r="E105" s="348"/>
      <c r="F105" s="55"/>
      <c r="G105" s="164" t="s">
        <v>31</v>
      </c>
      <c r="H105" s="396">
        <v>0.2</v>
      </c>
      <c r="I105" s="396"/>
      <c r="J105" s="348"/>
      <c r="K105" s="348"/>
      <c r="L105" s="55"/>
      <c r="M105" s="164" t="s">
        <v>31</v>
      </c>
      <c r="N105" s="396">
        <v>0.2</v>
      </c>
      <c r="O105" s="396"/>
      <c r="P105" s="348">
        <v>0</v>
      </c>
      <c r="Q105" s="348"/>
      <c r="R105" s="55"/>
      <c r="S105" s="55"/>
      <c r="T105" s="55"/>
      <c r="U105" s="55"/>
      <c r="V105" s="55"/>
      <c r="W105" s="55"/>
      <c r="X105" s="55"/>
      <c r="Y105" s="55" t="s">
        <v>277</v>
      </c>
      <c r="Z105" s="55"/>
    </row>
    <row r="106" spans="1:29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9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157"/>
      <c r="N107" s="158" t="s">
        <v>346</v>
      </c>
      <c r="O107" s="164" t="s">
        <v>31</v>
      </c>
      <c r="P107" s="158"/>
      <c r="Q107" s="159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9" ht="18.75" customHeight="1">
      <c r="A108" s="377">
        <v>199.99</v>
      </c>
      <c r="B108" s="377">
        <v>0</v>
      </c>
      <c r="C108" s="377"/>
      <c r="D108" s="377"/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377" t="s">
        <v>296</v>
      </c>
      <c r="N108" s="377"/>
      <c r="O108" s="377"/>
      <c r="P108" s="377"/>
      <c r="Q108" s="377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9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9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157" t="s">
        <v>297</v>
      </c>
      <c r="N110" s="164" t="s">
        <v>32</v>
      </c>
      <c r="O110" s="158"/>
      <c r="P110" s="158"/>
      <c r="Q110" s="159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9" ht="18.75" customHeight="1">
      <c r="A111" s="157"/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157"/>
      <c r="N111" s="158"/>
      <c r="O111" s="158"/>
      <c r="P111" s="158"/>
      <c r="Q111" s="159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9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0</v>
      </c>
      <c r="K112" s="92">
        <v>0</v>
      </c>
      <c r="L112" s="55"/>
      <c r="M112" s="157" t="s">
        <v>185</v>
      </c>
      <c r="N112" s="158"/>
      <c r="O112" s="158"/>
      <c r="P112" s="228">
        <v>500</v>
      </c>
      <c r="Q112" s="92">
        <v>300</v>
      </c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0</v>
      </c>
      <c r="K113" s="92">
        <v>0</v>
      </c>
      <c r="L113" s="55"/>
      <c r="M113" s="157" t="s">
        <v>186</v>
      </c>
      <c r="N113" s="158"/>
      <c r="O113" s="158"/>
      <c r="P113" s="35">
        <f>Q113</f>
        <v>100</v>
      </c>
      <c r="Q113" s="92">
        <v>100</v>
      </c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0</v>
      </c>
      <c r="K114" s="127">
        <f>K112-K113</f>
        <v>0</v>
      </c>
      <c r="L114" s="55"/>
      <c r="M114" s="157" t="s">
        <v>187</v>
      </c>
      <c r="N114" s="158"/>
      <c r="O114" s="158"/>
      <c r="P114" s="35">
        <f>P112-P113</f>
        <v>400</v>
      </c>
      <c r="Q114" s="127">
        <f>Q112-Q113</f>
        <v>200</v>
      </c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0</v>
      </c>
      <c r="K115" s="159"/>
      <c r="L115" s="55"/>
      <c r="M115" s="157" t="s">
        <v>188</v>
      </c>
      <c r="N115" s="158"/>
      <c r="O115" s="158"/>
      <c r="P115" s="35">
        <f>P114-Q114</f>
        <v>200</v>
      </c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157"/>
      <c r="N116" s="158"/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f>D99</f>
        <v>5000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209" t="s">
        <v>148</v>
      </c>
      <c r="N117" s="210"/>
      <c r="O117" s="210"/>
      <c r="P117" s="210"/>
      <c r="Q117" s="24">
        <f>P99</f>
        <v>0</v>
      </c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f>A102</f>
        <v>0</v>
      </c>
      <c r="F118" s="55"/>
      <c r="G118" s="157" t="s">
        <v>66</v>
      </c>
      <c r="H118" s="158"/>
      <c r="I118" s="158"/>
      <c r="J118" s="158"/>
      <c r="K118" s="29">
        <f>G102</f>
        <v>199.99</v>
      </c>
      <c r="L118" s="55"/>
      <c r="M118" s="157" t="s">
        <v>66</v>
      </c>
      <c r="N118" s="158"/>
      <c r="O118" s="158"/>
      <c r="P118" s="158"/>
      <c r="Q118" s="29">
        <f>M102</f>
        <v>199.99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(E118*1.2)+E117-E114</f>
        <v>5000</v>
      </c>
      <c r="F119" s="55"/>
      <c r="G119" s="229" t="s">
        <v>298</v>
      </c>
      <c r="H119" s="207"/>
      <c r="I119" s="207"/>
      <c r="J119" s="207"/>
      <c r="K119" s="57">
        <f>((K118/1.2)+K117)-(J115-K113)</f>
        <v>166.65833333333336</v>
      </c>
      <c r="L119" s="55"/>
      <c r="M119" s="229" t="s">
        <v>298</v>
      </c>
      <c r="N119" s="207"/>
      <c r="O119" s="207"/>
      <c r="P119" s="207"/>
      <c r="Q119" s="57">
        <f>(Q118+Q117)-P115</f>
        <v>-9.9999999999909051E-3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157"/>
      <c r="N120" s="158"/>
      <c r="O120" s="158"/>
      <c r="P120" s="158"/>
      <c r="Q120" s="159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157"/>
      <c r="N121" s="158"/>
      <c r="O121" s="158"/>
      <c r="P121" s="158"/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377" t="s">
        <v>299</v>
      </c>
      <c r="N122" s="377"/>
      <c r="O122" s="377"/>
      <c r="P122" s="377"/>
      <c r="Q122" s="377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157"/>
      <c r="N123" s="158"/>
      <c r="O123" s="158"/>
      <c r="P123" s="158"/>
      <c r="Q123" s="159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157" t="s">
        <v>193</v>
      </c>
      <c r="N124" s="368">
        <v>0</v>
      </c>
      <c r="O124" s="368"/>
      <c r="P124" s="158"/>
      <c r="Q124" s="159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36</v>
      </c>
      <c r="C125" s="236"/>
      <c r="D125" s="235">
        <f>B160</f>
        <v>10000</v>
      </c>
      <c r="E125" s="233"/>
      <c r="F125" s="55"/>
      <c r="G125" s="157"/>
      <c r="H125" s="158"/>
      <c r="I125" s="158"/>
      <c r="J125" s="158"/>
      <c r="K125" s="159"/>
      <c r="L125" s="55"/>
      <c r="M125" s="157"/>
      <c r="N125" s="158"/>
      <c r="O125" s="158"/>
      <c r="P125" s="158"/>
      <c r="Q125" s="159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238" t="s">
        <v>302</v>
      </c>
      <c r="H126" s="239" t="s">
        <v>303</v>
      </c>
      <c r="I126" s="239"/>
      <c r="J126" s="239" t="s">
        <v>304</v>
      </c>
      <c r="K126" s="159"/>
      <c r="L126" s="55"/>
      <c r="M126" s="238" t="s">
        <v>347</v>
      </c>
      <c r="N126" s="239" t="s">
        <v>259</v>
      </c>
      <c r="O126" s="239"/>
      <c r="P126" s="239" t="s">
        <v>131</v>
      </c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242">
        <f>H90</f>
        <v>1599.6967208361655</v>
      </c>
      <c r="H127" s="133">
        <f>IF(G105="YES",H89*H57,0)</f>
        <v>300.64671219512195</v>
      </c>
      <c r="I127" s="133"/>
      <c r="J127" s="243">
        <f>H91</f>
        <v>1649.8045062020192</v>
      </c>
      <c r="K127" s="159"/>
      <c r="L127" s="55"/>
      <c r="M127" s="242">
        <f>N90</f>
        <v>1326.4943602713486</v>
      </c>
      <c r="N127" s="133">
        <f>IF(M105="YES",N89*N57,0)</f>
        <v>250.53892682926829</v>
      </c>
      <c r="O127" s="133"/>
      <c r="P127" s="133">
        <f>N91</f>
        <v>1368.2508480762267</v>
      </c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1591.8320784143327</v>
      </c>
      <c r="B128" s="232">
        <f>IF(A105="YES",B89,0)</f>
        <v>24.457371428571431</v>
      </c>
      <c r="C128" s="236"/>
      <c r="D128" s="232">
        <f>B91</f>
        <v>1616.2894498429041</v>
      </c>
      <c r="E128" s="233"/>
      <c r="F128" s="55"/>
      <c r="G128" s="157"/>
      <c r="H128" s="158"/>
      <c r="I128" s="158"/>
      <c r="J128" s="158"/>
      <c r="K128" s="159"/>
      <c r="L128" s="55"/>
      <c r="M128" s="157"/>
      <c r="N128" s="158"/>
      <c r="O128" s="158"/>
      <c r="P128" s="158"/>
      <c r="Q128" s="159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 t="s">
        <v>94</v>
      </c>
      <c r="H129" s="158" t="s">
        <v>95</v>
      </c>
      <c r="I129" s="158"/>
      <c r="J129" s="158" t="s">
        <v>97</v>
      </c>
      <c r="K129" s="159"/>
      <c r="L129" s="55"/>
      <c r="M129" s="157" t="s">
        <v>94</v>
      </c>
      <c r="N129" s="158" t="s">
        <v>95</v>
      </c>
      <c r="O129" s="158"/>
      <c r="P129" s="158" t="s">
        <v>97</v>
      </c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240" t="s">
        <v>36</v>
      </c>
      <c r="B130" s="241">
        <v>0</v>
      </c>
      <c r="C130" s="171"/>
      <c r="D130" s="241" t="s">
        <v>306</v>
      </c>
      <c r="E130" s="159"/>
      <c r="F130" s="55"/>
      <c r="G130" s="169">
        <f>G152</f>
        <v>36</v>
      </c>
      <c r="H130" s="170">
        <f>B151</f>
        <v>0</v>
      </c>
      <c r="I130" s="171"/>
      <c r="J130" s="170">
        <f>B58</f>
        <v>35</v>
      </c>
      <c r="K130" s="159"/>
      <c r="L130" s="55"/>
      <c r="M130" s="169">
        <f>M155</f>
        <v>36</v>
      </c>
      <c r="N130" s="170">
        <f>B151</f>
        <v>0</v>
      </c>
      <c r="O130" s="171"/>
      <c r="P130" s="170">
        <f>B58</f>
        <v>35</v>
      </c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244" t="str">
        <f>B99</f>
        <v xml:space="preserve"> Spread rentals initial payment </v>
      </c>
      <c r="B131" s="34">
        <f>B90*B57</f>
        <v>1591.8320784143327</v>
      </c>
      <c r="C131" s="158"/>
      <c r="D131" s="34">
        <f>IF(A105="YES",B89*B57,0)</f>
        <v>24.457371428571431</v>
      </c>
      <c r="E131" s="159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157" t="s">
        <v>348</v>
      </c>
      <c r="N132" s="158" t="s">
        <v>251</v>
      </c>
      <c r="O132" s="158"/>
      <c r="P132" s="158" t="s">
        <v>254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9598.1803250169924</v>
      </c>
      <c r="H133" s="34">
        <f>IF(G105="YES",H89*H57,0)</f>
        <v>300.64671219512195</v>
      </c>
      <c r="I133" s="163"/>
      <c r="J133" s="137">
        <f>H91*H57</f>
        <v>9898.8270372121151</v>
      </c>
      <c r="K133" s="159"/>
      <c r="L133" s="55"/>
      <c r="M133" s="138">
        <f>N90*N57</f>
        <v>7958.9661616280919</v>
      </c>
      <c r="N133" s="34">
        <f>IF(M105="YES",N89*N57,0)</f>
        <v>250.53892682926829</v>
      </c>
      <c r="O133" s="163"/>
      <c r="P133" s="137">
        <f>N91*N57</f>
        <v>8209.5050884573611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94">
        <f>B91*B57</f>
        <v>1616.2894498429041</v>
      </c>
      <c r="B134" s="34">
        <f>E114</f>
        <v>0</v>
      </c>
      <c r="C134" s="158"/>
      <c r="D134" s="245">
        <f>B58</f>
        <v>35</v>
      </c>
      <c r="E134" s="159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157" t="s">
        <v>261</v>
      </c>
      <c r="N135" s="158" t="s">
        <v>262</v>
      </c>
      <c r="O135" s="158"/>
      <c r="P135" s="158" t="s">
        <v>266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0.41038259999999993</v>
      </c>
      <c r="H136" s="34">
        <f>IF(G105="YES",E15*0.000002,0)</f>
        <v>0.13679419999999998</v>
      </c>
      <c r="I136" s="34"/>
      <c r="J136" s="34">
        <f>G136+H136</f>
        <v>0.54717679999999991</v>
      </c>
      <c r="K136" s="90"/>
      <c r="L136" s="55"/>
      <c r="M136" s="94">
        <f>E15*0.000006</f>
        <v>0.41038259999999993</v>
      </c>
      <c r="N136" s="34">
        <f>IF(M105="YES",E15*0.000002,0)</f>
        <v>0.13679419999999998</v>
      </c>
      <c r="O136" s="34"/>
      <c r="P136" s="34">
        <f>M136+N136</f>
        <v>0.54717679999999991</v>
      </c>
      <c r="Q136" s="90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94">
        <f>B90</f>
        <v>1591.8320784143327</v>
      </c>
      <c r="B137" s="34">
        <f>IF(A105="YES",B89,0)</f>
        <v>24.457371428571431</v>
      </c>
      <c r="C137" s="158"/>
      <c r="D137" s="34">
        <f>B91</f>
        <v>1616.2894498429041</v>
      </c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157" t="s">
        <v>151</v>
      </c>
      <c r="N138" s="158" t="s">
        <v>316</v>
      </c>
      <c r="O138" s="158"/>
      <c r="P138" s="158" t="s">
        <v>317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199.99</v>
      </c>
      <c r="H139" s="34">
        <f>H67</f>
        <v>1151.25</v>
      </c>
      <c r="I139" s="34"/>
      <c r="J139" s="34">
        <f>H102*0.9</f>
        <v>0</v>
      </c>
      <c r="K139" s="90"/>
      <c r="L139" s="55"/>
      <c r="M139" s="94">
        <f>M102</f>
        <v>199.99</v>
      </c>
      <c r="N139" s="34">
        <f>N67</f>
        <v>1151.25</v>
      </c>
      <c r="O139" s="34"/>
      <c r="P139" s="34">
        <f>N102*0.9</f>
        <v>0</v>
      </c>
      <c r="Q139" s="90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250">
        <f>(G18*0.000006)*100</f>
        <v>41.445</v>
      </c>
      <c r="B140" s="251">
        <f>IF(A105="YES",G18*0.000002,0)*100</f>
        <v>13.815</v>
      </c>
      <c r="C140" s="252"/>
      <c r="D140" s="251">
        <f>A140+B140</f>
        <v>55.26</v>
      </c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157" t="s">
        <v>319</v>
      </c>
      <c r="N141" s="158" t="s">
        <v>320</v>
      </c>
      <c r="O141" s="158"/>
      <c r="P141" s="158" t="s">
        <v>321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IF(G105="YES",((B36*H105)*0.1)*(G130),0)</f>
        <v>14.266800000000003</v>
      </c>
      <c r="H142" s="34">
        <f>G102-100</f>
        <v>99.990000000000009</v>
      </c>
      <c r="I142" s="34"/>
      <c r="J142" s="34">
        <f>(H139+J139+G142+H142)-H145</f>
        <v>1265.5068000000001</v>
      </c>
      <c r="K142" s="90"/>
      <c r="L142" s="55"/>
      <c r="M142" s="94">
        <f>IF(M105="YES",((B36*N105)*0.1)*(M130),0)</f>
        <v>14.266800000000003</v>
      </c>
      <c r="N142" s="34">
        <f>M102-100</f>
        <v>99.990000000000009</v>
      </c>
      <c r="O142" s="34"/>
      <c r="P142" s="34">
        <f>(N139+P139+M142+N142)-N145</f>
        <v>1265.5068000000001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94">
        <v>0</v>
      </c>
      <c r="B143" s="34">
        <f>E118</f>
        <v>0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157" t="s">
        <v>323</v>
      </c>
      <c r="N144" s="158" t="s">
        <v>324</v>
      </c>
      <c r="O144" s="158"/>
      <c r="P144" s="158"/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v>0</v>
      </c>
      <c r="H145" s="34">
        <f>(H139+J139+G142+H142)*(G145/H64)</f>
        <v>0</v>
      </c>
      <c r="I145" s="158"/>
      <c r="J145" s="158"/>
      <c r="K145" s="159"/>
      <c r="L145" s="55"/>
      <c r="M145" s="94">
        <v>0</v>
      </c>
      <c r="N145" s="34">
        <f>(N139+P139+M142+N142)*(M145/N64)</f>
        <v>0</v>
      </c>
      <c r="O145" s="158"/>
      <c r="P145" s="158"/>
      <c r="Q145" s="159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94"/>
      <c r="N146" s="34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3" t="s">
        <v>349</v>
      </c>
      <c r="N147" s="35" t="s">
        <v>350</v>
      </c>
      <c r="O147" s="158"/>
      <c r="P147" s="158"/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250</v>
      </c>
      <c r="B148" s="34">
        <f>B102</f>
        <v>400</v>
      </c>
      <c r="C148" s="34"/>
      <c r="D148" s="34">
        <f>IF(A105="YES",(B40*B105)*B125,0)*0.1</f>
        <v>14.266800000000002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285">
        <v>18000</v>
      </c>
      <c r="N148" s="400">
        <v>0.99</v>
      </c>
      <c r="O148" s="400"/>
      <c r="P148" s="158"/>
      <c r="Q148" s="159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157"/>
      <c r="N150" s="158"/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20</v>
      </c>
      <c r="B151" s="34">
        <f>(A148+B148+D148+A151)*(A143/B64)</f>
        <v>0</v>
      </c>
      <c r="C151" s="34"/>
      <c r="D151" s="34">
        <f>(A148+B148+D148+A151)-B151-A154</f>
        <v>484.26679999999999</v>
      </c>
      <c r="E151" s="90"/>
      <c r="F151" s="55"/>
      <c r="G151" s="387"/>
      <c r="H151" s="389">
        <f>B51</f>
        <v>10000</v>
      </c>
      <c r="I151" s="389"/>
      <c r="J151" s="158"/>
      <c r="K151" s="159"/>
      <c r="L151" s="55"/>
      <c r="M151" s="202" t="s">
        <v>329</v>
      </c>
      <c r="N151" s="158"/>
      <c r="O151" s="158"/>
      <c r="P151" s="203"/>
      <c r="Q151" s="204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36</v>
      </c>
      <c r="H152" s="343">
        <f>H91</f>
        <v>1649.8045062020192</v>
      </c>
      <c r="I152" s="343"/>
      <c r="J152" s="158"/>
      <c r="K152" s="159"/>
      <c r="L152" s="55"/>
      <c r="M152" s="157"/>
      <c r="N152" s="183"/>
      <c r="O152" s="183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387" t="s">
        <v>94</v>
      </c>
      <c r="N153" s="388" t="s">
        <v>95</v>
      </c>
      <c r="O153" s="38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387"/>
      <c r="N154" s="389">
        <f>B51</f>
        <v>10000</v>
      </c>
      <c r="O154" s="389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185">
        <f>A52</f>
        <v>36</v>
      </c>
      <c r="N155" s="343">
        <f>N91</f>
        <v>1368.2508480762267</v>
      </c>
      <c r="O155" s="343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157"/>
      <c r="N157" s="158"/>
      <c r="O157" s="158"/>
      <c r="P157" s="158"/>
      <c r="Q157" s="159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157"/>
      <c r="N158" s="158"/>
      <c r="O158" s="158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157"/>
      <c r="N159" s="158"/>
      <c r="O159" s="15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10000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157"/>
      <c r="N160" s="158"/>
      <c r="O160" s="158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36</v>
      </c>
      <c r="B161" s="343">
        <f>B91</f>
        <v>1616.2894498429041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157"/>
      <c r="N161" s="158"/>
      <c r="O161" s="158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206"/>
      <c r="N162" s="207"/>
      <c r="O162" s="207"/>
      <c r="P162" s="207"/>
      <c r="Q162" s="208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157"/>
      <c r="B165" s="158"/>
      <c r="C165" s="158"/>
      <c r="D165" s="158"/>
      <c r="E165" s="159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206"/>
      <c r="B166" s="207"/>
      <c r="C166" s="207"/>
      <c r="D166" s="207"/>
      <c r="E166" s="208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397" t="s">
        <v>299</v>
      </c>
      <c r="B171" s="397"/>
      <c r="C171" s="397"/>
      <c r="D171" s="397"/>
      <c r="E171" s="397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30" t="s">
        <v>137</v>
      </c>
      <c r="B173" s="231" t="s">
        <v>52</v>
      </c>
      <c r="C173" s="232"/>
      <c r="D173" s="231" t="s">
        <v>95</v>
      </c>
      <c r="E173" s="233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34" t="s">
        <v>292</v>
      </c>
      <c r="B174" s="235">
        <f>A161</f>
        <v>36</v>
      </c>
      <c r="C174" s="236"/>
      <c r="D174" s="235">
        <f>D125</f>
        <v>10000</v>
      </c>
      <c r="E174" s="233"/>
      <c r="F174" s="55"/>
      <c r="G174" s="273" t="s">
        <v>379</v>
      </c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230"/>
      <c r="B175" s="231"/>
      <c r="C175" s="231"/>
      <c r="D175" s="231"/>
      <c r="E175" s="233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230" t="s">
        <v>130</v>
      </c>
      <c r="B176" s="231" t="s">
        <v>300</v>
      </c>
      <c r="C176" s="232"/>
      <c r="D176" s="231" t="s">
        <v>301</v>
      </c>
      <c r="E176" s="233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234">
        <f>B90</f>
        <v>1591.8320784143327</v>
      </c>
      <c r="B177" s="232">
        <f>IF(A105="YES",B89,0)</f>
        <v>24.457371428571431</v>
      </c>
      <c r="C177" s="236"/>
      <c r="D177" s="232">
        <f>B91</f>
        <v>1616.2894498429041</v>
      </c>
      <c r="E177" s="233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157"/>
      <c r="B178" s="158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240" t="s">
        <v>36</v>
      </c>
      <c r="B179" s="241" t="s">
        <v>305</v>
      </c>
      <c r="C179" s="171"/>
      <c r="D179" s="241" t="s">
        <v>306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244" t="str">
        <f>B99</f>
        <v xml:space="preserve"> Spread rentals initial payment </v>
      </c>
      <c r="B180" s="34">
        <f>B90*B57</f>
        <v>1591.8320784143327</v>
      </c>
      <c r="C180" s="158"/>
      <c r="D180" s="34">
        <f>IF(A105="YES",B89*B57,0)</f>
        <v>24.457371428571431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93" t="s">
        <v>310</v>
      </c>
      <c r="B182" s="35" t="s">
        <v>311</v>
      </c>
      <c r="C182" s="163"/>
      <c r="D182" s="179" t="s">
        <v>218</v>
      </c>
      <c r="E182" s="159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94">
        <f>B91*B57</f>
        <v>1616.2894498429041</v>
      </c>
      <c r="B183" s="34">
        <f>E114</f>
        <v>0</v>
      </c>
      <c r="C183" s="158"/>
      <c r="D183" s="245">
        <f>B58</f>
        <v>35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94"/>
      <c r="B184" s="246"/>
      <c r="C184" s="158"/>
      <c r="D184" s="158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3" t="s">
        <v>130</v>
      </c>
      <c r="B185" s="247" t="s">
        <v>300</v>
      </c>
      <c r="C185" s="158"/>
      <c r="D185" s="158" t="s">
        <v>301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f>B90</f>
        <v>1591.8320784143327</v>
      </c>
      <c r="B186" s="34">
        <f>IF(A105="YES",B89,0)</f>
        <v>24.457371428571431</v>
      </c>
      <c r="C186" s="158"/>
      <c r="D186" s="34">
        <f>B91</f>
        <v>1616.2894498429041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157"/>
      <c r="B187" s="158"/>
      <c r="C187" s="158"/>
      <c r="D187" s="158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48" t="s">
        <v>80</v>
      </c>
      <c r="B188" s="249" t="s">
        <v>318</v>
      </c>
      <c r="C188" s="34"/>
      <c r="D188" s="249" t="s">
        <v>85</v>
      </c>
      <c r="E188" s="90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0">
        <f>(G18*0.000006)*100</f>
        <v>41.445</v>
      </c>
      <c r="B189" s="251">
        <f>IF(A105="YES",G18*0.000002,0)*100</f>
        <v>13.815</v>
      </c>
      <c r="C189" s="252"/>
      <c r="D189" s="251">
        <f>A189+B189</f>
        <v>55.26</v>
      </c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253"/>
      <c r="B190" s="254"/>
      <c r="C190" s="158"/>
      <c r="D190" s="254"/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248" t="s">
        <v>322</v>
      </c>
      <c r="B191" s="249" t="s">
        <v>66</v>
      </c>
      <c r="C191" s="34"/>
      <c r="D191" s="249" t="s">
        <v>288</v>
      </c>
      <c r="E191" s="159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94">
        <v>0</v>
      </c>
      <c r="B192" s="34">
        <f>E118</f>
        <v>0</v>
      </c>
      <c r="C192" s="158"/>
      <c r="D192" s="119">
        <f>B102</f>
        <v>400</v>
      </c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94"/>
      <c r="B193" s="34"/>
      <c r="C193" s="158"/>
      <c r="D193" s="34"/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255" t="s">
        <v>325</v>
      </c>
      <c r="B194" s="256"/>
      <c r="C194" s="257"/>
      <c r="D194" s="256"/>
      <c r="E194" s="258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253"/>
      <c r="B195" s="254"/>
      <c r="C195" s="158"/>
      <c r="D195" s="254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326</v>
      </c>
      <c r="B196" s="158" t="s">
        <v>327</v>
      </c>
      <c r="C196" s="158"/>
      <c r="D196" s="158" t="s">
        <v>328</v>
      </c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B67</f>
        <v>250</v>
      </c>
      <c r="B197" s="34">
        <f>B102</f>
        <v>400</v>
      </c>
      <c r="C197" s="34"/>
      <c r="D197" s="34">
        <f>IF(A105="YES",(B40*B105)*B125,0)*0.1</f>
        <v>14.266800000000002</v>
      </c>
      <c r="E197" s="90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157"/>
      <c r="B198" s="158"/>
      <c r="C198" s="158"/>
      <c r="D198" s="158"/>
      <c r="E198" s="159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157" t="s">
        <v>330</v>
      </c>
      <c r="B199" s="158" t="s">
        <v>324</v>
      </c>
      <c r="C199" s="158"/>
      <c r="D199" s="158" t="s">
        <v>321</v>
      </c>
      <c r="E199" s="159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94">
        <f>A151</f>
        <v>20</v>
      </c>
      <c r="B200" s="34">
        <f>(A148+B148+D148+A151)*(A143/B64)</f>
        <v>0</v>
      </c>
      <c r="C200" s="34"/>
      <c r="D200" s="34">
        <f>D151</f>
        <v>484.26679999999999</v>
      </c>
      <c r="E200" s="90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157"/>
      <c r="B201" s="158"/>
      <c r="C201" s="158"/>
      <c r="D201" s="158"/>
      <c r="E201" s="159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 t="s">
        <v>331</v>
      </c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94">
        <f>D102</f>
        <v>200</v>
      </c>
      <c r="B203" s="34"/>
      <c r="C203" s="158"/>
      <c r="D203" s="158"/>
      <c r="E203" s="159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06"/>
      <c r="B204" s="207"/>
      <c r="C204" s="207"/>
      <c r="D204" s="207"/>
      <c r="E204" s="208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397" t="s">
        <v>224</v>
      </c>
      <c r="B207" s="397"/>
      <c r="C207" s="397"/>
      <c r="D207" s="397"/>
      <c r="E207" s="397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158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230" t="s">
        <v>225</v>
      </c>
      <c r="B209" s="260">
        <f>H35</f>
        <v>9.5000000000000001E-2</v>
      </c>
      <c r="C209" s="232" t="s">
        <v>227</v>
      </c>
      <c r="D209" s="261">
        <f>D64</f>
        <v>7252.875</v>
      </c>
      <c r="E209" s="233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34"/>
      <c r="B210" s="235"/>
      <c r="C210" s="236"/>
      <c r="D210" s="235"/>
      <c r="E210" s="233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230" t="s">
        <v>228</v>
      </c>
      <c r="B211" s="232">
        <f>B219</f>
        <v>250</v>
      </c>
      <c r="C211" s="231" t="s">
        <v>229</v>
      </c>
      <c r="D211" s="261">
        <f>B225+E221+B221+B223</f>
        <v>402.66800000000001</v>
      </c>
      <c r="E211" s="233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230"/>
      <c r="B212" s="262"/>
      <c r="C212" s="232"/>
      <c r="D212" s="231"/>
      <c r="E212" s="233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234" t="s">
        <v>230</v>
      </c>
      <c r="B213" s="232">
        <f>E223</f>
        <v>7405.5429999999997</v>
      </c>
      <c r="C213" s="236"/>
      <c r="D213" s="232"/>
      <c r="E213" s="233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157"/>
      <c r="B214" s="247"/>
      <c r="C214" s="158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169" t="s">
        <v>225</v>
      </c>
      <c r="B215" s="263">
        <v>6.5000000000000002E-2</v>
      </c>
      <c r="C215" s="171"/>
      <c r="D215" s="241"/>
      <c r="E215" s="159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244"/>
      <c r="B216" s="35"/>
      <c r="C216" s="158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227</v>
      </c>
      <c r="B217" s="89">
        <f>D64</f>
        <v>7252.875</v>
      </c>
      <c r="C217" s="178" t="s">
        <v>233</v>
      </c>
      <c r="D217" s="158"/>
      <c r="E217" s="214">
        <f>B66</f>
        <v>0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138"/>
      <c r="B218" s="35"/>
      <c r="C218" s="163"/>
      <c r="D218" s="179"/>
      <c r="E218" s="159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94" t="s">
        <v>233</v>
      </c>
      <c r="B219" s="89">
        <f>B67</f>
        <v>250</v>
      </c>
      <c r="C219" s="163" t="s">
        <v>332</v>
      </c>
      <c r="D219" s="245"/>
      <c r="E219" s="72">
        <v>1E-3</v>
      </c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94"/>
      <c r="B220" s="247"/>
      <c r="C220" s="163"/>
      <c r="D220" s="158"/>
      <c r="E220" s="159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94" t="s">
        <v>332</v>
      </c>
      <c r="B221" s="179">
        <f>(B77-(B77*(E219*100)))*0.1</f>
        <v>40</v>
      </c>
      <c r="C221" s="163" t="s">
        <v>235</v>
      </c>
      <c r="D221" s="158"/>
      <c r="E221" s="29">
        <f>A200</f>
        <v>20</v>
      </c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94"/>
      <c r="B222" s="35"/>
      <c r="C222" s="163"/>
      <c r="D222" s="3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162" t="s">
        <v>333</v>
      </c>
      <c r="B223" s="179">
        <f>B78-(B78*(E219*100))</f>
        <v>200</v>
      </c>
      <c r="C223" s="163" t="s">
        <v>230</v>
      </c>
      <c r="D223" s="158"/>
      <c r="E223" s="29">
        <f>(B217-B211+D211)</f>
        <v>7405.5429999999997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64"/>
      <c r="B224" s="249"/>
      <c r="C224" s="34"/>
      <c r="D224" s="249"/>
      <c r="E224" s="127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64" t="s">
        <v>334</v>
      </c>
      <c r="B225" s="249">
        <f>D197/0.1</f>
        <v>142.66800000000001</v>
      </c>
      <c r="C225" s="34"/>
      <c r="D225" s="249"/>
      <c r="E225" s="127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64"/>
      <c r="B226" s="249"/>
      <c r="C226" s="34"/>
      <c r="D226" s="249"/>
      <c r="E226" s="127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customFormat="1" ht="18.75" customHeight="1">
      <c r="A227" s="255" t="s">
        <v>335</v>
      </c>
      <c r="B227" s="265"/>
      <c r="C227" s="257"/>
      <c r="D227" s="256"/>
      <c r="E227" s="258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253"/>
      <c r="B228" s="266"/>
      <c r="C228" s="158"/>
      <c r="D228" s="254"/>
      <c r="E228" s="159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253" t="s">
        <v>237</v>
      </c>
      <c r="B229" s="89">
        <f>B71</f>
        <v>160</v>
      </c>
      <c r="C229" s="163" t="s">
        <v>238</v>
      </c>
      <c r="D229" s="254"/>
      <c r="E229" s="118">
        <f>B72</f>
        <v>4.5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253"/>
      <c r="B230" s="266"/>
      <c r="C230" s="163" t="s">
        <v>239</v>
      </c>
      <c r="D230" s="254"/>
      <c r="E230" s="29">
        <f>D73</f>
        <v>322</v>
      </c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253" t="s">
        <v>240</v>
      </c>
      <c r="B231" s="267">
        <f>B68</f>
        <v>7.4999999999999997E-3</v>
      </c>
      <c r="C231" s="163" t="s">
        <v>241</v>
      </c>
      <c r="D231" s="254"/>
      <c r="E231" s="214">
        <f>B69</f>
        <v>0.12</v>
      </c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253"/>
      <c r="B232" s="266"/>
      <c r="C232" s="163" t="s">
        <v>242</v>
      </c>
      <c r="D232" s="254"/>
      <c r="E232" s="29">
        <f>B86</f>
        <v>472.19863105381393</v>
      </c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253" t="s">
        <v>243</v>
      </c>
      <c r="B233" s="89">
        <f>B79</f>
        <v>300</v>
      </c>
      <c r="C233" s="268" t="s">
        <v>336</v>
      </c>
      <c r="D233" s="269"/>
      <c r="E233" s="118">
        <f>B74</f>
        <v>180</v>
      </c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62"/>
      <c r="B234" s="247"/>
      <c r="C234" s="268"/>
      <c r="D234" s="270"/>
      <c r="E234" s="271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 t="s">
        <v>244</v>
      </c>
      <c r="B235" s="89">
        <f>B80</f>
        <v>100</v>
      </c>
      <c r="C235" s="272" t="s">
        <v>337</v>
      </c>
      <c r="D235" s="272"/>
      <c r="E235" s="118">
        <f>B75</f>
        <v>370</v>
      </c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157"/>
      <c r="B236" s="158"/>
      <c r="C236" s="158"/>
      <c r="D236" s="158"/>
      <c r="E236" s="159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157"/>
      <c r="B237" s="158"/>
      <c r="C237" s="158"/>
      <c r="D237" s="158"/>
      <c r="E237" s="159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94"/>
      <c r="B238" s="34"/>
      <c r="C238" s="34"/>
      <c r="D238" s="34"/>
      <c r="E238" s="90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157"/>
      <c r="B239" s="158"/>
      <c r="C239" s="158"/>
      <c r="D239" s="158"/>
      <c r="E239" s="159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157"/>
      <c r="B240" s="158"/>
      <c r="C240" s="158"/>
      <c r="D240" s="158"/>
      <c r="E240" s="159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94"/>
      <c r="B241" s="34"/>
      <c r="C241" s="158"/>
      <c r="D241" s="158"/>
      <c r="E241" s="159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206"/>
      <c r="B242" s="207"/>
      <c r="C242" s="207"/>
      <c r="D242" s="207"/>
      <c r="E242" s="208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/>
    <row r="359" spans="1:26" ht="15.75" customHeight="1"/>
    <row r="360" spans="1:26" ht="15.75" customHeight="1"/>
    <row r="361" spans="1:26" ht="15.75" customHeight="1"/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3">
    <mergeCell ref="A207:E207"/>
    <mergeCell ref="A159:A160"/>
    <mergeCell ref="B159:C159"/>
    <mergeCell ref="B160:C160"/>
    <mergeCell ref="B161:C161"/>
    <mergeCell ref="A171:E171"/>
    <mergeCell ref="H152:I152"/>
    <mergeCell ref="M153:M154"/>
    <mergeCell ref="N153:O153"/>
    <mergeCell ref="N154:O154"/>
    <mergeCell ref="N155:O155"/>
    <mergeCell ref="H124:I124"/>
    <mergeCell ref="N124:O124"/>
    <mergeCell ref="N148:O148"/>
    <mergeCell ref="G150:G151"/>
    <mergeCell ref="H150:I150"/>
    <mergeCell ref="H151:I151"/>
    <mergeCell ref="P105:Q105"/>
    <mergeCell ref="A108:E108"/>
    <mergeCell ref="G108:K108"/>
    <mergeCell ref="M108:Q108"/>
    <mergeCell ref="A122:E122"/>
    <mergeCell ref="G122:K122"/>
    <mergeCell ref="M122:Q122"/>
    <mergeCell ref="B105:C105"/>
    <mergeCell ref="D105:E105"/>
    <mergeCell ref="H105:I105"/>
    <mergeCell ref="J105:K105"/>
    <mergeCell ref="N105:O105"/>
    <mergeCell ref="N99:O99"/>
    <mergeCell ref="P99:Q99"/>
    <mergeCell ref="B102:C102"/>
    <mergeCell ref="D102:E102"/>
    <mergeCell ref="H102:I102"/>
    <mergeCell ref="J102:K102"/>
    <mergeCell ref="N102:O102"/>
    <mergeCell ref="P102:Q102"/>
    <mergeCell ref="B97:C97"/>
    <mergeCell ref="B99:C99"/>
    <mergeCell ref="D99:E99"/>
    <mergeCell ref="H99:I99"/>
    <mergeCell ref="J99:K99"/>
    <mergeCell ref="A94:E94"/>
    <mergeCell ref="G94:K94"/>
    <mergeCell ref="M94:Q94"/>
    <mergeCell ref="A96:E96"/>
    <mergeCell ref="G96:K96"/>
    <mergeCell ref="M96:Q96"/>
    <mergeCell ref="C45:D45"/>
    <mergeCell ref="A50:A51"/>
    <mergeCell ref="B50:C50"/>
    <mergeCell ref="B51:C51"/>
    <mergeCell ref="B52:C52"/>
    <mergeCell ref="A28:E28"/>
    <mergeCell ref="B30:C30"/>
    <mergeCell ref="G38:H38"/>
    <mergeCell ref="B40:C40"/>
    <mergeCell ref="C44:D44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3">
    <dataValidation type="list" allowBlank="1" showErrorMessage="1" sqref="A18:A20 H99 N99 G105 M105 O107 H110 N110" xr:uid="{00000000-0002-0000-4400-000000000000}">
      <formula1>#REF!</formula1>
      <formula2>0</formula2>
    </dataValidation>
    <dataValidation type="list" allowBlank="1" showErrorMessage="1" sqref="B26 A105 B110" xr:uid="{00000000-0002-0000-4400-000001000000}">
      <formula1>$I$3:$I$4</formula1>
      <formula2>0</formula2>
    </dataValidation>
    <dataValidation type="list" allowBlank="1" showErrorMessage="1" sqref="B99" xr:uid="{00000000-0002-0000-4400-000002000000}">
      <formula1>$Y$97:$Y$105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Z1000"/>
  <sheetViews>
    <sheetView topLeftCell="A94" zoomScale="110" zoomScaleNormal="110" workbookViewId="0">
      <selection activeCell="B97" sqref="B97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87">
        <v>46854.17</v>
      </c>
      <c r="C3" s="187">
        <v>0</v>
      </c>
      <c r="D3" s="187">
        <v>833.33</v>
      </c>
      <c r="E3" s="289">
        <v>0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56">
        <v>0</v>
      </c>
      <c r="C4" s="56">
        <v>0</v>
      </c>
      <c r="D4" s="56">
        <v>0</v>
      </c>
      <c r="E4" s="214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>
        <v>0</v>
      </c>
      <c r="C5" s="187">
        <v>0</v>
      </c>
      <c r="D5" s="187">
        <v>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0</v>
      </c>
      <c r="C6" s="28">
        <f>(C3*C4/100)+C5</f>
        <v>0</v>
      </c>
      <c r="D6" s="28">
        <f>(D3*D4/100)+D5</f>
        <v>0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46854.17</v>
      </c>
      <c r="C7" s="28">
        <f>C3-C6</f>
        <v>0</v>
      </c>
      <c r="D7" s="28">
        <f>D3-D6</f>
        <v>833.33</v>
      </c>
      <c r="E7" s="29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/>
      <c r="C9" s="408"/>
      <c r="D9" s="408"/>
      <c r="E9" s="320">
        <f>B7+C7+D7+E3</f>
        <v>47687.5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>
        <v>550</v>
      </c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/>
      <c r="C11" s="409"/>
      <c r="D11" s="409"/>
      <c r="E11" s="29">
        <f>(E9+E10)*20%</f>
        <v>9647.5</v>
      </c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/>
      <c r="C13" s="409"/>
      <c r="D13" s="409"/>
      <c r="E13" s="289">
        <v>585</v>
      </c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>
        <v>55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291">
        <f>(E9+E10+E13+E14+E11)-E12</f>
        <v>58525</v>
      </c>
      <c r="F15" s="55"/>
      <c r="G15" s="17">
        <f>E15</f>
        <v>58525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>
        <v>0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(B3+C3+D3+E3+E10)*1.2</f>
        <v>57885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>
        <v>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58525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8.7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IF(A32=Y103,1,IF(A32=Y104,1,IF(A32=Y105,3,IF(A32=Y106,6,IF(A32=Y107,9,IF(A32=Y108,12,IF(A32=Y109,3,IF(A32=Y110,6,IF(A32=Y111,9,0)))))))))</f>
        <v>0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IF(A32=Y103,H29-H37,IF(A32=Y104,H29-H37,IF(A32=Y105,H29-1,IF(A32=Y106,H29-1,IF(A32=Y107,H29-1,IF(A32=Y108,H29-1,IF(A32=Y109,H29-H37,IF(A32=Y110,H29-H37,IF(A32=Y111,H29-H37,0)))))))))</f>
        <v>0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>
        <f>IF(A32=Z103,D38,IF(A32=Z104,D38,IF(A32=Z105,(D38*3),IF(A32=Z106,(D38*6),IF(A32=Z107,(D38*9),IF(A32=Z108,(D38*12),IF(A32=Z109,D38,IF(A32=Z110,D38,IF(A32=Z111,D38,0)))))))))</f>
        <v>500</v>
      </c>
      <c r="C32" s="381"/>
      <c r="D32" s="381">
        <f>IF(A32=Z103,A41,IF(A32=Z104,A41,IF(A32=Z105,(A41*3),IF(A32=Z106,(A41*6),IF(A32=Z107,(A41*9),IF(A32=Z108,(A41*12),IF(A32=Z109,A41,IF(A32=Z110,A41,IF(A32=Z111,A41,0)))))))))</f>
        <v>50</v>
      </c>
      <c r="E32" s="381"/>
      <c r="F32" s="55"/>
      <c r="G32" s="168" t="s">
        <v>253</v>
      </c>
      <c r="H32" s="166">
        <f>A41</f>
        <v>50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 t="s">
        <v>73</v>
      </c>
      <c r="H33" s="166">
        <f>D41</f>
        <v>6000</v>
      </c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>
        <f>A44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550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31</v>
      </c>
      <c r="C38" s="378"/>
      <c r="D38" s="346">
        <v>500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260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>
        <v>50</v>
      </c>
      <c r="B41" s="383">
        <f>IF(B38="YES",D38+A41,D38)</f>
        <v>550</v>
      </c>
      <c r="C41" s="383"/>
      <c r="D41" s="346">
        <v>6000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151</v>
      </c>
      <c r="B43" s="178" t="s">
        <v>261</v>
      </c>
      <c r="C43" s="171"/>
      <c r="D43" s="178" t="s">
        <v>262</v>
      </c>
      <c r="E43" s="181"/>
      <c r="F43" s="55"/>
      <c r="G43" s="55" t="s">
        <v>263</v>
      </c>
      <c r="H43" s="5">
        <f>((((D38*(B35-1))+B32)/B35)+(A44/B35))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>
        <v>12</v>
      </c>
      <c r="B44" s="346">
        <v>1</v>
      </c>
      <c r="C44" s="346"/>
      <c r="D44" s="346">
        <v>1</v>
      </c>
      <c r="E44" s="346"/>
      <c r="F44" s="55"/>
      <c r="G44" s="55" t="s">
        <v>264</v>
      </c>
      <c r="H44" s="5">
        <f>H32</f>
        <v>50</v>
      </c>
      <c r="I44" s="276">
        <f>((A41*(B35-1))+D32)/B35</f>
        <v>50</v>
      </c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551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177" t="s">
        <v>266</v>
      </c>
      <c r="B46" s="178" t="s">
        <v>267</v>
      </c>
      <c r="C46" s="171"/>
      <c r="D46" s="178" t="s">
        <v>268</v>
      </c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9">
        <v>0</v>
      </c>
      <c r="B47" s="401">
        <v>0.01</v>
      </c>
      <c r="C47" s="401"/>
      <c r="D47" s="346">
        <v>1</v>
      </c>
      <c r="E47" s="346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176"/>
      <c r="B48" s="171"/>
      <c r="C48" s="171"/>
      <c r="D48" s="171"/>
      <c r="E48" s="181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76" t="s">
        <v>384</v>
      </c>
      <c r="B49" s="171"/>
      <c r="C49" s="171"/>
      <c r="D49" s="171"/>
      <c r="E49" s="181"/>
      <c r="F49" s="55"/>
      <c r="G49" s="55"/>
      <c r="H49" s="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164" t="s">
        <v>32</v>
      </c>
      <c r="B50" s="171"/>
      <c r="C50" s="171"/>
      <c r="D50" s="171"/>
      <c r="E50" s="181"/>
      <c r="F50" s="55"/>
      <c r="G50" s="55"/>
      <c r="H50" s="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176"/>
      <c r="B51" s="171"/>
      <c r="C51" s="171"/>
      <c r="D51" s="171"/>
      <c r="E51" s="181"/>
      <c r="F51" s="55"/>
      <c r="G51" s="55"/>
      <c r="H51" s="5"/>
      <c r="I51" s="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201" t="s">
        <v>280</v>
      </c>
      <c r="B52" s="171"/>
      <c r="C52" s="171"/>
      <c r="D52" s="171"/>
      <c r="E52" s="181"/>
      <c r="F52" s="55"/>
      <c r="G52" s="55"/>
      <c r="H52" s="5"/>
      <c r="I52" s="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76"/>
      <c r="B53" s="171"/>
      <c r="C53" s="171"/>
      <c r="D53" s="171"/>
      <c r="E53" s="181"/>
      <c r="F53" s="55"/>
      <c r="G53" s="55"/>
      <c r="H53" s="5"/>
      <c r="I53" s="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2" t="s">
        <v>93</v>
      </c>
      <c r="B54" s="158"/>
      <c r="C54" s="158"/>
      <c r="D54" s="203"/>
      <c r="E54" s="204"/>
      <c r="F54" s="55"/>
      <c r="G54" s="55"/>
      <c r="H54" s="5"/>
      <c r="I54" s="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7"/>
      <c r="B55" s="183"/>
      <c r="C55" s="183"/>
      <c r="D55" s="158"/>
      <c r="E55" s="159"/>
      <c r="F55" s="55"/>
      <c r="G55" s="55"/>
      <c r="H55" s="205"/>
      <c r="I55" s="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387" t="s">
        <v>94</v>
      </c>
      <c r="B56" s="388" t="s">
        <v>95</v>
      </c>
      <c r="C56" s="388"/>
      <c r="D56" s="158"/>
      <c r="E56" s="159"/>
      <c r="F56" s="55"/>
      <c r="G56" s="55"/>
      <c r="H56" s="55"/>
      <c r="I56" s="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387"/>
      <c r="B57" s="389">
        <f>H30</f>
        <v>5000</v>
      </c>
      <c r="C57" s="389"/>
      <c r="D57" s="158"/>
      <c r="E57" s="159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85">
        <f>H29</f>
        <v>12</v>
      </c>
      <c r="B58" s="343">
        <f>H45</f>
        <v>551</v>
      </c>
      <c r="C58" s="343"/>
      <c r="D58" s="158"/>
      <c r="E58" s="159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206"/>
      <c r="B60" s="207"/>
      <c r="C60" s="207"/>
      <c r="D60" s="207"/>
      <c r="E60" s="208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8"/>
      <c r="B61" s="158"/>
      <c r="C61" s="158"/>
      <c r="D61" s="158"/>
      <c r="E61" s="158"/>
      <c r="F61" s="55"/>
      <c r="G61" s="158"/>
      <c r="H61" s="158"/>
      <c r="I61" s="158"/>
      <c r="J61" s="158"/>
      <c r="K61" s="158"/>
      <c r="L61" s="55"/>
      <c r="M61" s="158"/>
      <c r="N61" s="158"/>
      <c r="O61" s="158"/>
      <c r="P61" s="158"/>
      <c r="Q61" s="158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09"/>
      <c r="B62" s="210"/>
      <c r="C62" s="210"/>
      <c r="D62" s="210"/>
      <c r="E62" s="211"/>
      <c r="F62" s="55"/>
      <c r="G62" s="209"/>
      <c r="H62" s="210"/>
      <c r="I62" s="210"/>
      <c r="J62" s="210"/>
      <c r="K62" s="211"/>
      <c r="L62" s="55"/>
      <c r="M62" s="209"/>
      <c r="N62" s="210"/>
      <c r="O62" s="210"/>
      <c r="P62" s="210"/>
      <c r="Q62" s="211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96</v>
      </c>
      <c r="B63" s="158">
        <f>IF(B105=Z103,1,IF(B105=Z104,1,IF(B105=Z105,3,IF(B105=Z106,6,IF(B105=Z107,9,IF(B105=Z108,12,IF(B105=Z109,3,IF(B105=Z110,6,IF(B105=Z111,9,0)))))))))</f>
        <v>12</v>
      </c>
      <c r="C63" s="158"/>
      <c r="D63" s="158"/>
      <c r="E63" s="159"/>
      <c r="F63" s="55"/>
      <c r="G63" s="157" t="s">
        <v>96</v>
      </c>
      <c r="H63" s="158">
        <f>IF(H105=Y103,1,IF(H105=Y104,1,IF(H105=Y105,3,IF(H105=Y106,6,IF(H105=Y107,9,IF(H105=Y108,12,IF(H105=Y109,3,IF(H105=Y110,6,IF(H105=Y111,9,0)))))))))</f>
        <v>0</v>
      </c>
      <c r="I63" s="158"/>
      <c r="J63" s="158"/>
      <c r="K63" s="159"/>
      <c r="L63" s="55"/>
      <c r="M63" s="157" t="s">
        <v>96</v>
      </c>
      <c r="N63" s="158">
        <f>IF(N105=Y103,1,IF(N105=Y104,1,IF(N105=Y105,3,IF(N105=Y106,6,IF(N105=Y107,9,IF(N105=Y108,12,IF(N105=Y109,3,IF(N105=Y110,6,IF(N105=Y111,9,0)))))))))</f>
        <v>0</v>
      </c>
      <c r="O63" s="158"/>
      <c r="P63" s="158"/>
      <c r="Q63" s="159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157" t="s">
        <v>97</v>
      </c>
      <c r="B64" s="158">
        <f>IF(B105=Z103,H29-B63,IF(B105=Z104,H29-B63,IF(B105=Z105,H29-1,IF(B105=Z106,H29-1,IF(B105=Z107,H29-1,IF(B105=Z108,H29-1,IF(B105=Z109,H29-B63,IF(B105=Z110,H29-B63,IF(B105=Z111,H29-B63,0)))))))))</f>
        <v>11</v>
      </c>
      <c r="C64" s="158"/>
      <c r="D64" s="158"/>
      <c r="E64" s="159"/>
      <c r="F64" s="55"/>
      <c r="G64" s="157" t="s">
        <v>97</v>
      </c>
      <c r="H64" s="158">
        <f>IF(H105=Y103,H29-H63,IF(H105=Y104,H29-H63,IF(H105=Y105,H29-1,IF(H105=Y106,H29-1,IF(H105=Y107,H29-1,IF(H105=Y108,H29-1,IF(H105=Y109,H29-H63,IF(H105=Y110,H29-H63,IF(H105=Y111,H29-H63,0)))))))))</f>
        <v>0</v>
      </c>
      <c r="I64" s="158"/>
      <c r="J64" s="158"/>
      <c r="K64" s="159"/>
      <c r="L64" s="55"/>
      <c r="M64" s="157" t="s">
        <v>97</v>
      </c>
      <c r="N64" s="158">
        <f>IF(N105=Y103,H29-N63,IF(N105=Y104,H29-N63,IF(N105=Y105,H29-1,IF(N105=Y106,H29-1,IF(N105=Y107,H29-1,IF(N105=Y108,H29-1,IF(N105=Y109,H29-N63,IF(N105=Y110,H29-N63,IF(N105=Y111,H29-N63,0)))))))))</f>
        <v>0</v>
      </c>
      <c r="O64" s="158"/>
      <c r="P64" s="158"/>
      <c r="Q64" s="159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157"/>
      <c r="B65" s="158"/>
      <c r="C65" s="158"/>
      <c r="D65" s="158"/>
      <c r="E65" s="159"/>
      <c r="F65" s="55"/>
      <c r="G65" s="157"/>
      <c r="H65" s="158"/>
      <c r="I65" s="158"/>
      <c r="J65" s="158"/>
      <c r="K65" s="159"/>
      <c r="L65" s="55"/>
      <c r="M65" s="157"/>
      <c r="N65" s="158"/>
      <c r="O65" s="158"/>
      <c r="P65" s="158"/>
      <c r="Q65" s="159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/>
      <c r="B66" s="158"/>
      <c r="C66" s="158"/>
      <c r="D66" s="158"/>
      <c r="E66" s="159"/>
      <c r="F66" s="55"/>
      <c r="G66" s="157"/>
      <c r="H66" s="158"/>
      <c r="I66" s="158"/>
      <c r="J66" s="158"/>
      <c r="K66" s="159"/>
      <c r="L66" s="55"/>
      <c r="M66" s="157"/>
      <c r="N66" s="158"/>
      <c r="O66" s="158"/>
      <c r="P66" s="158"/>
      <c r="Q66" s="159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157" t="s">
        <v>27</v>
      </c>
      <c r="B67" s="28">
        <f>G18</f>
        <v>57885</v>
      </c>
      <c r="C67" s="158"/>
      <c r="D67" s="158"/>
      <c r="E67" s="159"/>
      <c r="F67" s="55"/>
      <c r="G67" s="157" t="s">
        <v>27</v>
      </c>
      <c r="H67" s="28">
        <f>G18</f>
        <v>57885</v>
      </c>
      <c r="I67" s="158"/>
      <c r="J67" s="158"/>
      <c r="K67" s="159"/>
      <c r="L67" s="55"/>
      <c r="M67" s="157" t="s">
        <v>27</v>
      </c>
      <c r="N67" s="28">
        <f>G18</f>
        <v>57885</v>
      </c>
      <c r="O67" s="158"/>
      <c r="P67" s="158"/>
      <c r="Q67" s="159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283</v>
      </c>
      <c r="B68" s="213">
        <v>7.0000000000000007E-2</v>
      </c>
      <c r="C68" s="158"/>
      <c r="D68" s="158"/>
      <c r="E68" s="159"/>
      <c r="F68" s="55"/>
      <c r="G68" s="212" t="s">
        <v>283</v>
      </c>
      <c r="H68" s="213">
        <v>7.0000000000000007E-2</v>
      </c>
      <c r="I68" s="158"/>
      <c r="J68" s="158"/>
      <c r="K68" s="159"/>
      <c r="L68" s="55"/>
      <c r="M68" s="212" t="s">
        <v>283</v>
      </c>
      <c r="N68" s="213">
        <v>7.0000000000000007E-2</v>
      </c>
      <c r="O68" s="158"/>
      <c r="P68" s="158"/>
      <c r="Q68" s="159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157" t="s">
        <v>284</v>
      </c>
      <c r="B69" s="214">
        <f>B68+(B68*0.25*(H29/12-1))</f>
        <v>7.0000000000000007E-2</v>
      </c>
      <c r="C69" s="158"/>
      <c r="D69" s="158"/>
      <c r="E69" s="159"/>
      <c r="F69" s="55"/>
      <c r="G69" s="157" t="s">
        <v>284</v>
      </c>
      <c r="H69" s="214">
        <f>H68+(H68*0.25*(H29/12-1))</f>
        <v>7.0000000000000007E-2</v>
      </c>
      <c r="I69" s="158"/>
      <c r="J69" s="158"/>
      <c r="K69" s="159"/>
      <c r="L69" s="55"/>
      <c r="M69" s="157" t="s">
        <v>284</v>
      </c>
      <c r="N69" s="214">
        <f>N68+(N68*0.25*(H29/12-1))</f>
        <v>7.0000000000000007E-2</v>
      </c>
      <c r="O69" s="158"/>
      <c r="P69" s="158"/>
      <c r="Q69" s="159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102</v>
      </c>
      <c r="B70" s="57">
        <f>B67*B69</f>
        <v>4051.9500000000003</v>
      </c>
      <c r="C70" s="158"/>
      <c r="D70" s="28">
        <f>B70-A151</f>
        <v>4051.9500000000003</v>
      </c>
      <c r="E70" s="159">
        <f>D70/12</f>
        <v>337.66250000000002</v>
      </c>
      <c r="F70" s="55"/>
      <c r="G70" s="206" t="s">
        <v>102</v>
      </c>
      <c r="H70" s="57">
        <f>H67*H69</f>
        <v>4051.9500000000003</v>
      </c>
      <c r="I70" s="158"/>
      <c r="J70" s="28">
        <f>H70-G151</f>
        <v>4051.9500000000003</v>
      </c>
      <c r="K70" s="159"/>
      <c r="L70" s="55"/>
      <c r="M70" s="206" t="s">
        <v>102</v>
      </c>
      <c r="N70" s="57">
        <f>N67*N69</f>
        <v>4051.9500000000003</v>
      </c>
      <c r="O70" s="158"/>
      <c r="P70" s="28">
        <f>N70-M151</f>
        <v>4051.9500000000003</v>
      </c>
      <c r="Q70" s="159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103</v>
      </c>
      <c r="B71" s="213">
        <v>0.01</v>
      </c>
      <c r="C71" s="158"/>
      <c r="D71" s="158"/>
      <c r="E71" s="159"/>
      <c r="F71" s="55"/>
      <c r="G71" s="212" t="s">
        <v>103</v>
      </c>
      <c r="H71" s="213">
        <v>5.0000000000000001E-3</v>
      </c>
      <c r="I71" s="158"/>
      <c r="J71" s="158"/>
      <c r="K71" s="159"/>
      <c r="L71" s="55"/>
      <c r="M71" s="212" t="s">
        <v>103</v>
      </c>
      <c r="N71" s="213">
        <v>5.0000000000000001E-3</v>
      </c>
      <c r="O71" s="158"/>
      <c r="P71" s="158"/>
      <c r="Q71" s="159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157" t="s">
        <v>104</v>
      </c>
      <c r="B72" s="214">
        <f>B71+(B71*0.5*(H29/12-1))</f>
        <v>0.01</v>
      </c>
      <c r="C72" s="158"/>
      <c r="D72" s="158"/>
      <c r="E72" s="159"/>
      <c r="F72" s="55"/>
      <c r="G72" s="157" t="s">
        <v>104</v>
      </c>
      <c r="H72" s="214">
        <f>H71+(H71*0.5*(H29/12-1))</f>
        <v>5.0000000000000001E-3</v>
      </c>
      <c r="I72" s="158"/>
      <c r="J72" s="158"/>
      <c r="K72" s="159"/>
      <c r="L72" s="55"/>
      <c r="M72" s="157" t="s">
        <v>104</v>
      </c>
      <c r="N72" s="214">
        <f>N71+(N71*0.5*(H29/12-1))</f>
        <v>5.0000000000000001E-3</v>
      </c>
      <c r="O72" s="158"/>
      <c r="P72" s="158"/>
      <c r="Q72" s="159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105</v>
      </c>
      <c r="B73" s="57">
        <f>B67*B72</f>
        <v>578.85</v>
      </c>
      <c r="C73" s="158"/>
      <c r="D73" s="28"/>
      <c r="E73" s="159"/>
      <c r="F73" s="55"/>
      <c r="G73" s="206" t="s">
        <v>105</v>
      </c>
      <c r="H73" s="57">
        <f>H67*H72</f>
        <v>289.42500000000001</v>
      </c>
      <c r="I73" s="158"/>
      <c r="J73" s="28"/>
      <c r="K73" s="159"/>
      <c r="L73" s="55"/>
      <c r="M73" s="206" t="s">
        <v>105</v>
      </c>
      <c r="N73" s="57">
        <f>N67*N72</f>
        <v>289.42500000000001</v>
      </c>
      <c r="O73" s="158"/>
      <c r="P73" s="28"/>
      <c r="Q73" s="159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106</v>
      </c>
      <c r="B74" s="213">
        <v>7.4999999999999997E-3</v>
      </c>
      <c r="C74" s="158"/>
      <c r="D74" s="158"/>
      <c r="E74" s="159"/>
      <c r="F74" s="55"/>
      <c r="G74" s="212" t="s">
        <v>106</v>
      </c>
      <c r="H74" s="213">
        <v>7.4999999999999997E-3</v>
      </c>
      <c r="I74" s="158"/>
      <c r="J74" s="158"/>
      <c r="K74" s="159"/>
      <c r="L74" s="55"/>
      <c r="M74" s="212" t="s">
        <v>106</v>
      </c>
      <c r="N74" s="213">
        <v>7.4999999999999997E-3</v>
      </c>
      <c r="O74" s="158"/>
      <c r="P74" s="158"/>
      <c r="Q74" s="159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107</v>
      </c>
      <c r="B75" s="217">
        <v>0.12</v>
      </c>
      <c r="C75" s="158"/>
      <c r="D75" s="158"/>
      <c r="E75" s="159"/>
      <c r="F75" s="55"/>
      <c r="G75" s="216" t="s">
        <v>107</v>
      </c>
      <c r="H75" s="217">
        <v>0.12</v>
      </c>
      <c r="I75" s="158"/>
      <c r="J75" s="158"/>
      <c r="K75" s="159"/>
      <c r="L75" s="55"/>
      <c r="M75" s="216" t="s">
        <v>107</v>
      </c>
      <c r="N75" s="217">
        <v>0.12</v>
      </c>
      <c r="O75" s="158"/>
      <c r="P75" s="158"/>
      <c r="Q75" s="159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108</v>
      </c>
      <c r="B76" s="218">
        <f>B74*(1+B75)</f>
        <v>8.4000000000000012E-3</v>
      </c>
      <c r="C76" s="158"/>
      <c r="D76" s="158"/>
      <c r="E76" s="159"/>
      <c r="F76" s="55"/>
      <c r="G76" s="206" t="s">
        <v>108</v>
      </c>
      <c r="H76" s="218">
        <f>H74*(1+H75)</f>
        <v>8.4000000000000012E-3</v>
      </c>
      <c r="I76" s="158"/>
      <c r="J76" s="158"/>
      <c r="K76" s="159"/>
      <c r="L76" s="55"/>
      <c r="M76" s="206" t="s">
        <v>108</v>
      </c>
      <c r="N76" s="218">
        <f>N74*(1+N75)</f>
        <v>8.4000000000000012E-3</v>
      </c>
      <c r="O76" s="158"/>
      <c r="P76" s="158"/>
      <c r="Q76" s="159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109</v>
      </c>
      <c r="B77" s="74">
        <v>200</v>
      </c>
      <c r="C77" s="158"/>
      <c r="D77" s="158"/>
      <c r="E77" s="159"/>
      <c r="F77" s="55"/>
      <c r="G77" s="212" t="s">
        <v>109</v>
      </c>
      <c r="H77" s="74">
        <v>160</v>
      </c>
      <c r="I77" s="158"/>
      <c r="J77" s="158"/>
      <c r="K77" s="159"/>
      <c r="L77" s="55"/>
      <c r="M77" s="212" t="s">
        <v>109</v>
      </c>
      <c r="N77" s="74">
        <v>160</v>
      </c>
      <c r="O77" s="158"/>
      <c r="P77" s="158"/>
      <c r="Q77" s="159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216" t="s">
        <v>110</v>
      </c>
      <c r="B78" s="65">
        <v>5</v>
      </c>
      <c r="C78" s="158"/>
      <c r="D78" s="158"/>
      <c r="E78" s="159"/>
      <c r="F78" s="55"/>
      <c r="G78" s="216" t="s">
        <v>110</v>
      </c>
      <c r="H78" s="65">
        <v>4.5</v>
      </c>
      <c r="I78" s="158"/>
      <c r="J78" s="158"/>
      <c r="K78" s="159"/>
      <c r="L78" s="55"/>
      <c r="M78" s="216" t="s">
        <v>110</v>
      </c>
      <c r="N78" s="65">
        <v>4.5</v>
      </c>
      <c r="O78" s="158"/>
      <c r="P78" s="158"/>
      <c r="Q78" s="159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06" t="s">
        <v>111</v>
      </c>
      <c r="B79" s="57">
        <f>B78*H29</f>
        <v>60</v>
      </c>
      <c r="C79" s="158"/>
      <c r="D79" s="28">
        <f>B79+B77</f>
        <v>260</v>
      </c>
      <c r="E79" s="274">
        <f>D79+D85+D86</f>
        <v>660</v>
      </c>
      <c r="F79" s="55"/>
      <c r="G79" s="206" t="s">
        <v>111</v>
      </c>
      <c r="H79" s="57">
        <f>H78*H29</f>
        <v>54</v>
      </c>
      <c r="I79" s="158"/>
      <c r="J79" s="28">
        <f>H79+H77</f>
        <v>214</v>
      </c>
      <c r="K79" s="159"/>
      <c r="L79" s="55"/>
      <c r="M79" s="206" t="s">
        <v>111</v>
      </c>
      <c r="N79" s="57">
        <f>N78*H29</f>
        <v>54</v>
      </c>
      <c r="O79" s="158"/>
      <c r="P79" s="28">
        <f>N79+N77</f>
        <v>214</v>
      </c>
      <c r="Q79" s="159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2" t="s">
        <v>285</v>
      </c>
      <c r="B80" s="74">
        <v>0</v>
      </c>
      <c r="C80" s="158"/>
      <c r="D80" s="158"/>
      <c r="E80" s="274">
        <f>E79+D82</f>
        <v>660</v>
      </c>
      <c r="F80" s="55"/>
      <c r="G80" s="212" t="s">
        <v>285</v>
      </c>
      <c r="H80" s="74">
        <v>150</v>
      </c>
      <c r="I80" s="158"/>
      <c r="J80" s="158"/>
      <c r="K80" s="159"/>
      <c r="L80" s="55"/>
      <c r="M80" s="277" t="s">
        <v>285</v>
      </c>
      <c r="N80" s="278">
        <v>0</v>
      </c>
      <c r="O80" s="158"/>
      <c r="P80" s="158"/>
      <c r="Q80" s="159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16" t="s">
        <v>286</v>
      </c>
      <c r="B81" s="65">
        <v>0</v>
      </c>
      <c r="C81" s="158"/>
      <c r="D81" s="158"/>
      <c r="E81" s="159">
        <f>E80/12</f>
        <v>55</v>
      </c>
      <c r="F81" s="55"/>
      <c r="G81" s="216" t="s">
        <v>286</v>
      </c>
      <c r="H81" s="65">
        <f>IF(G18&gt;40000,325,0)</f>
        <v>325</v>
      </c>
      <c r="I81" s="158"/>
      <c r="J81" s="158"/>
      <c r="K81" s="159"/>
      <c r="L81" s="55"/>
      <c r="M81" s="279" t="s">
        <v>286</v>
      </c>
      <c r="N81" s="280">
        <v>0</v>
      </c>
      <c r="O81" s="158"/>
      <c r="P81" s="158"/>
      <c r="Q81" s="159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206" t="s">
        <v>287</v>
      </c>
      <c r="B82" s="57">
        <f>((B80+B81)/12)*(H29-11)</f>
        <v>0</v>
      </c>
      <c r="C82" s="158"/>
      <c r="D82" s="28">
        <f>IF(A50="YES",0,B82)</f>
        <v>0</v>
      </c>
      <c r="E82" s="159"/>
      <c r="F82" s="55"/>
      <c r="G82" s="206" t="s">
        <v>287</v>
      </c>
      <c r="H82" s="57">
        <f>((H80+H81)/12)*(H29-11)</f>
        <v>39.583333333333336</v>
      </c>
      <c r="I82" s="158"/>
      <c r="J82" s="28">
        <f>IF(A50="YES",0,H82)</f>
        <v>39.583333333333336</v>
      </c>
      <c r="K82" s="159"/>
      <c r="L82" s="55"/>
      <c r="M82" s="281" t="s">
        <v>287</v>
      </c>
      <c r="N82" s="282">
        <f>((N80+N81)/12)*(H29-11)</f>
        <v>0</v>
      </c>
      <c r="O82" s="158"/>
      <c r="P82" s="28">
        <f>IF(A50="YES",0,N82)</f>
        <v>0</v>
      </c>
      <c r="Q82" s="159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12" t="s">
        <v>288</v>
      </c>
      <c r="B83" s="74">
        <v>0</v>
      </c>
      <c r="C83" s="158"/>
      <c r="D83" s="28">
        <f>B83</f>
        <v>0</v>
      </c>
      <c r="E83" s="159">
        <f>D83/12</f>
        <v>0</v>
      </c>
      <c r="F83" s="55"/>
      <c r="G83" s="212" t="s">
        <v>288</v>
      </c>
      <c r="H83" s="74">
        <f>H108</f>
        <v>1200</v>
      </c>
      <c r="I83" s="158"/>
      <c r="J83" s="28">
        <f>H83</f>
        <v>1200</v>
      </c>
      <c r="K83" s="159"/>
      <c r="L83" s="55"/>
      <c r="M83" s="212" t="s">
        <v>288</v>
      </c>
      <c r="N83" s="74">
        <f>N108</f>
        <v>1200</v>
      </c>
      <c r="O83" s="158"/>
      <c r="P83" s="28">
        <f>N83</f>
        <v>1200</v>
      </c>
      <c r="Q83" s="159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 t="s">
        <v>344</v>
      </c>
      <c r="B84" s="29">
        <v>0</v>
      </c>
      <c r="C84" s="158"/>
      <c r="D84" s="28">
        <f>B84</f>
        <v>0</v>
      </c>
      <c r="E84" s="159"/>
      <c r="F84" s="55"/>
      <c r="G84" s="157" t="s">
        <v>289</v>
      </c>
      <c r="H84" s="29">
        <f>J108</f>
        <v>1500</v>
      </c>
      <c r="I84" s="158"/>
      <c r="J84" s="28">
        <f>H84</f>
        <v>1500</v>
      </c>
      <c r="K84" s="159"/>
      <c r="L84" s="55"/>
      <c r="M84" s="157" t="s">
        <v>289</v>
      </c>
      <c r="N84" s="29">
        <f>P108</f>
        <v>1500</v>
      </c>
      <c r="O84" s="158"/>
      <c r="P84" s="28">
        <f>N84</f>
        <v>1500</v>
      </c>
      <c r="Q84" s="159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16" t="s">
        <v>112</v>
      </c>
      <c r="B85" s="65">
        <v>200</v>
      </c>
      <c r="C85" s="158"/>
      <c r="D85" s="28">
        <f>B85</f>
        <v>200</v>
      </c>
      <c r="E85" s="159"/>
      <c r="F85" s="55"/>
      <c r="G85" s="216" t="s">
        <v>112</v>
      </c>
      <c r="H85" s="65">
        <v>100</v>
      </c>
      <c r="I85" s="158"/>
      <c r="J85" s="28">
        <f>H85</f>
        <v>100</v>
      </c>
      <c r="K85" s="159"/>
      <c r="L85" s="55"/>
      <c r="M85" s="216" t="s">
        <v>112</v>
      </c>
      <c r="N85" s="65">
        <v>100</v>
      </c>
      <c r="O85" s="158"/>
      <c r="P85" s="28">
        <f>N85</f>
        <v>100</v>
      </c>
      <c r="Q85" s="159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219" t="s">
        <v>113</v>
      </c>
      <c r="B86" s="75">
        <v>200</v>
      </c>
      <c r="C86" s="158"/>
      <c r="D86" s="28">
        <f>B86</f>
        <v>200</v>
      </c>
      <c r="E86" s="159"/>
      <c r="F86" s="55"/>
      <c r="G86" s="219" t="s">
        <v>113</v>
      </c>
      <c r="H86" s="75">
        <v>100</v>
      </c>
      <c r="I86" s="158"/>
      <c r="J86" s="28">
        <f>H86</f>
        <v>100</v>
      </c>
      <c r="K86" s="159"/>
      <c r="L86" s="55"/>
      <c r="M86" s="219" t="s">
        <v>113</v>
      </c>
      <c r="N86" s="75">
        <v>100</v>
      </c>
      <c r="O86" s="158"/>
      <c r="P86" s="28">
        <f>N86</f>
        <v>100</v>
      </c>
      <c r="Q86" s="159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20" t="s">
        <v>114</v>
      </c>
      <c r="B87" s="221">
        <f>SUM(D70:D86)</f>
        <v>4711.9500000000007</v>
      </c>
      <c r="C87" s="158"/>
      <c r="D87" s="158"/>
      <c r="E87" s="159"/>
      <c r="F87" s="55"/>
      <c r="G87" s="220" t="s">
        <v>114</v>
      </c>
      <c r="H87" s="221">
        <f>SUM(J70:J86)</f>
        <v>7205.5333333333338</v>
      </c>
      <c r="I87" s="158"/>
      <c r="J87" s="158"/>
      <c r="K87" s="159"/>
      <c r="L87" s="55"/>
      <c r="M87" s="220" t="s">
        <v>114</v>
      </c>
      <c r="N87" s="221">
        <f>SUM(P70:P86)</f>
        <v>7165.9500000000007</v>
      </c>
      <c r="O87" s="158"/>
      <c r="P87" s="158"/>
      <c r="Q87" s="159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 t="s">
        <v>115</v>
      </c>
      <c r="B88" s="29">
        <f>B87/H29</f>
        <v>392.66250000000008</v>
      </c>
      <c r="C88" s="158"/>
      <c r="D88" s="158"/>
      <c r="E88" s="159"/>
      <c r="F88" s="55"/>
      <c r="G88" s="157" t="s">
        <v>115</v>
      </c>
      <c r="H88" s="29">
        <f>H87/H29</f>
        <v>600.46111111111111</v>
      </c>
      <c r="I88" s="158"/>
      <c r="J88" s="158"/>
      <c r="K88" s="159"/>
      <c r="L88" s="55"/>
      <c r="M88" s="157" t="s">
        <v>115</v>
      </c>
      <c r="N88" s="29">
        <f>N87/H29</f>
        <v>597.16250000000002</v>
      </c>
      <c r="O88" s="158"/>
      <c r="P88" s="158"/>
      <c r="Q88" s="159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2" t="s">
        <v>116</v>
      </c>
      <c r="B89" s="52">
        <f>H46</f>
        <v>501</v>
      </c>
      <c r="C89" s="158"/>
      <c r="D89" s="158"/>
      <c r="E89" s="159"/>
      <c r="F89" s="55"/>
      <c r="G89" s="222" t="s">
        <v>116</v>
      </c>
      <c r="H89" s="52">
        <f>H46</f>
        <v>501</v>
      </c>
      <c r="I89" s="158"/>
      <c r="J89" s="158"/>
      <c r="K89" s="159"/>
      <c r="L89" s="55"/>
      <c r="M89" s="222" t="s">
        <v>116</v>
      </c>
      <c r="N89" s="52">
        <f>H46</f>
        <v>501</v>
      </c>
      <c r="O89" s="158"/>
      <c r="P89" s="158"/>
      <c r="Q89" s="159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157"/>
      <c r="B90" s="28"/>
      <c r="C90" s="158"/>
      <c r="D90" s="158"/>
      <c r="E90" s="159"/>
      <c r="F90" s="55"/>
      <c r="G90" s="157"/>
      <c r="H90" s="28"/>
      <c r="I90" s="158"/>
      <c r="J90" s="158"/>
      <c r="K90" s="159"/>
      <c r="L90" s="55"/>
      <c r="M90" s="157"/>
      <c r="N90" s="28"/>
      <c r="O90" s="158"/>
      <c r="P90" s="158"/>
      <c r="Q90" s="159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09" t="s">
        <v>126</v>
      </c>
      <c r="B91" s="24">
        <f>((B89*H29)+B87)</f>
        <v>10723.95</v>
      </c>
      <c r="C91" s="158"/>
      <c r="D91" s="158"/>
      <c r="E91" s="159"/>
      <c r="F91" s="55"/>
      <c r="G91" s="209" t="s">
        <v>126</v>
      </c>
      <c r="H91" s="24">
        <f>((H89*H29)+H87)*1.2</f>
        <v>15861.039999999999</v>
      </c>
      <c r="I91" s="158"/>
      <c r="J91" s="158"/>
      <c r="K91" s="159"/>
      <c r="L91" s="55"/>
      <c r="M91" s="209" t="s">
        <v>126</v>
      </c>
      <c r="N91" s="24">
        <f>((N89*H29)+N87)</f>
        <v>13177.95</v>
      </c>
      <c r="O91" s="158"/>
      <c r="P91" s="158"/>
      <c r="Q91" s="159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157" t="s">
        <v>127</v>
      </c>
      <c r="B92" s="29">
        <f>(((B89*H29)+B87)/(1-B76))*B76</f>
        <v>90.844271883824135</v>
      </c>
      <c r="C92" s="158"/>
      <c r="D92" s="158"/>
      <c r="E92" s="283"/>
      <c r="F92" s="55"/>
      <c r="G92" s="157" t="s">
        <v>127</v>
      </c>
      <c r="H92" s="29">
        <f>(((H89*H29)+H87)/(1-H76))*H76</f>
        <v>111.96780960064542</v>
      </c>
      <c r="I92" s="158"/>
      <c r="J92" s="158"/>
      <c r="K92" s="159"/>
      <c r="L92" s="55"/>
      <c r="M92" s="157" t="s">
        <v>127</v>
      </c>
      <c r="N92" s="29">
        <f>(N91/(1-N76))*N76</f>
        <v>111.63249294070192</v>
      </c>
      <c r="O92" s="158"/>
      <c r="P92" s="158"/>
      <c r="Q92" s="159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206" t="s">
        <v>128</v>
      </c>
      <c r="B93" s="57">
        <f>IF(B116="YES",((B91+B92)-E120),(B91+B92))</f>
        <v>10814.794271883824</v>
      </c>
      <c r="C93" s="158"/>
      <c r="D93" s="158"/>
      <c r="E93" s="159"/>
      <c r="F93" s="55"/>
      <c r="G93" s="206" t="s">
        <v>128</v>
      </c>
      <c r="H93" s="57">
        <f>IF(H116="YES",((H91+H92)-K120),(H91+H92))</f>
        <v>17973.007809600644</v>
      </c>
      <c r="I93" s="158"/>
      <c r="J93" s="158"/>
      <c r="K93" s="159"/>
      <c r="L93" s="55"/>
      <c r="M93" s="206" t="s">
        <v>128</v>
      </c>
      <c r="N93" s="57">
        <f>IF(N116="YES",((N91+N92)-K120),(N91+N92))</f>
        <v>15289.582492940703</v>
      </c>
      <c r="O93" s="158"/>
      <c r="P93" s="158"/>
      <c r="Q93" s="159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8.75" customHeight="1">
      <c r="A94" s="157"/>
      <c r="B94" s="28"/>
      <c r="C94" s="158"/>
      <c r="D94" s="158"/>
      <c r="E94" s="159"/>
      <c r="F94" s="55"/>
      <c r="G94" s="157"/>
      <c r="H94" s="28"/>
      <c r="I94" s="158"/>
      <c r="J94" s="158"/>
      <c r="K94" s="159"/>
      <c r="L94" s="55"/>
      <c r="M94" s="157"/>
      <c r="N94" s="28"/>
      <c r="O94" s="158"/>
      <c r="P94" s="158"/>
      <c r="Q94" s="159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220" t="s">
        <v>129</v>
      </c>
      <c r="B95" s="221">
        <f>((H44*B35)+((H44*B35)*B111))/(B63+B64)</f>
        <v>31.304347826086957</v>
      </c>
      <c r="C95" s="158"/>
      <c r="D95" s="158"/>
      <c r="E95" s="159"/>
      <c r="F95" s="55"/>
      <c r="G95" s="220" t="s">
        <v>129</v>
      </c>
      <c r="H95" s="221" t="e">
        <f>(((H44*B35)+((H44*B35)*H111))/(H63+H64))*1.2</f>
        <v>#DIV/0!</v>
      </c>
      <c r="I95" s="158"/>
      <c r="J95" s="158"/>
      <c r="K95" s="159"/>
      <c r="L95" s="55"/>
      <c r="M95" s="220" t="s">
        <v>129</v>
      </c>
      <c r="N95" s="221" t="e">
        <f>((H44*B35)+((H44*B35)*N111))/(N63+N64)</f>
        <v>#DIV/0!</v>
      </c>
      <c r="O95" s="158"/>
      <c r="P95" s="158"/>
      <c r="Q95" s="159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224" t="s">
        <v>130</v>
      </c>
      <c r="B96" s="225">
        <f>IF(B105=Y104,(B93-D111)/(B64),B93/(B63+B64))</f>
        <v>470.20844660364452</v>
      </c>
      <c r="C96" s="158"/>
      <c r="D96" s="158"/>
      <c r="E96" s="159"/>
      <c r="F96" s="55"/>
      <c r="G96" s="224" t="s">
        <v>130</v>
      </c>
      <c r="H96" s="225" t="e">
        <f>IF(H105=Y104,(H93-J111)/(H64),H93/(H63+H64))</f>
        <v>#DIV/0!</v>
      </c>
      <c r="I96" s="158"/>
      <c r="J96" s="158"/>
      <c r="K96" s="159"/>
      <c r="L96" s="55"/>
      <c r="M96" s="224" t="s">
        <v>130</v>
      </c>
      <c r="N96" s="225" t="e">
        <f>IF(N105=Y104,(N93-P111)/(N64),N93/(N63+N64))</f>
        <v>#DIV/0!</v>
      </c>
      <c r="O96" s="158"/>
      <c r="P96" s="158"/>
      <c r="Q96" s="159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8.75" customHeight="1">
      <c r="A97" s="226" t="s">
        <v>131</v>
      </c>
      <c r="B97" s="227">
        <f>IF(A111="YES",B96+B95,B96)</f>
        <v>501.51279442973146</v>
      </c>
      <c r="C97" s="158"/>
      <c r="D97" s="284"/>
      <c r="E97" s="159"/>
      <c r="F97" s="55"/>
      <c r="G97" s="226" t="s">
        <v>131</v>
      </c>
      <c r="H97" s="227" t="e">
        <f>IF(G111="YES",H96+H95,H96)</f>
        <v>#DIV/0!</v>
      </c>
      <c r="I97" s="158"/>
      <c r="J97" s="158"/>
      <c r="K97" s="159"/>
      <c r="L97" s="55"/>
      <c r="M97" s="226" t="s">
        <v>131</v>
      </c>
      <c r="N97" s="227" t="e">
        <f>IF(M111="YES",N96+N95,N96)</f>
        <v>#DIV/0!</v>
      </c>
      <c r="O97" s="158"/>
      <c r="P97" s="158"/>
      <c r="Q97" s="159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8.75" customHeight="1">
      <c r="A98" s="206"/>
      <c r="B98" s="207"/>
      <c r="C98" s="207"/>
      <c r="D98" s="207"/>
      <c r="E98" s="208"/>
      <c r="F98" s="55"/>
      <c r="G98" s="206"/>
      <c r="H98" s="207"/>
      <c r="I98" s="207"/>
      <c r="J98" s="207"/>
      <c r="K98" s="208"/>
      <c r="L98" s="55"/>
      <c r="M98" s="206"/>
      <c r="N98" s="207"/>
      <c r="O98" s="207"/>
      <c r="P98" s="207"/>
      <c r="Q98" s="208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8.75" customHeight="1">
      <c r="A99" s="158"/>
      <c r="B99" s="158"/>
      <c r="C99" s="158"/>
      <c r="D99" s="158"/>
      <c r="E99" s="158"/>
      <c r="F99" s="55"/>
      <c r="G99" s="158"/>
      <c r="H99" s="158"/>
      <c r="I99" s="158"/>
      <c r="J99" s="158"/>
      <c r="K99" s="158"/>
      <c r="L99" s="55"/>
      <c r="M99" s="158"/>
      <c r="N99" s="158"/>
      <c r="O99" s="158"/>
      <c r="P99" s="158"/>
      <c r="Q99" s="158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48.75" customHeight="1">
      <c r="A100" s="376" t="s">
        <v>338</v>
      </c>
      <c r="B100" s="376"/>
      <c r="C100" s="376"/>
      <c r="D100" s="376"/>
      <c r="E100" s="376"/>
      <c r="F100" s="55"/>
      <c r="G100" s="376" t="s">
        <v>290</v>
      </c>
      <c r="H100" s="376"/>
      <c r="I100" s="376"/>
      <c r="J100" s="376"/>
      <c r="K100" s="376"/>
      <c r="L100" s="55"/>
      <c r="M100" s="376" t="s">
        <v>345</v>
      </c>
      <c r="N100" s="376"/>
      <c r="O100" s="376"/>
      <c r="P100" s="376"/>
      <c r="Q100" s="376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8.75" customHeight="1">
      <c r="A101" s="157"/>
      <c r="B101" s="158"/>
      <c r="C101" s="158"/>
      <c r="D101" s="158"/>
      <c r="E101" s="159"/>
      <c r="F101" s="55"/>
      <c r="G101" s="157"/>
      <c r="H101" s="158"/>
      <c r="I101" s="158"/>
      <c r="J101" s="158"/>
      <c r="K101" s="159"/>
      <c r="L101" s="55"/>
      <c r="M101" s="157"/>
      <c r="N101" s="158"/>
      <c r="O101" s="158"/>
      <c r="P101" s="158"/>
      <c r="Q101" s="159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8.75" customHeight="1">
      <c r="A102" s="377" t="s">
        <v>136</v>
      </c>
      <c r="B102" s="377"/>
      <c r="C102" s="377"/>
      <c r="D102" s="377"/>
      <c r="E102" s="377"/>
      <c r="F102" s="55"/>
      <c r="G102" s="377" t="s">
        <v>136</v>
      </c>
      <c r="H102" s="377"/>
      <c r="I102" s="377"/>
      <c r="J102" s="377"/>
      <c r="K102" s="377"/>
      <c r="L102" s="55"/>
      <c r="M102" s="377" t="s">
        <v>136</v>
      </c>
      <c r="N102" s="377"/>
      <c r="O102" s="377"/>
      <c r="P102" s="377"/>
      <c r="Q102" s="377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157"/>
      <c r="N103" s="158"/>
      <c r="O103" s="158"/>
      <c r="P103" s="158"/>
      <c r="Q103" s="159"/>
      <c r="R103" s="55"/>
      <c r="S103" s="55"/>
      <c r="T103" s="55"/>
      <c r="U103" s="55"/>
      <c r="V103" s="55"/>
      <c r="W103" s="55"/>
      <c r="X103" s="55"/>
      <c r="Y103" s="55"/>
      <c r="Z103" s="55" t="s">
        <v>140</v>
      </c>
    </row>
    <row r="104" spans="1:26" ht="18.75" customHeight="1">
      <c r="A104" s="157" t="s">
        <v>137</v>
      </c>
      <c r="B104" s="158" t="s">
        <v>36</v>
      </c>
      <c r="C104" s="158"/>
      <c r="D104" s="158" t="s">
        <v>291</v>
      </c>
      <c r="E104" s="159"/>
      <c r="F104" s="55"/>
      <c r="G104" s="157" t="s">
        <v>137</v>
      </c>
      <c r="H104" s="158" t="s">
        <v>36</v>
      </c>
      <c r="I104" s="158"/>
      <c r="J104" s="158" t="s">
        <v>291</v>
      </c>
      <c r="K104" s="159"/>
      <c r="L104" s="55"/>
      <c r="M104" s="157" t="s">
        <v>137</v>
      </c>
      <c r="N104" s="158" t="s">
        <v>36</v>
      </c>
      <c r="O104" s="158"/>
      <c r="P104" s="158" t="s">
        <v>291</v>
      </c>
      <c r="Q104" s="159"/>
      <c r="R104" s="55"/>
      <c r="S104" s="55"/>
      <c r="T104" s="55"/>
      <c r="U104" s="55"/>
      <c r="V104" s="55"/>
      <c r="W104" s="55"/>
      <c r="X104" s="55"/>
      <c r="Y104" s="55"/>
      <c r="Z104" s="55" t="s">
        <v>270</v>
      </c>
    </row>
    <row r="105" spans="1:26" ht="18.75" customHeight="1">
      <c r="A105" s="162" t="s">
        <v>292</v>
      </c>
      <c r="B105" s="395" t="s">
        <v>274</v>
      </c>
      <c r="C105" s="395"/>
      <c r="D105" s="399">
        <v>0</v>
      </c>
      <c r="E105" s="399"/>
      <c r="F105" s="55"/>
      <c r="G105" s="162" t="s">
        <v>292</v>
      </c>
      <c r="H105" s="395" t="s">
        <v>275</v>
      </c>
      <c r="I105" s="395"/>
      <c r="J105" s="399">
        <v>5000</v>
      </c>
      <c r="K105" s="399"/>
      <c r="L105" s="55"/>
      <c r="M105" s="162" t="s">
        <v>292</v>
      </c>
      <c r="N105" s="395" t="s">
        <v>274</v>
      </c>
      <c r="O105" s="395"/>
      <c r="P105" s="399">
        <v>0</v>
      </c>
      <c r="Q105" s="399"/>
      <c r="R105" s="55"/>
      <c r="S105" s="55"/>
      <c r="T105" s="55"/>
      <c r="U105" s="55"/>
      <c r="V105" s="55"/>
      <c r="W105" s="55"/>
      <c r="X105" s="55"/>
      <c r="Y105" s="55"/>
      <c r="Z105" s="55" t="s">
        <v>271</v>
      </c>
    </row>
    <row r="106" spans="1:26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157"/>
      <c r="N106" s="158"/>
      <c r="O106" s="158"/>
      <c r="P106" s="158"/>
      <c r="Q106" s="159"/>
      <c r="R106" s="55"/>
      <c r="S106" s="55"/>
      <c r="T106" s="55"/>
      <c r="U106" s="55"/>
      <c r="V106" s="55"/>
      <c r="W106" s="55"/>
      <c r="X106" s="55"/>
      <c r="Y106" s="55"/>
      <c r="Z106" s="55" t="s">
        <v>272</v>
      </c>
    </row>
    <row r="107" spans="1:26" ht="18.75" customHeight="1">
      <c r="A107" s="157" t="s">
        <v>293</v>
      </c>
      <c r="B107" s="158" t="s">
        <v>294</v>
      </c>
      <c r="C107" s="158"/>
      <c r="D107" s="158" t="s">
        <v>295</v>
      </c>
      <c r="E107" s="159"/>
      <c r="F107" s="55"/>
      <c r="G107" s="157" t="s">
        <v>293</v>
      </c>
      <c r="H107" s="158" t="s">
        <v>294</v>
      </c>
      <c r="I107" s="158"/>
      <c r="J107" s="158" t="s">
        <v>295</v>
      </c>
      <c r="K107" s="159"/>
      <c r="L107" s="55"/>
      <c r="M107" s="157" t="s">
        <v>293</v>
      </c>
      <c r="N107" s="158" t="s">
        <v>294</v>
      </c>
      <c r="O107" s="158"/>
      <c r="P107" s="158" t="s">
        <v>295</v>
      </c>
      <c r="Q107" s="159"/>
      <c r="R107" s="55"/>
      <c r="S107" s="55"/>
      <c r="T107" s="55"/>
      <c r="U107" s="55"/>
      <c r="V107" s="55"/>
      <c r="W107" s="55"/>
      <c r="X107" s="55"/>
      <c r="Y107" s="55"/>
      <c r="Z107" s="55" t="s">
        <v>273</v>
      </c>
    </row>
    <row r="108" spans="1:26" ht="18.75" customHeight="1">
      <c r="A108" s="228">
        <v>199.99</v>
      </c>
      <c r="B108" s="348">
        <v>0</v>
      </c>
      <c r="C108" s="348"/>
      <c r="D108" s="348">
        <v>0</v>
      </c>
      <c r="E108" s="348"/>
      <c r="F108" s="55"/>
      <c r="G108" s="228">
        <f>199.99*1.2</f>
        <v>239.988</v>
      </c>
      <c r="H108" s="348">
        <v>1200</v>
      </c>
      <c r="I108" s="348"/>
      <c r="J108" s="348">
        <v>1500</v>
      </c>
      <c r="K108" s="348"/>
      <c r="L108" s="55"/>
      <c r="M108" s="228">
        <v>199.99</v>
      </c>
      <c r="N108" s="348">
        <v>1200</v>
      </c>
      <c r="O108" s="348"/>
      <c r="P108" s="348">
        <v>1500</v>
      </c>
      <c r="Q108" s="348"/>
      <c r="R108" s="55"/>
      <c r="S108" s="55"/>
      <c r="T108" s="55"/>
      <c r="U108" s="55"/>
      <c r="V108" s="55"/>
      <c r="W108" s="55"/>
      <c r="X108" s="55"/>
      <c r="Y108" s="55"/>
      <c r="Z108" s="55" t="s">
        <v>274</v>
      </c>
    </row>
    <row r="109" spans="1:26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157"/>
      <c r="N109" s="158"/>
      <c r="O109" s="158"/>
      <c r="P109" s="158"/>
      <c r="Q109" s="159"/>
      <c r="R109" s="55"/>
      <c r="S109" s="55"/>
      <c r="T109" s="55"/>
      <c r="U109" s="55"/>
      <c r="V109" s="55"/>
      <c r="W109" s="55"/>
      <c r="X109" s="55"/>
      <c r="Y109" s="55"/>
      <c r="Z109" s="55" t="s">
        <v>275</v>
      </c>
    </row>
    <row r="110" spans="1:26" ht="18.75" customHeight="1">
      <c r="A110" s="162" t="s">
        <v>138</v>
      </c>
      <c r="B110" s="55" t="s">
        <v>141</v>
      </c>
      <c r="C110" s="158"/>
      <c r="D110" s="158" t="s">
        <v>152</v>
      </c>
      <c r="E110" s="159"/>
      <c r="F110" s="55"/>
      <c r="G110" s="162" t="s">
        <v>138</v>
      </c>
      <c r="H110" s="55" t="s">
        <v>141</v>
      </c>
      <c r="I110" s="158"/>
      <c r="J110" s="158" t="s">
        <v>152</v>
      </c>
      <c r="K110" s="159"/>
      <c r="L110" s="55"/>
      <c r="M110" s="162" t="s">
        <v>138</v>
      </c>
      <c r="N110" s="55" t="s">
        <v>141</v>
      </c>
      <c r="O110" s="158"/>
      <c r="P110" s="158" t="s">
        <v>152</v>
      </c>
      <c r="Q110" s="159"/>
      <c r="R110" s="55"/>
      <c r="S110" s="55"/>
      <c r="T110" s="55"/>
      <c r="U110" s="55"/>
      <c r="V110" s="55"/>
      <c r="W110" s="55"/>
      <c r="X110" s="55"/>
      <c r="Y110" s="55"/>
      <c r="Z110" s="55" t="s">
        <v>276</v>
      </c>
    </row>
    <row r="111" spans="1:26" ht="18.75" customHeight="1">
      <c r="A111" s="164" t="s">
        <v>31</v>
      </c>
      <c r="B111" s="396">
        <v>0.2</v>
      </c>
      <c r="C111" s="396"/>
      <c r="D111" s="348">
        <v>200</v>
      </c>
      <c r="E111" s="348"/>
      <c r="F111" s="55"/>
      <c r="G111" s="164" t="s">
        <v>31</v>
      </c>
      <c r="H111" s="396">
        <v>0.2</v>
      </c>
      <c r="I111" s="396"/>
      <c r="J111" s="348">
        <v>5000</v>
      </c>
      <c r="K111" s="348"/>
      <c r="L111" s="55"/>
      <c r="M111" s="164" t="s">
        <v>31</v>
      </c>
      <c r="N111" s="396">
        <v>0.2</v>
      </c>
      <c r="O111" s="396"/>
      <c r="P111" s="348">
        <v>5000</v>
      </c>
      <c r="Q111" s="348"/>
      <c r="R111" s="55"/>
      <c r="S111" s="55"/>
      <c r="T111" s="55"/>
      <c r="U111" s="55"/>
      <c r="V111" s="55"/>
      <c r="W111" s="55"/>
      <c r="X111" s="55"/>
      <c r="Y111" s="55"/>
      <c r="Z111" s="55" t="s">
        <v>277</v>
      </c>
    </row>
    <row r="112" spans="1:26" ht="18.75" customHeight="1">
      <c r="A112" s="157"/>
      <c r="B112" s="158"/>
      <c r="C112" s="158"/>
      <c r="D112" s="158"/>
      <c r="E112" s="159"/>
      <c r="F112" s="55"/>
      <c r="G112" s="157"/>
      <c r="H112" s="158"/>
      <c r="I112" s="158"/>
      <c r="J112" s="158"/>
      <c r="K112" s="159"/>
      <c r="L112" s="55"/>
      <c r="M112" s="157"/>
      <c r="N112" s="158"/>
      <c r="O112" s="158"/>
      <c r="P112" s="158"/>
      <c r="Q112" s="159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/>
      <c r="B113" s="158"/>
      <c r="C113" s="158"/>
      <c r="D113" s="158"/>
      <c r="E113" s="159"/>
      <c r="F113" s="55"/>
      <c r="G113" s="157"/>
      <c r="H113" s="158"/>
      <c r="I113" s="158"/>
      <c r="J113" s="158"/>
      <c r="K113" s="159"/>
      <c r="L113" s="55"/>
      <c r="M113" s="157"/>
      <c r="N113" s="158" t="s">
        <v>346</v>
      </c>
      <c r="O113" s="164" t="s">
        <v>31</v>
      </c>
      <c r="P113" s="158"/>
      <c r="Q113" s="159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377" t="s">
        <v>296</v>
      </c>
      <c r="B114" s="377"/>
      <c r="C114" s="377"/>
      <c r="D114" s="377"/>
      <c r="E114" s="377"/>
      <c r="F114" s="55"/>
      <c r="G114" s="377" t="s">
        <v>296</v>
      </c>
      <c r="H114" s="377"/>
      <c r="I114" s="377"/>
      <c r="J114" s="377"/>
      <c r="K114" s="377"/>
      <c r="L114" s="55"/>
      <c r="M114" s="377" t="s">
        <v>296</v>
      </c>
      <c r="N114" s="377"/>
      <c r="O114" s="377"/>
      <c r="P114" s="377"/>
      <c r="Q114" s="377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/>
      <c r="B115" s="158"/>
      <c r="C115" s="158"/>
      <c r="D115" s="158"/>
      <c r="E115" s="159"/>
      <c r="F115" s="55"/>
      <c r="G115" s="157"/>
      <c r="H115" s="158"/>
      <c r="I115" s="158"/>
      <c r="J115" s="158"/>
      <c r="K115" s="159"/>
      <c r="L115" s="55"/>
      <c r="M115" s="157"/>
      <c r="N115" s="158"/>
      <c r="O115" s="158"/>
      <c r="P115" s="158"/>
      <c r="Q115" s="159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 t="s">
        <v>297</v>
      </c>
      <c r="B116" s="164" t="s">
        <v>32</v>
      </c>
      <c r="C116" s="158"/>
      <c r="D116" s="158"/>
      <c r="E116" s="159"/>
      <c r="F116" s="55"/>
      <c r="G116" s="157" t="s">
        <v>297</v>
      </c>
      <c r="H116" s="164" t="s">
        <v>31</v>
      </c>
      <c r="I116" s="158"/>
      <c r="J116" s="158"/>
      <c r="K116" s="159"/>
      <c r="L116" s="55"/>
      <c r="M116" s="157" t="s">
        <v>297</v>
      </c>
      <c r="N116" s="164" t="s">
        <v>31</v>
      </c>
      <c r="O116" s="158"/>
      <c r="P116" s="158"/>
      <c r="Q116" s="159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157"/>
      <c r="B117" s="158"/>
      <c r="C117" s="158"/>
      <c r="D117" s="158"/>
      <c r="E117" s="159"/>
      <c r="F117" s="55"/>
      <c r="G117" s="157"/>
      <c r="H117" s="158"/>
      <c r="I117" s="158"/>
      <c r="J117" s="158"/>
      <c r="K117" s="159"/>
      <c r="L117" s="55"/>
      <c r="M117" s="157"/>
      <c r="N117" s="158"/>
      <c r="O117" s="158"/>
      <c r="P117" s="158"/>
      <c r="Q117" s="159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185</v>
      </c>
      <c r="B118" s="158"/>
      <c r="C118" s="158"/>
      <c r="D118" s="228">
        <v>0</v>
      </c>
      <c r="E118" s="92">
        <v>0</v>
      </c>
      <c r="F118" s="55"/>
      <c r="G118" s="157" t="s">
        <v>185</v>
      </c>
      <c r="H118" s="158"/>
      <c r="I118" s="158"/>
      <c r="J118" s="228">
        <v>10000</v>
      </c>
      <c r="K118" s="92">
        <v>5000</v>
      </c>
      <c r="L118" s="55"/>
      <c r="M118" s="157" t="s">
        <v>185</v>
      </c>
      <c r="N118" s="158"/>
      <c r="O118" s="158"/>
      <c r="P118" s="228">
        <v>10000</v>
      </c>
      <c r="Q118" s="92">
        <v>5000</v>
      </c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157" t="s">
        <v>186</v>
      </c>
      <c r="B119" s="158"/>
      <c r="C119" s="158"/>
      <c r="D119" s="35">
        <f>E119</f>
        <v>0</v>
      </c>
      <c r="E119" s="92">
        <v>0</v>
      </c>
      <c r="F119" s="55"/>
      <c r="G119" s="157" t="s">
        <v>186</v>
      </c>
      <c r="H119" s="158"/>
      <c r="I119" s="158"/>
      <c r="J119" s="35">
        <f>K119</f>
        <v>7000</v>
      </c>
      <c r="K119" s="92">
        <v>7000</v>
      </c>
      <c r="L119" s="55"/>
      <c r="M119" s="157" t="s">
        <v>186</v>
      </c>
      <c r="N119" s="158"/>
      <c r="O119" s="158"/>
      <c r="P119" s="35">
        <f>Q119</f>
        <v>7000</v>
      </c>
      <c r="Q119" s="92">
        <v>7000</v>
      </c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 t="s">
        <v>187</v>
      </c>
      <c r="B120" s="158"/>
      <c r="C120" s="158"/>
      <c r="D120" s="35">
        <f>D118-D119</f>
        <v>0</v>
      </c>
      <c r="E120" s="127">
        <f>E118-E119</f>
        <v>0</v>
      </c>
      <c r="F120" s="55"/>
      <c r="G120" s="157" t="s">
        <v>187</v>
      </c>
      <c r="H120" s="158"/>
      <c r="I120" s="158"/>
      <c r="J120" s="35">
        <f>J118-J119</f>
        <v>3000</v>
      </c>
      <c r="K120" s="127">
        <f>K118-K119</f>
        <v>-2000</v>
      </c>
      <c r="L120" s="55"/>
      <c r="M120" s="157" t="s">
        <v>187</v>
      </c>
      <c r="N120" s="158"/>
      <c r="O120" s="158"/>
      <c r="P120" s="35">
        <f>P118-P119</f>
        <v>3000</v>
      </c>
      <c r="Q120" s="127">
        <f>Q118-Q119</f>
        <v>-2000</v>
      </c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 t="s">
        <v>188</v>
      </c>
      <c r="B121" s="158"/>
      <c r="C121" s="158"/>
      <c r="D121" s="35">
        <f>D120-E120</f>
        <v>0</v>
      </c>
      <c r="E121" s="159"/>
      <c r="F121" s="55"/>
      <c r="G121" s="157" t="s">
        <v>188</v>
      </c>
      <c r="H121" s="158"/>
      <c r="I121" s="158"/>
      <c r="J121" s="35">
        <f>J120-K120</f>
        <v>5000</v>
      </c>
      <c r="K121" s="159"/>
      <c r="L121" s="55"/>
      <c r="M121" s="157" t="s">
        <v>188</v>
      </c>
      <c r="N121" s="158"/>
      <c r="O121" s="158"/>
      <c r="P121" s="35">
        <f>P120-Q120</f>
        <v>5000</v>
      </c>
      <c r="Q121" s="159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157"/>
      <c r="B122" s="158"/>
      <c r="C122" s="158"/>
      <c r="D122" s="158"/>
      <c r="E122" s="159"/>
      <c r="F122" s="55"/>
      <c r="G122" s="157"/>
      <c r="H122" s="158"/>
      <c r="I122" s="158"/>
      <c r="J122" s="158"/>
      <c r="K122" s="159"/>
      <c r="L122" s="55"/>
      <c r="M122" s="157"/>
      <c r="N122" s="158"/>
      <c r="O122" s="158"/>
      <c r="P122" s="158"/>
      <c r="Q122" s="159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209" t="s">
        <v>148</v>
      </c>
      <c r="B123" s="210"/>
      <c r="C123" s="210"/>
      <c r="D123" s="210"/>
      <c r="E123" s="24">
        <f>D105</f>
        <v>0</v>
      </c>
      <c r="F123" s="55"/>
      <c r="G123" s="209" t="s">
        <v>148</v>
      </c>
      <c r="H123" s="210"/>
      <c r="I123" s="210"/>
      <c r="J123" s="210"/>
      <c r="K123" s="24">
        <f>J105</f>
        <v>5000</v>
      </c>
      <c r="L123" s="55"/>
      <c r="M123" s="209" t="s">
        <v>148</v>
      </c>
      <c r="N123" s="210"/>
      <c r="O123" s="210"/>
      <c r="P123" s="210"/>
      <c r="Q123" s="24">
        <f>P105</f>
        <v>0</v>
      </c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157" t="s">
        <v>66</v>
      </c>
      <c r="B124" s="158"/>
      <c r="C124" s="158"/>
      <c r="D124" s="158"/>
      <c r="E124" s="29">
        <f>A108</f>
        <v>199.99</v>
      </c>
      <c r="F124" s="55"/>
      <c r="G124" s="157" t="s">
        <v>66</v>
      </c>
      <c r="H124" s="158"/>
      <c r="I124" s="158"/>
      <c r="J124" s="158"/>
      <c r="K124" s="29">
        <f>G108</f>
        <v>239.988</v>
      </c>
      <c r="L124" s="55"/>
      <c r="M124" s="157" t="s">
        <v>66</v>
      </c>
      <c r="N124" s="158"/>
      <c r="O124" s="158"/>
      <c r="P124" s="158"/>
      <c r="Q124" s="29">
        <f>M108</f>
        <v>199.99</v>
      </c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29" t="s">
        <v>298</v>
      </c>
      <c r="B125" s="207"/>
      <c r="C125" s="207"/>
      <c r="D125" s="207"/>
      <c r="E125" s="57">
        <f>(E124+E123)-E120</f>
        <v>199.99</v>
      </c>
      <c r="F125" s="55"/>
      <c r="G125" s="229" t="s">
        <v>298</v>
      </c>
      <c r="H125" s="207"/>
      <c r="I125" s="207"/>
      <c r="J125" s="207"/>
      <c r="K125" s="57">
        <f>(K124+K123)-K120</f>
        <v>7239.9880000000003</v>
      </c>
      <c r="L125" s="55"/>
      <c r="M125" s="229" t="s">
        <v>298</v>
      </c>
      <c r="N125" s="207"/>
      <c r="O125" s="207"/>
      <c r="P125" s="207"/>
      <c r="Q125" s="57">
        <f>(Q124+Q123)-Q120</f>
        <v>2199.9899999999998</v>
      </c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157"/>
      <c r="B126" s="158"/>
      <c r="C126" s="158"/>
      <c r="D126" s="158"/>
      <c r="E126" s="159"/>
      <c r="F126" s="55"/>
      <c r="G126" s="157"/>
      <c r="H126" s="158"/>
      <c r="I126" s="158"/>
      <c r="J126" s="158"/>
      <c r="K126" s="159"/>
      <c r="L126" s="55"/>
      <c r="M126" s="157"/>
      <c r="N126" s="158"/>
      <c r="O126" s="158"/>
      <c r="P126" s="158"/>
      <c r="Q126" s="159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157"/>
      <c r="B127" s="158"/>
      <c r="C127" s="158"/>
      <c r="D127" s="158"/>
      <c r="E127" s="159"/>
      <c r="F127" s="55"/>
      <c r="G127" s="157"/>
      <c r="H127" s="158"/>
      <c r="I127" s="158"/>
      <c r="J127" s="158"/>
      <c r="K127" s="159"/>
      <c r="L127" s="55"/>
      <c r="M127" s="157"/>
      <c r="N127" s="158"/>
      <c r="O127" s="158"/>
      <c r="P127" s="158"/>
      <c r="Q127" s="159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377" t="s">
        <v>299</v>
      </c>
      <c r="B128" s="377"/>
      <c r="C128" s="377"/>
      <c r="D128" s="377"/>
      <c r="E128" s="377"/>
      <c r="F128" s="55"/>
      <c r="G128" s="377" t="s">
        <v>299</v>
      </c>
      <c r="H128" s="377"/>
      <c r="I128" s="377"/>
      <c r="J128" s="377"/>
      <c r="K128" s="377"/>
      <c r="L128" s="55"/>
      <c r="M128" s="377" t="s">
        <v>299</v>
      </c>
      <c r="N128" s="377"/>
      <c r="O128" s="377"/>
      <c r="P128" s="377"/>
      <c r="Q128" s="377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8.75" customHeight="1">
      <c r="A129" s="157"/>
      <c r="B129" s="158"/>
      <c r="C129" s="158"/>
      <c r="D129" s="158"/>
      <c r="E129" s="159"/>
      <c r="F129" s="55"/>
      <c r="G129" s="157"/>
      <c r="H129" s="158"/>
      <c r="I129" s="158"/>
      <c r="J129" s="158"/>
      <c r="K129" s="159"/>
      <c r="L129" s="55"/>
      <c r="M129" s="157"/>
      <c r="N129" s="158"/>
      <c r="O129" s="158"/>
      <c r="P129" s="158"/>
      <c r="Q129" s="159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8.75" customHeight="1">
      <c r="A130" s="157" t="s">
        <v>193</v>
      </c>
      <c r="B130" s="368">
        <v>1200</v>
      </c>
      <c r="C130" s="368"/>
      <c r="D130" s="158"/>
      <c r="E130" s="159"/>
      <c r="F130" s="55"/>
      <c r="G130" s="157" t="s">
        <v>193</v>
      </c>
      <c r="H130" s="368">
        <v>0</v>
      </c>
      <c r="I130" s="368"/>
      <c r="J130" s="158"/>
      <c r="K130" s="159"/>
      <c r="L130" s="55"/>
      <c r="M130" s="157" t="s">
        <v>193</v>
      </c>
      <c r="N130" s="368">
        <v>0</v>
      </c>
      <c r="O130" s="368"/>
      <c r="P130" s="158"/>
      <c r="Q130" s="159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8.75" customHeight="1">
      <c r="A131" s="157"/>
      <c r="B131" s="158"/>
      <c r="C131" s="158"/>
      <c r="D131" s="158"/>
      <c r="E131" s="159"/>
      <c r="F131" s="55"/>
      <c r="G131" s="157"/>
      <c r="H131" s="158"/>
      <c r="I131" s="158"/>
      <c r="J131" s="158"/>
      <c r="K131" s="159"/>
      <c r="L131" s="55"/>
      <c r="M131" s="157"/>
      <c r="N131" s="158"/>
      <c r="O131" s="158"/>
      <c r="P131" s="158"/>
      <c r="Q131" s="159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8.75" customHeight="1">
      <c r="A132" s="157" t="s">
        <v>94</v>
      </c>
      <c r="B132" s="158" t="s">
        <v>95</v>
      </c>
      <c r="C132" s="158"/>
      <c r="D132" s="158" t="s">
        <v>97</v>
      </c>
      <c r="E132" s="159"/>
      <c r="F132" s="55"/>
      <c r="G132" s="157" t="s">
        <v>94</v>
      </c>
      <c r="H132" s="158" t="s">
        <v>95</v>
      </c>
      <c r="I132" s="158"/>
      <c r="J132" s="158" t="s">
        <v>97</v>
      </c>
      <c r="K132" s="159"/>
      <c r="L132" s="55"/>
      <c r="M132" s="157" t="s">
        <v>94</v>
      </c>
      <c r="N132" s="158" t="s">
        <v>95</v>
      </c>
      <c r="O132" s="158"/>
      <c r="P132" s="158" t="s">
        <v>97</v>
      </c>
      <c r="Q132" s="159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8.75" customHeight="1">
      <c r="A133" s="169">
        <f>A158</f>
        <v>12</v>
      </c>
      <c r="B133" s="170">
        <f>B157</f>
        <v>5000</v>
      </c>
      <c r="C133" s="171"/>
      <c r="D133" s="170">
        <f>B64</f>
        <v>11</v>
      </c>
      <c r="E133" s="159"/>
      <c r="F133" s="55"/>
      <c r="G133" s="169">
        <f>G158</f>
        <v>12</v>
      </c>
      <c r="H133" s="170">
        <f>B157</f>
        <v>5000</v>
      </c>
      <c r="I133" s="171"/>
      <c r="J133" s="170">
        <f>B64</f>
        <v>11</v>
      </c>
      <c r="K133" s="159"/>
      <c r="L133" s="55"/>
      <c r="M133" s="169">
        <f>M161</f>
        <v>12</v>
      </c>
      <c r="N133" s="170">
        <f>B157</f>
        <v>5000</v>
      </c>
      <c r="O133" s="171"/>
      <c r="P133" s="170">
        <f>B64</f>
        <v>11</v>
      </c>
      <c r="Q133" s="159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8.75" customHeight="1">
      <c r="A134" s="157"/>
      <c r="B134" s="158"/>
      <c r="C134" s="158"/>
      <c r="D134" s="158"/>
      <c r="E134" s="159"/>
      <c r="F134" s="55"/>
      <c r="G134" s="157"/>
      <c r="H134" s="158"/>
      <c r="I134" s="158"/>
      <c r="J134" s="158"/>
      <c r="K134" s="159"/>
      <c r="L134" s="55"/>
      <c r="M134" s="157"/>
      <c r="N134" s="158"/>
      <c r="O134" s="158"/>
      <c r="P134" s="158"/>
      <c r="Q134" s="159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8.75" customHeight="1">
      <c r="A135" s="238" t="s">
        <v>347</v>
      </c>
      <c r="B135" s="239" t="s">
        <v>259</v>
      </c>
      <c r="C135" s="239"/>
      <c r="D135" s="239" t="s">
        <v>131</v>
      </c>
      <c r="E135" s="159"/>
      <c r="F135" s="55"/>
      <c r="G135" s="238" t="s">
        <v>302</v>
      </c>
      <c r="H135" s="239" t="s">
        <v>303</v>
      </c>
      <c r="I135" s="239"/>
      <c r="J135" s="239" t="s">
        <v>304</v>
      </c>
      <c r="K135" s="159"/>
      <c r="L135" s="55"/>
      <c r="M135" s="238" t="s">
        <v>347</v>
      </c>
      <c r="N135" s="239" t="s">
        <v>259</v>
      </c>
      <c r="O135" s="239"/>
      <c r="P135" s="239" t="s">
        <v>131</v>
      </c>
      <c r="Q135" s="159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8.75" customHeight="1">
      <c r="A136" s="242">
        <f>B96</f>
        <v>470.20844660364452</v>
      </c>
      <c r="B136" s="133">
        <f>IF(A111="YES",B95*B63,0)</f>
        <v>375.6521739130435</v>
      </c>
      <c r="C136" s="133"/>
      <c r="D136" s="133">
        <f>B97</f>
        <v>501.51279442973146</v>
      </c>
      <c r="E136" s="159"/>
      <c r="F136" s="55"/>
      <c r="G136" s="242" t="e">
        <f>H96</f>
        <v>#DIV/0!</v>
      </c>
      <c r="H136" s="133" t="e">
        <f>IF(G111="YES",H95*H63,0)</f>
        <v>#DIV/0!</v>
      </c>
      <c r="I136" s="133"/>
      <c r="J136" s="243" t="e">
        <f>H97</f>
        <v>#DIV/0!</v>
      </c>
      <c r="K136" s="159"/>
      <c r="L136" s="55"/>
      <c r="M136" s="242" t="e">
        <f>N96</f>
        <v>#DIV/0!</v>
      </c>
      <c r="N136" s="133" t="e">
        <f>IF(M111="YES",N95*N63,0)</f>
        <v>#DIV/0!</v>
      </c>
      <c r="O136" s="133"/>
      <c r="P136" s="133" t="e">
        <f>N97</f>
        <v>#DIV/0!</v>
      </c>
      <c r="Q136" s="159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8.75" customHeight="1">
      <c r="A137" s="157"/>
      <c r="B137" s="158"/>
      <c r="C137" s="158"/>
      <c r="D137" s="158"/>
      <c r="E137" s="159"/>
      <c r="F137" s="55"/>
      <c r="G137" s="157"/>
      <c r="H137" s="158"/>
      <c r="I137" s="158"/>
      <c r="J137" s="158"/>
      <c r="K137" s="159"/>
      <c r="L137" s="55"/>
      <c r="M137" s="157"/>
      <c r="N137" s="158"/>
      <c r="O137" s="158"/>
      <c r="P137" s="158"/>
      <c r="Q137" s="159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8.75" customHeight="1">
      <c r="A138" s="157" t="s">
        <v>348</v>
      </c>
      <c r="B138" s="158" t="s">
        <v>251</v>
      </c>
      <c r="C138" s="158"/>
      <c r="D138" s="158" t="s">
        <v>254</v>
      </c>
      <c r="E138" s="159"/>
      <c r="F138" s="55"/>
      <c r="G138" s="157" t="s">
        <v>307</v>
      </c>
      <c r="H138" s="158" t="s">
        <v>308</v>
      </c>
      <c r="I138" s="158"/>
      <c r="J138" s="158" t="s">
        <v>309</v>
      </c>
      <c r="K138" s="159"/>
      <c r="L138" s="55"/>
      <c r="M138" s="157" t="s">
        <v>348</v>
      </c>
      <c r="N138" s="158" t="s">
        <v>251</v>
      </c>
      <c r="O138" s="158"/>
      <c r="P138" s="158" t="s">
        <v>254</v>
      </c>
      <c r="Q138" s="159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8.75" customHeight="1">
      <c r="A139" s="138">
        <f>B96*B63</f>
        <v>5642.5013592437344</v>
      </c>
      <c r="B139" s="34">
        <f>IF(A111="YES",B95*B63,0)</f>
        <v>375.6521739130435</v>
      </c>
      <c r="C139" s="163"/>
      <c r="D139" s="137">
        <f>B97*B63</f>
        <v>6018.1535331567775</v>
      </c>
      <c r="E139" s="159"/>
      <c r="F139" s="55"/>
      <c r="G139" s="138" t="e">
        <f>H96*H63</f>
        <v>#DIV/0!</v>
      </c>
      <c r="H139" s="34" t="e">
        <f>IF(G111="YES",H95*H63,0)</f>
        <v>#DIV/0!</v>
      </c>
      <c r="I139" s="163"/>
      <c r="J139" s="34" t="e">
        <f>H97*H63</f>
        <v>#DIV/0!</v>
      </c>
      <c r="K139" s="159"/>
      <c r="L139" s="55"/>
      <c r="M139" s="138" t="e">
        <f>N96*N63</f>
        <v>#DIV/0!</v>
      </c>
      <c r="N139" s="34" t="e">
        <f>IF(M111="YES",N95*N63,0)</f>
        <v>#DIV/0!</v>
      </c>
      <c r="O139" s="163"/>
      <c r="P139" s="137" t="e">
        <f>N97*N63</f>
        <v>#DIV/0!</v>
      </c>
      <c r="Q139" s="159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8.75" customHeight="1">
      <c r="A140" s="157"/>
      <c r="B140" s="158"/>
      <c r="C140" s="158"/>
      <c r="D140" s="158"/>
      <c r="E140" s="159"/>
      <c r="F140" s="55"/>
      <c r="G140" s="157"/>
      <c r="H140" s="158"/>
      <c r="I140" s="158"/>
      <c r="J140" s="158"/>
      <c r="K140" s="159"/>
      <c r="L140" s="55"/>
      <c r="M140" s="157"/>
      <c r="N140" s="158"/>
      <c r="O140" s="158"/>
      <c r="P140" s="158"/>
      <c r="Q140" s="159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8.75" customHeight="1">
      <c r="A141" s="157" t="s">
        <v>261</v>
      </c>
      <c r="B141" s="158" t="s">
        <v>262</v>
      </c>
      <c r="C141" s="158"/>
      <c r="D141" s="158" t="s">
        <v>266</v>
      </c>
      <c r="E141" s="159"/>
      <c r="F141" s="55"/>
      <c r="G141" s="157" t="s">
        <v>312</v>
      </c>
      <c r="H141" s="158" t="s">
        <v>313</v>
      </c>
      <c r="I141" s="158"/>
      <c r="J141" s="158" t="s">
        <v>314</v>
      </c>
      <c r="K141" s="159"/>
      <c r="L141" s="55"/>
      <c r="M141" s="157" t="s">
        <v>261</v>
      </c>
      <c r="N141" s="158" t="s">
        <v>262</v>
      </c>
      <c r="O141" s="158"/>
      <c r="P141" s="158" t="s">
        <v>266</v>
      </c>
      <c r="Q141" s="159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8.75" customHeight="1">
      <c r="A142" s="94">
        <f>E15*0.000006</f>
        <v>0.35115000000000002</v>
      </c>
      <c r="B142" s="34">
        <f>IF(A111="YES",E15*0.000002,0)</f>
        <v>0.11705</v>
      </c>
      <c r="C142" s="34"/>
      <c r="D142" s="34">
        <f>A142+B142</f>
        <v>0.46820000000000001</v>
      </c>
      <c r="E142" s="90"/>
      <c r="F142" s="55"/>
      <c r="G142" s="94">
        <f>E15*0.000006</f>
        <v>0.35115000000000002</v>
      </c>
      <c r="H142" s="34">
        <f>IF(G111="YES",E15*0.000002,0)</f>
        <v>0.11705</v>
      </c>
      <c r="I142" s="34"/>
      <c r="J142" s="34">
        <f>G142+H142</f>
        <v>0.46820000000000001</v>
      </c>
      <c r="K142" s="90"/>
      <c r="L142" s="55"/>
      <c r="M142" s="94">
        <f>E15*0.000006</f>
        <v>0.35115000000000002</v>
      </c>
      <c r="N142" s="34">
        <f>IF(M111="YES",E15*0.000002,0)</f>
        <v>0.11705</v>
      </c>
      <c r="O142" s="34"/>
      <c r="P142" s="34">
        <f>M142+N142</f>
        <v>0.46820000000000001</v>
      </c>
      <c r="Q142" s="90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8.75" customHeight="1">
      <c r="A143" s="157"/>
      <c r="B143" s="158"/>
      <c r="C143" s="158"/>
      <c r="D143" s="158"/>
      <c r="E143" s="159"/>
      <c r="F143" s="55"/>
      <c r="G143" s="157"/>
      <c r="H143" s="158"/>
      <c r="I143" s="158"/>
      <c r="J143" s="158"/>
      <c r="K143" s="159"/>
      <c r="L143" s="55"/>
      <c r="M143" s="157"/>
      <c r="N143" s="158"/>
      <c r="O143" s="158"/>
      <c r="P143" s="158"/>
      <c r="Q143" s="159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8.75" customHeight="1">
      <c r="A144" s="157" t="s">
        <v>151</v>
      </c>
      <c r="B144" s="158" t="s">
        <v>316</v>
      </c>
      <c r="C144" s="158"/>
      <c r="D144" s="158" t="s">
        <v>317</v>
      </c>
      <c r="E144" s="159"/>
      <c r="F144" s="55"/>
      <c r="G144" s="157" t="s">
        <v>315</v>
      </c>
      <c r="H144" s="158" t="s">
        <v>316</v>
      </c>
      <c r="I144" s="158"/>
      <c r="J144" s="158" t="s">
        <v>317</v>
      </c>
      <c r="K144" s="159"/>
      <c r="L144" s="55"/>
      <c r="M144" s="157" t="s">
        <v>151</v>
      </c>
      <c r="N144" s="158" t="s">
        <v>316</v>
      </c>
      <c r="O144" s="158"/>
      <c r="P144" s="158" t="s">
        <v>317</v>
      </c>
      <c r="Q144" s="159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94">
        <f>A108</f>
        <v>199.99</v>
      </c>
      <c r="B145" s="34">
        <f>B73/1.2</f>
        <v>482.37500000000006</v>
      </c>
      <c r="C145" s="34"/>
      <c r="D145" s="34">
        <f>B108*0.9</f>
        <v>0</v>
      </c>
      <c r="E145" s="90"/>
      <c r="F145" s="55"/>
      <c r="G145" s="94">
        <f>G108</f>
        <v>239.988</v>
      </c>
      <c r="H145" s="34">
        <f>H73/1.2</f>
        <v>241.18750000000003</v>
      </c>
      <c r="I145" s="34"/>
      <c r="J145" s="34">
        <f>H108*0.9</f>
        <v>1080</v>
      </c>
      <c r="K145" s="90"/>
      <c r="L145" s="55"/>
      <c r="M145" s="94">
        <f>M108</f>
        <v>199.99</v>
      </c>
      <c r="N145" s="34">
        <f>N73/1.2</f>
        <v>241.18750000000003</v>
      </c>
      <c r="O145" s="34"/>
      <c r="P145" s="34">
        <f>N108*0.9</f>
        <v>1080</v>
      </c>
      <c r="Q145" s="90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157"/>
      <c r="B146" s="158"/>
      <c r="C146" s="158"/>
      <c r="D146" s="158"/>
      <c r="E146" s="159"/>
      <c r="F146" s="55"/>
      <c r="G146" s="157"/>
      <c r="H146" s="158"/>
      <c r="I146" s="158"/>
      <c r="J146" s="158"/>
      <c r="K146" s="159"/>
      <c r="L146" s="55"/>
      <c r="M146" s="157"/>
      <c r="N146" s="158"/>
      <c r="O146" s="158"/>
      <c r="P146" s="158"/>
      <c r="Q146" s="159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319</v>
      </c>
      <c r="B147" s="158" t="s">
        <v>320</v>
      </c>
      <c r="C147" s="158"/>
      <c r="D147" s="158" t="s">
        <v>321</v>
      </c>
      <c r="E147" s="159"/>
      <c r="F147" s="55"/>
      <c r="G147" s="157" t="s">
        <v>319</v>
      </c>
      <c r="H147" s="158" t="s">
        <v>320</v>
      </c>
      <c r="I147" s="158"/>
      <c r="J147" s="158" t="s">
        <v>321</v>
      </c>
      <c r="K147" s="159"/>
      <c r="L147" s="55"/>
      <c r="M147" s="157" t="s">
        <v>319</v>
      </c>
      <c r="N147" s="158" t="s">
        <v>320</v>
      </c>
      <c r="O147" s="158"/>
      <c r="P147" s="158" t="s">
        <v>321</v>
      </c>
      <c r="Q147" s="159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IF(A111="YES",((A41*B111)*0.1)*(A133),0)</f>
        <v>12</v>
      </c>
      <c r="B148" s="34">
        <f>A108-100</f>
        <v>99.990000000000009</v>
      </c>
      <c r="C148" s="34"/>
      <c r="D148" s="34">
        <f>(B145+D145+A148+B148)-B151</f>
        <v>594.36500000000001</v>
      </c>
      <c r="E148" s="90"/>
      <c r="F148" s="55"/>
      <c r="G148" s="94">
        <f>IF(G111="YES",((A41*H111)*0.1)*(G133),0)</f>
        <v>12</v>
      </c>
      <c r="H148" s="34">
        <f>G108-100</f>
        <v>139.988</v>
      </c>
      <c r="I148" s="34"/>
      <c r="J148" s="34">
        <f>(H145+J145+G148+H148)-H151</f>
        <v>1473.1755000000001</v>
      </c>
      <c r="K148" s="90"/>
      <c r="L148" s="55"/>
      <c r="M148" s="94">
        <f>IF(M111="YES",((A41*N111)*0.1)*(M133),0)</f>
        <v>12</v>
      </c>
      <c r="N148" s="34">
        <f>M108-100</f>
        <v>99.990000000000009</v>
      </c>
      <c r="O148" s="34"/>
      <c r="P148" s="34">
        <f>(N145+P145+M148+N148)-N151</f>
        <v>1433.1775</v>
      </c>
      <c r="Q148" s="90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58"/>
      <c r="I149" s="158"/>
      <c r="J149" s="158"/>
      <c r="K149" s="159"/>
      <c r="L149" s="55"/>
      <c r="M149" s="157"/>
      <c r="N149" s="158"/>
      <c r="O149" s="158"/>
      <c r="P149" s="158"/>
      <c r="Q149" s="159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323</v>
      </c>
      <c r="B150" s="158" t="s">
        <v>324</v>
      </c>
      <c r="C150" s="158"/>
      <c r="D150" s="158"/>
      <c r="E150" s="159"/>
      <c r="F150" s="55"/>
      <c r="G150" s="157" t="s">
        <v>323</v>
      </c>
      <c r="H150" s="158" t="s">
        <v>324</v>
      </c>
      <c r="I150" s="158"/>
      <c r="J150" s="158"/>
      <c r="K150" s="159"/>
      <c r="L150" s="55"/>
      <c r="M150" s="157" t="s">
        <v>323</v>
      </c>
      <c r="N150" s="158" t="s">
        <v>324</v>
      </c>
      <c r="O150" s="158"/>
      <c r="P150" s="158"/>
      <c r="Q150" s="159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0</v>
      </c>
      <c r="B151" s="34">
        <f>(B145+D145+A148+B148)*(A151/B70)</f>
        <v>0</v>
      </c>
      <c r="C151" s="158"/>
      <c r="D151" s="158"/>
      <c r="E151" s="159"/>
      <c r="F151" s="55"/>
      <c r="G151" s="94">
        <f>IF((1200-H108)&lt;=0,0,(1200-H108))</f>
        <v>0</v>
      </c>
      <c r="H151" s="34">
        <f>(H145+J145+G148+H148)*(G151/H70)</f>
        <v>0</v>
      </c>
      <c r="I151" s="158"/>
      <c r="J151" s="158"/>
      <c r="K151" s="159"/>
      <c r="L151" s="55"/>
      <c r="M151" s="94">
        <f>IF((1200-N108)&lt;=0,0,(1200-N108))</f>
        <v>0</v>
      </c>
      <c r="N151" s="34">
        <f>(N145+P145+M148+N148)*(M151/N70)</f>
        <v>0</v>
      </c>
      <c r="O151" s="158"/>
      <c r="P151" s="158"/>
      <c r="Q151" s="159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57"/>
      <c r="H152" s="158"/>
      <c r="I152" s="158"/>
      <c r="J152" s="158"/>
      <c r="K152" s="159"/>
      <c r="L152" s="55"/>
      <c r="M152" s="94"/>
      <c r="N152" s="34"/>
      <c r="O152" s="158"/>
      <c r="P152" s="158"/>
      <c r="Q152" s="159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/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53" t="s">
        <v>349</v>
      </c>
      <c r="N153" s="35" t="s">
        <v>350</v>
      </c>
      <c r="O153" s="158"/>
      <c r="P153" s="158"/>
      <c r="Q153" s="159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8.75" customHeight="1">
      <c r="A154" s="202" t="s">
        <v>329</v>
      </c>
      <c r="B154" s="158"/>
      <c r="C154" s="158"/>
      <c r="D154" s="203"/>
      <c r="E154" s="204"/>
      <c r="F154" s="55"/>
      <c r="G154" s="202" t="s">
        <v>329</v>
      </c>
      <c r="H154" s="158"/>
      <c r="I154" s="158"/>
      <c r="J154" s="203"/>
      <c r="K154" s="204"/>
      <c r="L154" s="55"/>
      <c r="M154" s="285">
        <f>H40</f>
        <v>0</v>
      </c>
      <c r="N154" s="400">
        <v>0.99</v>
      </c>
      <c r="O154" s="400"/>
      <c r="P154" s="158"/>
      <c r="Q154" s="159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83"/>
      <c r="C155" s="183"/>
      <c r="D155" s="158"/>
      <c r="E155" s="159"/>
      <c r="F155" s="55"/>
      <c r="G155" s="157"/>
      <c r="H155" s="183"/>
      <c r="I155" s="183"/>
      <c r="J155" s="158"/>
      <c r="K155" s="159"/>
      <c r="L155" s="55"/>
      <c r="M155" s="157"/>
      <c r="N155" s="158"/>
      <c r="O155" s="158"/>
      <c r="P155" s="158"/>
      <c r="Q155" s="159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387" t="s">
        <v>94</v>
      </c>
      <c r="B156" s="388" t="s">
        <v>95</v>
      </c>
      <c r="C156" s="388"/>
      <c r="D156" s="158"/>
      <c r="E156" s="159"/>
      <c r="F156" s="55"/>
      <c r="G156" s="387" t="s">
        <v>94</v>
      </c>
      <c r="H156" s="388" t="s">
        <v>95</v>
      </c>
      <c r="I156" s="388"/>
      <c r="J156" s="158"/>
      <c r="K156" s="159"/>
      <c r="L156" s="55"/>
      <c r="M156" s="157"/>
      <c r="N156" s="158"/>
      <c r="O156" s="158"/>
      <c r="P156" s="158"/>
      <c r="Q156" s="159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387"/>
      <c r="B157" s="389">
        <f>B57</f>
        <v>5000</v>
      </c>
      <c r="C157" s="389"/>
      <c r="D157" s="158"/>
      <c r="E157" s="159"/>
      <c r="F157" s="55"/>
      <c r="G157" s="387"/>
      <c r="H157" s="389">
        <f>B57</f>
        <v>5000</v>
      </c>
      <c r="I157" s="389"/>
      <c r="J157" s="158"/>
      <c r="K157" s="159"/>
      <c r="L157" s="55"/>
      <c r="M157" s="202" t="s">
        <v>329</v>
      </c>
      <c r="N157" s="158"/>
      <c r="O157" s="158"/>
      <c r="P157" s="203"/>
      <c r="Q157" s="204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85">
        <f>A58</f>
        <v>12</v>
      </c>
      <c r="B158" s="343">
        <f>B97</f>
        <v>501.51279442973146</v>
      </c>
      <c r="C158" s="343"/>
      <c r="D158" s="158"/>
      <c r="E158" s="159"/>
      <c r="F158" s="55"/>
      <c r="G158" s="185">
        <f>A58</f>
        <v>12</v>
      </c>
      <c r="H158" s="343" t="e">
        <f>H97</f>
        <v>#DIV/0!</v>
      </c>
      <c r="I158" s="343"/>
      <c r="J158" s="158"/>
      <c r="K158" s="159"/>
      <c r="L158" s="55"/>
      <c r="M158" s="157"/>
      <c r="N158" s="183"/>
      <c r="O158" s="183"/>
      <c r="P158" s="158"/>
      <c r="Q158" s="159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157"/>
      <c r="B159" s="158"/>
      <c r="C159" s="158"/>
      <c r="D159" s="158"/>
      <c r="E159" s="159"/>
      <c r="F159" s="55"/>
      <c r="G159" s="157"/>
      <c r="H159" s="158"/>
      <c r="I159" s="158"/>
      <c r="J159" s="158"/>
      <c r="K159" s="159"/>
      <c r="L159" s="55"/>
      <c r="M159" s="387" t="s">
        <v>94</v>
      </c>
      <c r="N159" s="388" t="s">
        <v>95</v>
      </c>
      <c r="O159" s="388"/>
      <c r="P159" s="158"/>
      <c r="Q159" s="159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157"/>
      <c r="B160" s="158"/>
      <c r="C160" s="158"/>
      <c r="D160" s="158"/>
      <c r="E160" s="159"/>
      <c r="F160" s="55"/>
      <c r="G160" s="157"/>
      <c r="H160" s="158"/>
      <c r="I160" s="158"/>
      <c r="J160" s="158"/>
      <c r="K160" s="159"/>
      <c r="L160" s="55"/>
      <c r="M160" s="387"/>
      <c r="N160" s="389">
        <f>B57</f>
        <v>5000</v>
      </c>
      <c r="O160" s="389"/>
      <c r="P160" s="158"/>
      <c r="Q160" s="159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57"/>
      <c r="B161" s="158"/>
      <c r="C161" s="158"/>
      <c r="D161" s="158"/>
      <c r="E161" s="159"/>
      <c r="F161" s="55"/>
      <c r="G161" s="157"/>
      <c r="H161" s="158"/>
      <c r="I161" s="158"/>
      <c r="J161" s="158"/>
      <c r="K161" s="159"/>
      <c r="L161" s="55"/>
      <c r="M161" s="185">
        <f>A58</f>
        <v>12</v>
      </c>
      <c r="N161" s="343" t="e">
        <f>N97</f>
        <v>#DIV/0!</v>
      </c>
      <c r="O161" s="343"/>
      <c r="P161" s="158"/>
      <c r="Q161" s="159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157"/>
      <c r="H162" s="158"/>
      <c r="I162" s="158"/>
      <c r="J162" s="158"/>
      <c r="K162" s="159"/>
      <c r="L162" s="55"/>
      <c r="M162" s="157"/>
      <c r="N162" s="158"/>
      <c r="O162" s="158"/>
      <c r="P162" s="158"/>
      <c r="Q162" s="159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206"/>
      <c r="B163" s="207"/>
      <c r="C163" s="207"/>
      <c r="D163" s="207"/>
      <c r="E163" s="208"/>
      <c r="F163" s="55"/>
      <c r="G163" s="206"/>
      <c r="H163" s="207"/>
      <c r="I163" s="207"/>
      <c r="J163" s="207"/>
      <c r="K163" s="208"/>
      <c r="L163" s="55"/>
      <c r="M163" s="157"/>
      <c r="N163" s="158"/>
      <c r="O163" s="158"/>
      <c r="P163" s="158"/>
      <c r="Q163" s="159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157"/>
      <c r="N164" s="158"/>
      <c r="O164" s="158"/>
      <c r="P164" s="158"/>
      <c r="Q164" s="159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157"/>
      <c r="N165" s="158"/>
      <c r="O165" s="158"/>
      <c r="P165" s="158"/>
      <c r="Q165" s="159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157"/>
      <c r="N166" s="158"/>
      <c r="O166" s="158"/>
      <c r="P166" s="158"/>
      <c r="Q166" s="159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157"/>
      <c r="N167" s="158"/>
      <c r="O167" s="158"/>
      <c r="P167" s="158"/>
      <c r="Q167" s="159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206"/>
      <c r="N168" s="207"/>
      <c r="O168" s="207"/>
      <c r="P168" s="207"/>
      <c r="Q168" s="208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8.7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8.7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8.7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8.7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8.7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8.7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8.7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8.7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8.7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/>
    <row r="363" spans="1:26" ht="15.75" customHeight="1"/>
    <row r="364" spans="1:26" ht="15.75" customHeight="1"/>
    <row r="365" spans="1:26" ht="15.75" customHeight="1"/>
    <row r="366" spans="1:26" ht="15.75" customHeight="1"/>
    <row r="367" spans="1:26" ht="15.75" customHeight="1"/>
    <row r="368" spans="1:2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2">
    <mergeCell ref="N161:O161"/>
    <mergeCell ref="B158:C158"/>
    <mergeCell ref="H158:I158"/>
    <mergeCell ref="M159:M160"/>
    <mergeCell ref="N159:O159"/>
    <mergeCell ref="N160:O160"/>
    <mergeCell ref="B130:C130"/>
    <mergeCell ref="H130:I130"/>
    <mergeCell ref="N130:O130"/>
    <mergeCell ref="N154:O154"/>
    <mergeCell ref="A156:A157"/>
    <mergeCell ref="B156:C156"/>
    <mergeCell ref="G156:G157"/>
    <mergeCell ref="H156:I156"/>
    <mergeCell ref="B157:C157"/>
    <mergeCell ref="H157:I157"/>
    <mergeCell ref="P111:Q111"/>
    <mergeCell ref="A114:E114"/>
    <mergeCell ref="G114:K114"/>
    <mergeCell ref="M114:Q114"/>
    <mergeCell ref="A128:E128"/>
    <mergeCell ref="G128:K128"/>
    <mergeCell ref="M128:Q128"/>
    <mergeCell ref="B111:C111"/>
    <mergeCell ref="D111:E111"/>
    <mergeCell ref="H111:I111"/>
    <mergeCell ref="J111:K111"/>
    <mergeCell ref="N111:O111"/>
    <mergeCell ref="P105:Q105"/>
    <mergeCell ref="B108:C108"/>
    <mergeCell ref="D108:E108"/>
    <mergeCell ref="H108:I108"/>
    <mergeCell ref="J108:K108"/>
    <mergeCell ref="N108:O108"/>
    <mergeCell ref="P108:Q108"/>
    <mergeCell ref="B105:C105"/>
    <mergeCell ref="D105:E105"/>
    <mergeCell ref="H105:I105"/>
    <mergeCell ref="J105:K105"/>
    <mergeCell ref="N105:O105"/>
    <mergeCell ref="G100:K100"/>
    <mergeCell ref="M100:Q100"/>
    <mergeCell ref="A102:E102"/>
    <mergeCell ref="G102:K102"/>
    <mergeCell ref="M102:Q102"/>
    <mergeCell ref="A56:A57"/>
    <mergeCell ref="B56:C56"/>
    <mergeCell ref="B57:C57"/>
    <mergeCell ref="B58:C58"/>
    <mergeCell ref="A100:E100"/>
    <mergeCell ref="G42:H42"/>
    <mergeCell ref="B44:C44"/>
    <mergeCell ref="D44:E44"/>
    <mergeCell ref="B47:C47"/>
    <mergeCell ref="D47:E47"/>
    <mergeCell ref="B35:C35"/>
    <mergeCell ref="D35:E35"/>
    <mergeCell ref="B38:C38"/>
    <mergeCell ref="D38:E38"/>
    <mergeCell ref="B41:C41"/>
    <mergeCell ref="D41:E41"/>
    <mergeCell ref="A26:E26"/>
    <mergeCell ref="B29:C29"/>
    <mergeCell ref="D29:E29"/>
    <mergeCell ref="B30:C30"/>
    <mergeCell ref="B32:C32"/>
    <mergeCell ref="D32:E32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4">
    <dataValidation type="list" allowBlank="1" showErrorMessage="1" sqref="B38 A50 A111 G111 M111 O113 B116 H116 N116" xr:uid="{00000000-0002-0000-4500-000000000000}">
      <formula1>$Z$19:$Z$20</formula1>
      <formula2>0</formula2>
    </dataValidation>
    <dataValidation type="list" allowBlank="1" showErrorMessage="1" sqref="A18:A20" xr:uid="{00000000-0002-0000-4500-000001000000}">
      <formula1>$Y$16:$Y$18</formula1>
      <formula2>0</formula2>
    </dataValidation>
    <dataValidation type="list" allowBlank="1" showErrorMessage="1" sqref="B65 B105" xr:uid="{00000000-0002-0000-4500-000002000000}">
      <formula1>$Z$103:$Z$111</formula1>
      <formula2>0</formula2>
    </dataValidation>
    <dataValidation type="list" allowBlank="1" showErrorMessage="1" sqref="A32 H105 N105" xr:uid="{00000000-0002-0000-4500-000003000000}">
      <formula1>$Y$103:$Y$112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AA1000"/>
  <sheetViews>
    <sheetView topLeftCell="A95" zoomScale="110" zoomScaleNormal="110" workbookViewId="0">
      <selection activeCell="A103" sqref="A103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87">
        <v>20255</v>
      </c>
      <c r="C3" s="187">
        <v>0</v>
      </c>
      <c r="D3" s="187">
        <v>0</v>
      </c>
      <c r="E3" s="289">
        <v>0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56">
        <v>0</v>
      </c>
      <c r="C4" s="328">
        <v>0</v>
      </c>
      <c r="D4" s="56">
        <v>0</v>
      </c>
      <c r="E4" s="214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>
        <v>0</v>
      </c>
      <c r="C5" s="187">
        <v>0</v>
      </c>
      <c r="D5" s="187">
        <v>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0</v>
      </c>
      <c r="C6" s="28">
        <f>(C3*C4/100)+C5</f>
        <v>0</v>
      </c>
      <c r="D6" s="28">
        <f>(D3*D4/100)+D5</f>
        <v>0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20255</v>
      </c>
      <c r="C7" s="28">
        <f>C3-C6</f>
        <v>0</v>
      </c>
      <c r="D7" s="28">
        <f>D3-D6</f>
        <v>0</v>
      </c>
      <c r="E7" s="29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55"/>
      <c r="H8" s="55"/>
      <c r="I8" s="14" t="s">
        <v>17</v>
      </c>
      <c r="J8" s="11">
        <f>E13+E14</f>
        <v>340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/>
      <c r="C9" s="408"/>
      <c r="D9" s="408"/>
      <c r="E9" s="320">
        <f>B7+C7+D7+E3</f>
        <v>20255</v>
      </c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>
        <v>695</v>
      </c>
      <c r="F10" s="55"/>
      <c r="G10" s="55"/>
      <c r="H10" s="55"/>
      <c r="I10" s="16" t="s">
        <v>15</v>
      </c>
      <c r="J10" s="11">
        <f>E15-E11-J8</f>
        <v>20950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/>
      <c r="C11" s="409"/>
      <c r="D11" s="409"/>
      <c r="E11" s="29">
        <f>(E9+E10)*20%</f>
        <v>4190</v>
      </c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/>
      <c r="C13" s="409"/>
      <c r="D13" s="409"/>
      <c r="E13" s="289">
        <v>275</v>
      </c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>
        <v>65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291">
        <f>(E9+E10+E13+E14+E11)-E12</f>
        <v>25480</v>
      </c>
      <c r="F15" s="55"/>
      <c r="G15" s="17">
        <f>E15</f>
        <v>25480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>
        <v>0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(B3+C3+E10+D3+E3)*1.2</f>
        <v>25140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>
        <v>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25480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IF(A32=Z101,1,IF(A32=Z102,1,IF(A32=Z103,3,IF(A32=Z104,6,IF(A32=Z105,9,IF(A32=Z106,12,IF(A32=Z107,3,IF(A32=Z108,6,IF(A32=Z109,9,0)))))))))</f>
        <v>1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IF(A32=Z101,H29-H27,IF(A32=Z102,H29-H27,IF(A32=Z103,H29-1,IF(A32=Z104,H29-1,IF(A32=Z105,H29-1,IF(A32=Z106,H29-1,IF(A32=Z107,H29-H27,IF(A32=Z108,H29-H27,IF(A32=Z109,H29-H27,0)))))))))</f>
        <v>11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>
        <f>IF(A32=Z101,D38,IF(A32=Z102,D38,IF(A32=Z103,(D38*3),IF(A32=Z104,(D38*6),IF(A32=Z105,(D38*9),IF(A32=Z106,(D38*12),IF(A32=Z107,D38,IF(A32=Z108,D38,IF(A32=Z109,D38,0)))))))))</f>
        <v>500</v>
      </c>
      <c r="C32" s="381"/>
      <c r="D32" s="381">
        <f>IF(A32=Z101,A41,IF(A32=Z102,A41,IF(A32=Z103,(A41*3),IF(A32=Z104,(A41*6),IF(A32=Z105,(A41*9),IF(A32=Z106,(A41*12),IF(A32=Z107,A41,IF(A32=Z108,A41,IF(A32=Z109,A41,0)))))))))</f>
        <v>0</v>
      </c>
      <c r="E32" s="381"/>
      <c r="F32" s="55"/>
      <c r="G32" s="168" t="s">
        <v>253</v>
      </c>
      <c r="H32" s="166">
        <f>A41</f>
        <v>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/>
      <c r="H33" s="160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>
        <f>D41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>
        <v>12</v>
      </c>
      <c r="C35" s="378"/>
      <c r="D35" s="378">
        <v>5000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386</v>
      </c>
      <c r="C38" s="378"/>
      <c r="D38" s="346">
        <v>500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151</v>
      </c>
      <c r="E40" s="159"/>
      <c r="F40" s="55"/>
      <c r="G40" s="55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>
        <v>0</v>
      </c>
      <c r="B41" s="383">
        <f>IF(B38="YES",D38+A41,D38)</f>
        <v>500</v>
      </c>
      <c r="C41" s="383"/>
      <c r="D41" s="346">
        <v>12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261</v>
      </c>
      <c r="B43" s="178" t="s">
        <v>262</v>
      </c>
      <c r="C43" s="171"/>
      <c r="D43" s="178" t="s">
        <v>266</v>
      </c>
      <c r="E43" s="181"/>
      <c r="F43" s="55"/>
      <c r="G43" s="55" t="s">
        <v>263</v>
      </c>
      <c r="H43" s="5">
        <f>(((D38*(B35-1))+B32)/B35)+(D41/B35)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>
        <v>1</v>
      </c>
      <c r="B44" s="346">
        <v>0</v>
      </c>
      <c r="C44" s="346"/>
      <c r="D44" s="394">
        <f>A44+B44</f>
        <v>1</v>
      </c>
      <c r="E44" s="394"/>
      <c r="F44" s="55"/>
      <c r="G44" s="55" t="s">
        <v>264</v>
      </c>
      <c r="H44" s="5">
        <f>((A41*(B35-1))+D32)/B35</f>
        <v>0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1" t="s">
        <v>280</v>
      </c>
      <c r="B46" s="171"/>
      <c r="C46" s="171"/>
      <c r="D46" s="171"/>
      <c r="E46" s="181"/>
      <c r="F46" s="55"/>
      <c r="G46" s="55" t="s">
        <v>269</v>
      </c>
      <c r="H46" s="5">
        <f>H43</f>
        <v>501</v>
      </c>
      <c r="I46" s="5" t="s">
        <v>10</v>
      </c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6"/>
      <c r="B47" s="171"/>
      <c r="C47" s="171"/>
      <c r="D47" s="171"/>
      <c r="E47" s="181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55"/>
      <c r="H48" s="5"/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/>
      <c r="H49" s="20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5000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12</v>
      </c>
      <c r="B52" s="343">
        <f>H45</f>
        <v>501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IF(B99=Z101,1,IF(B99=Z102,1,IF(B99=Z103,3,IF(B99=Z104,6,IF(B99=Z105,9,IF(B99=Z106,12,IF(B99=Z107,3,IF(B99=Z108,6,IF(B99=Z109,9,0)))))))))</f>
        <v>1</v>
      </c>
      <c r="C57" s="158"/>
      <c r="D57" s="158"/>
      <c r="E57" s="159"/>
      <c r="F57" s="55"/>
      <c r="G57" s="157" t="s">
        <v>96</v>
      </c>
      <c r="H57" s="158">
        <f>IF(H99=Z101,1,IF(H99=Z102,1,IF(H99=Z103,3,IF(H99=Z104,6,IF(H99=Z105,9,IF(H99=Z106,12,IF(H99=Z107,3,IF(H99=Z108,6,IF(H99=Z109,9,0)))))))))</f>
        <v>1</v>
      </c>
      <c r="I57" s="158"/>
      <c r="J57" s="158"/>
      <c r="K57" s="159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IF(B99=Z101,H29-B57,IF(B99=Z102,H29-B57,IF(B99=Z103,H29-1,IF(B99=Z104,H29-1,IF(B99=Z105,H29-1,IF(B99=Z106,H29-1,IF(B99=Z107,H29-B57,IF(B99=Z108,H29-B57,IF(B99=Z109,H29-B57,0)))))))))</f>
        <v>11</v>
      </c>
      <c r="C58" s="158" t="s">
        <v>281</v>
      </c>
      <c r="D58" s="158"/>
      <c r="E58" s="159"/>
      <c r="F58" s="55"/>
      <c r="G58" s="157" t="s">
        <v>97</v>
      </c>
      <c r="H58" s="158">
        <f>IF(H99=Z101,H29-H57,IF(H99=Z102,H29-H57,IF(H99=Z103,H29-1,IF(H99=Z104,H29-1,IF(H99=Z105,H29-1,IF(H99=Z106,H29-1,IF(H99=Z107,H29-H57,IF(H99=Z108,H29-H57,IF(H99=Z109,H29-H57,0)))))))))</f>
        <v>11</v>
      </c>
      <c r="I58" s="158"/>
      <c r="J58" s="158"/>
      <c r="K58" s="159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/>
      <c r="B60" s="158"/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f>G18</f>
        <v>25140</v>
      </c>
      <c r="C61" s="158"/>
      <c r="D61" s="158"/>
      <c r="E61" s="159"/>
      <c r="F61" s="55"/>
      <c r="G61" s="157" t="s">
        <v>27</v>
      </c>
      <c r="H61" s="28">
        <f>G18</f>
        <v>25140</v>
      </c>
      <c r="I61" s="158"/>
      <c r="J61" s="158"/>
      <c r="K61" s="159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>
        <v>7.0000000000000007E-2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7.0000000000000007E-2</v>
      </c>
      <c r="C63" s="158"/>
      <c r="D63" s="158"/>
      <c r="E63" s="159"/>
      <c r="F63" s="55"/>
      <c r="G63" s="157" t="s">
        <v>284</v>
      </c>
      <c r="H63" s="214">
        <f>H62+(H62*0.25*(H29/12-1))</f>
        <v>7.0000000000000007E-2</v>
      </c>
      <c r="I63" s="158"/>
      <c r="J63" s="158"/>
      <c r="K63" s="159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B61*B63</f>
        <v>1759.8000000000002</v>
      </c>
      <c r="C64" s="158">
        <v>10000</v>
      </c>
      <c r="D64" s="28">
        <f>B64</f>
        <v>1759.8000000000002</v>
      </c>
      <c r="E64" s="159"/>
      <c r="F64" s="55"/>
      <c r="G64" s="206" t="s">
        <v>102</v>
      </c>
      <c r="H64" s="57">
        <f>H61*H63</f>
        <v>1759.8000000000002</v>
      </c>
      <c r="I64" s="158"/>
      <c r="J64" s="28">
        <f>H64</f>
        <v>1759.8000000000002</v>
      </c>
      <c r="K64" s="159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3">
        <v>100</v>
      </c>
      <c r="C65" s="158"/>
      <c r="D65" s="158"/>
      <c r="E65" s="159"/>
      <c r="F65" s="55"/>
      <c r="G65" s="212" t="s">
        <v>103</v>
      </c>
      <c r="H65" s="213">
        <v>5.0000000000000001E-3</v>
      </c>
      <c r="I65" s="158"/>
      <c r="J65" s="158"/>
      <c r="K65" s="159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>
        <f>B65+(B65*0.5*(H29/12-1))</f>
        <v>100</v>
      </c>
      <c r="C66" s="158"/>
      <c r="D66" s="158"/>
      <c r="E66" s="159"/>
      <c r="F66" s="55"/>
      <c r="G66" s="157" t="s">
        <v>104</v>
      </c>
      <c r="H66" s="214">
        <f>H65+(H65*0.5*(H29/12-1))</f>
        <v>5.0000000000000001E-3</v>
      </c>
      <c r="I66" s="158"/>
      <c r="J66" s="158"/>
      <c r="K66" s="159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100</v>
      </c>
      <c r="C67" s="158"/>
      <c r="D67" s="28"/>
      <c r="E67" s="159"/>
      <c r="F67" s="55"/>
      <c r="G67" s="206" t="s">
        <v>105</v>
      </c>
      <c r="H67" s="57">
        <f>H61*H66</f>
        <v>125.7</v>
      </c>
      <c r="I67" s="158"/>
      <c r="J67" s="28"/>
      <c r="K67" s="159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>
        <v>7.4999999999999997E-3</v>
      </c>
      <c r="C68" s="158"/>
      <c r="D68" s="15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>
        <v>200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>
        <v>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60</v>
      </c>
      <c r="C73" s="158"/>
      <c r="D73" s="28">
        <f>B73+B71</f>
        <v>260</v>
      </c>
      <c r="E73" s="159"/>
      <c r="F73" s="55"/>
      <c r="G73" s="206" t="s">
        <v>111</v>
      </c>
      <c r="H73" s="57">
        <f>H72*H29</f>
        <v>54</v>
      </c>
      <c r="I73" s="158"/>
      <c r="J73" s="28">
        <f>H73+H71</f>
        <v>214</v>
      </c>
      <c r="K73" s="159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>
        <v>0</v>
      </c>
      <c r="C74" s="158"/>
      <c r="D74" s="158"/>
      <c r="E74" s="159"/>
      <c r="F74" s="55"/>
      <c r="G74" s="212" t="s">
        <v>285</v>
      </c>
      <c r="H74" s="74">
        <v>150</v>
      </c>
      <c r="I74" s="158"/>
      <c r="J74" s="158"/>
      <c r="K74" s="159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>
        <v>0</v>
      </c>
      <c r="C75" s="158">
        <f>IF(G18&gt;40000,325,0)</f>
        <v>0</v>
      </c>
      <c r="D75" s="158"/>
      <c r="E75" s="159"/>
      <c r="F75" s="55"/>
      <c r="G75" s="216" t="s">
        <v>286</v>
      </c>
      <c r="H75" s="65">
        <f>IF(G18&gt;40000,325,0)</f>
        <v>0</v>
      </c>
      <c r="I75" s="158"/>
      <c r="J75" s="158"/>
      <c r="K75" s="159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((B74+B75)/12)*(H29-11)</f>
        <v>0</v>
      </c>
      <c r="C76" s="158"/>
      <c r="D76" s="28">
        <f>B76</f>
        <v>0</v>
      </c>
      <c r="E76" s="159"/>
      <c r="F76" s="55"/>
      <c r="G76" s="206" t="s">
        <v>287</v>
      </c>
      <c r="H76" s="57">
        <f>((H74+H75)/12)*(H29-11)</f>
        <v>12.5</v>
      </c>
      <c r="I76" s="158"/>
      <c r="J76" s="28">
        <f>H76</f>
        <v>12.5</v>
      </c>
      <c r="K76" s="159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288</v>
      </c>
      <c r="B77" s="74">
        <f>B102/(1-0.1)</f>
        <v>444.44444444444446</v>
      </c>
      <c r="C77" s="158"/>
      <c r="D77" s="28">
        <f>B77</f>
        <v>444.44444444444446</v>
      </c>
      <c r="E77" s="159"/>
      <c r="F77" s="55"/>
      <c r="G77" s="212" t="s">
        <v>288</v>
      </c>
      <c r="H77" s="74">
        <f>H102</f>
        <v>1200</v>
      </c>
      <c r="I77" s="158"/>
      <c r="J77" s="28">
        <f>H77</f>
        <v>1200</v>
      </c>
      <c r="K77" s="159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158"/>
      <c r="D78" s="28">
        <f>B78</f>
        <v>222.22222222222223</v>
      </c>
      <c r="E78" s="159"/>
      <c r="F78" s="55"/>
      <c r="G78" s="157" t="s">
        <v>289</v>
      </c>
      <c r="H78" s="29">
        <f>J102</f>
        <v>0</v>
      </c>
      <c r="I78" s="158"/>
      <c r="J78" s="28">
        <f>H78</f>
        <v>0</v>
      </c>
      <c r="K78" s="159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>
        <v>200</v>
      </c>
      <c r="C79" s="158"/>
      <c r="D79" s="28">
        <f>B79</f>
        <v>200</v>
      </c>
      <c r="E79" s="159"/>
      <c r="F79" s="55"/>
      <c r="G79" s="216" t="s">
        <v>112</v>
      </c>
      <c r="H79" s="65">
        <v>100</v>
      </c>
      <c r="I79" s="158"/>
      <c r="J79" s="28">
        <f>H79</f>
        <v>100</v>
      </c>
      <c r="K79" s="159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>
        <v>200</v>
      </c>
      <c r="C80" s="158"/>
      <c r="D80" s="28">
        <f>B80</f>
        <v>200</v>
      </c>
      <c r="E80" s="159"/>
      <c r="F80" s="55"/>
      <c r="G80" s="219" t="s">
        <v>113</v>
      </c>
      <c r="H80" s="75">
        <v>100</v>
      </c>
      <c r="I80" s="158"/>
      <c r="J80" s="28">
        <f>H80</f>
        <v>100</v>
      </c>
      <c r="K80" s="159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3086.4666666666667</v>
      </c>
      <c r="C81" s="158"/>
      <c r="D81" s="158"/>
      <c r="E81" s="159"/>
      <c r="F81" s="55"/>
      <c r="G81" s="220" t="s">
        <v>114</v>
      </c>
      <c r="H81" s="221">
        <f>SUM(J64:J80)</f>
        <v>3386.3</v>
      </c>
      <c r="I81" s="158"/>
      <c r="J81" s="158"/>
      <c r="K81" s="159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257.20555555555558</v>
      </c>
      <c r="C82" s="158"/>
      <c r="D82" s="158"/>
      <c r="E82" s="159"/>
      <c r="F82" s="55"/>
      <c r="G82" s="157" t="s">
        <v>115</v>
      </c>
      <c r="H82" s="29">
        <f>H81/H29</f>
        <v>282.19166666666666</v>
      </c>
      <c r="I82" s="158"/>
      <c r="J82" s="158"/>
      <c r="K82" s="159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H46</f>
        <v>501</v>
      </c>
      <c r="C83" s="158"/>
      <c r="D83" s="158"/>
      <c r="E83" s="159"/>
      <c r="F83" s="55"/>
      <c r="G83" s="222" t="s">
        <v>116</v>
      </c>
      <c r="H83" s="52">
        <f>H46</f>
        <v>501</v>
      </c>
      <c r="I83" s="158"/>
      <c r="J83" s="158"/>
      <c r="K83" s="159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158"/>
      <c r="D84" s="158"/>
      <c r="E84" s="159"/>
      <c r="F84" s="55"/>
      <c r="G84" s="157"/>
      <c r="H84" s="28"/>
      <c r="I84" s="158"/>
      <c r="J84" s="158"/>
      <c r="K84" s="159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((B83*(H29)+B81))*1.2</f>
        <v>10918.16</v>
      </c>
      <c r="C85" s="158"/>
      <c r="D85" s="158"/>
      <c r="E85" s="159"/>
      <c r="F85" s="55"/>
      <c r="G85" s="209" t="s">
        <v>126</v>
      </c>
      <c r="H85" s="24">
        <f>((H83*(H27+H28))+H81)*1.2</f>
        <v>11277.96</v>
      </c>
      <c r="I85" s="158"/>
      <c r="J85" s="158"/>
      <c r="K85" s="159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(((B83*(H29))+B81)/(1-B70))*B70</f>
        <v>77.074546187979024</v>
      </c>
      <c r="C86" s="158"/>
      <c r="D86" s="158"/>
      <c r="E86" s="159"/>
      <c r="F86" s="55"/>
      <c r="G86" s="157" t="s">
        <v>127</v>
      </c>
      <c r="H86" s="29">
        <f>(((H83*(H27+H28))+H81)/(1-H70))*H70</f>
        <v>79.614481645824938</v>
      </c>
      <c r="I86" s="158"/>
      <c r="J86" s="158"/>
      <c r="K86" s="159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10995.23454618798</v>
      </c>
      <c r="C87" s="158"/>
      <c r="D87" s="158"/>
      <c r="E87" s="159"/>
      <c r="F87" s="55"/>
      <c r="G87" s="206" t="s">
        <v>128</v>
      </c>
      <c r="H87" s="57">
        <f>IF(H110="YES",((H85+H86)-A151-K114),((H85+H86)-A151))</f>
        <v>11132.574481645825</v>
      </c>
      <c r="I87" s="158"/>
      <c r="J87" s="158"/>
      <c r="K87" s="159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158"/>
      <c r="D88" s="158"/>
      <c r="E88" s="159"/>
      <c r="F88" s="55"/>
      <c r="G88" s="157"/>
      <c r="H88" s="28"/>
      <c r="I88" s="158"/>
      <c r="J88" s="158"/>
      <c r="K88" s="159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3">
        <f>IF(B99=Z102,(((H44*B35)+(H44*B35)*(B105/100))/(B58))*1.2,(((H44*B35)+(H44*B35)*(B105/100))/(B57+B58))*1.2)</f>
        <v>0</v>
      </c>
      <c r="C89" s="158"/>
      <c r="D89" s="158"/>
      <c r="E89" s="159"/>
      <c r="F89" s="55"/>
      <c r="G89" s="220" t="s">
        <v>129</v>
      </c>
      <c r="H89" s="221">
        <f>(A41+(A41*H105))*1.2</f>
        <v>0</v>
      </c>
      <c r="I89" s="158"/>
      <c r="J89" s="158"/>
      <c r="K89" s="159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IF(B99=Z102,(B87-D105)/(B58),B87/(B57+B58))</f>
        <v>916.26954551566496</v>
      </c>
      <c r="C90" s="158"/>
      <c r="D90" s="158"/>
      <c r="E90" s="159"/>
      <c r="F90" s="55"/>
      <c r="G90" s="224" t="s">
        <v>130</v>
      </c>
      <c r="H90" s="225">
        <f>IF(H99=AE98,(H87-J105)/(H58),H87/(H57+H58))</f>
        <v>927.71454013715208</v>
      </c>
      <c r="I90" s="158"/>
      <c r="J90" s="158"/>
      <c r="K90" s="159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916.26954551566496</v>
      </c>
      <c r="C91" s="158"/>
      <c r="D91" s="158"/>
      <c r="E91" s="159"/>
      <c r="F91" s="55"/>
      <c r="G91" s="226" t="s">
        <v>131</v>
      </c>
      <c r="H91" s="227">
        <f>IF(G105="YES",H90+H89,H90)</f>
        <v>927.71454013715208</v>
      </c>
      <c r="I91" s="158"/>
      <c r="J91" s="158"/>
      <c r="K91" s="159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207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46.5" customHeight="1">
      <c r="A94" s="376" t="s">
        <v>290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/>
      <c r="F95" s="55"/>
      <c r="G95" s="157"/>
      <c r="H95" s="158"/>
      <c r="I95" s="158"/>
      <c r="J95" s="158"/>
      <c r="K95" s="159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7" ht="18.75" customHeight="1">
      <c r="A97" s="157"/>
      <c r="B97" s="158"/>
      <c r="C97" s="158"/>
      <c r="D97" s="158"/>
      <c r="E97" s="159"/>
      <c r="F97" s="55"/>
      <c r="G97" s="157"/>
      <c r="H97" s="158"/>
      <c r="I97" s="158"/>
      <c r="J97" s="158"/>
      <c r="K97" s="159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7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7" ht="18.75" customHeight="1">
      <c r="A99" s="162" t="s">
        <v>292</v>
      </c>
      <c r="B99" s="395" t="s">
        <v>140</v>
      </c>
      <c r="C99" s="395"/>
      <c r="D99" s="348">
        <v>1000</v>
      </c>
      <c r="E99" s="348"/>
      <c r="F99" s="55"/>
      <c r="G99" s="162" t="s">
        <v>292</v>
      </c>
      <c r="H99" s="395" t="s">
        <v>140</v>
      </c>
      <c r="I99" s="395"/>
      <c r="J99" s="348">
        <v>0</v>
      </c>
      <c r="K99" s="348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7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spans="1:27" ht="18.75" customHeight="1">
      <c r="A101" s="157" t="s">
        <v>293</v>
      </c>
      <c r="B101" s="158" t="s">
        <v>294</v>
      </c>
      <c r="C101" s="158"/>
      <c r="D101" s="158" t="s">
        <v>295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 t="s">
        <v>140</v>
      </c>
      <c r="AA101" s="55"/>
    </row>
    <row r="102" spans="1:27" ht="18.75" customHeight="1">
      <c r="A102" s="228">
        <v>900</v>
      </c>
      <c r="B102" s="348">
        <v>400</v>
      </c>
      <c r="C102" s="348"/>
      <c r="D102" s="348">
        <v>200</v>
      </c>
      <c r="E102" s="348"/>
      <c r="F102" s="55"/>
      <c r="G102" s="228">
        <f>199.99*1.2</f>
        <v>239.988</v>
      </c>
      <c r="H102" s="348">
        <v>1200</v>
      </c>
      <c r="I102" s="348"/>
      <c r="J102" s="348">
        <v>0</v>
      </c>
      <c r="K102" s="348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 t="s">
        <v>270</v>
      </c>
      <c r="AA102" s="55"/>
    </row>
    <row r="103" spans="1:27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Z103" s="55" t="s">
        <v>271</v>
      </c>
      <c r="AA103" s="55"/>
    </row>
    <row r="104" spans="1:27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Z104" s="55" t="s">
        <v>272</v>
      </c>
      <c r="AA104" s="55"/>
    </row>
    <row r="105" spans="1:27" ht="18.75" customHeight="1">
      <c r="A105" s="164" t="s">
        <v>386</v>
      </c>
      <c r="B105" s="395">
        <v>0</v>
      </c>
      <c r="C105" s="395"/>
      <c r="D105" s="348">
        <v>200</v>
      </c>
      <c r="E105" s="348"/>
      <c r="F105" s="55"/>
      <c r="G105" s="164" t="s">
        <v>31</v>
      </c>
      <c r="H105" s="396">
        <v>0.2</v>
      </c>
      <c r="I105" s="396"/>
      <c r="J105" s="348">
        <v>0</v>
      </c>
      <c r="K105" s="348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Z105" s="55" t="s">
        <v>273</v>
      </c>
      <c r="AA105" s="55"/>
    </row>
    <row r="106" spans="1:27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Z106" s="55" t="s">
        <v>274</v>
      </c>
      <c r="AA106" s="55"/>
    </row>
    <row r="107" spans="1:27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Z107" s="55" t="s">
        <v>275</v>
      </c>
      <c r="AA107" s="55"/>
    </row>
    <row r="108" spans="1:27" ht="18.75" customHeight="1">
      <c r="A108" s="377" t="s">
        <v>296</v>
      </c>
      <c r="B108" s="377"/>
      <c r="C108" s="377"/>
      <c r="D108" s="377"/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Z108" s="55" t="s">
        <v>276</v>
      </c>
      <c r="AA108" s="55"/>
    </row>
    <row r="109" spans="1:27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Z109" s="55" t="s">
        <v>277</v>
      </c>
    </row>
    <row r="110" spans="1:27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Z110" s="55"/>
    </row>
    <row r="111" spans="1:27" ht="18.75" customHeight="1">
      <c r="A111" s="157"/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Z111" s="55"/>
    </row>
    <row r="112" spans="1:27" ht="18.75" customHeight="1">
      <c r="A112" s="157" t="s">
        <v>185</v>
      </c>
      <c r="B112" s="158"/>
      <c r="C112" s="158"/>
      <c r="D112" s="228">
        <v>0</v>
      </c>
      <c r="E112" s="92">
        <v>0</v>
      </c>
      <c r="F112" s="55"/>
      <c r="G112" s="157" t="s">
        <v>185</v>
      </c>
      <c r="H112" s="158"/>
      <c r="I112" s="158"/>
      <c r="J112" s="228">
        <v>10000</v>
      </c>
      <c r="K112" s="92">
        <v>5000</v>
      </c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>
        <v>0</v>
      </c>
      <c r="F113" s="55"/>
      <c r="G113" s="157" t="s">
        <v>186</v>
      </c>
      <c r="H113" s="158"/>
      <c r="I113" s="158"/>
      <c r="J113" s="35">
        <f>K113</f>
        <v>7000</v>
      </c>
      <c r="K113" s="92">
        <v>7000</v>
      </c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3000</v>
      </c>
      <c r="K114" s="127">
        <f>K112-K113</f>
        <v>-2000</v>
      </c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5000</v>
      </c>
      <c r="K115" s="159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f>D99</f>
        <v>1000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f>A102</f>
        <v>900</v>
      </c>
      <c r="F118" s="55"/>
      <c r="G118" s="157" t="s">
        <v>66</v>
      </c>
      <c r="H118" s="158"/>
      <c r="I118" s="158"/>
      <c r="J118" s="158"/>
      <c r="K118" s="29">
        <f>G102</f>
        <v>239.988</v>
      </c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((E118)+E117)-E114</f>
        <v>1900</v>
      </c>
      <c r="F119" s="55"/>
      <c r="G119" s="229" t="s">
        <v>298</v>
      </c>
      <c r="H119" s="207"/>
      <c r="I119" s="207"/>
      <c r="J119" s="207"/>
      <c r="K119" s="57">
        <f>(K118+K117)-J115</f>
        <v>-4760.0119999999997</v>
      </c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>
        <v>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12</v>
      </c>
      <c r="C125" s="236"/>
      <c r="D125" s="235">
        <f>B160</f>
        <v>5000</v>
      </c>
      <c r="E125" s="233"/>
      <c r="F125" s="55"/>
      <c r="G125" s="157"/>
      <c r="H125" s="158"/>
      <c r="I125" s="158"/>
      <c r="J125" s="158"/>
      <c r="K125" s="159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157" t="s">
        <v>94</v>
      </c>
      <c r="H126" s="158" t="s">
        <v>95</v>
      </c>
      <c r="I126" s="158"/>
      <c r="J126" s="158" t="s">
        <v>97</v>
      </c>
      <c r="K126" s="159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169">
        <f>G152</f>
        <v>12</v>
      </c>
      <c r="H127" s="170">
        <f>A152</f>
        <v>0</v>
      </c>
      <c r="I127" s="171"/>
      <c r="J127" s="170">
        <f>B151</f>
        <v>0</v>
      </c>
      <c r="K127" s="159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916.26954551566496</v>
      </c>
      <c r="B128" s="232">
        <f>IF(A105="YES",B89,0)</f>
        <v>0</v>
      </c>
      <c r="C128" s="237"/>
      <c r="D128" s="232">
        <f>B91</f>
        <v>916.26954551566496</v>
      </c>
      <c r="E128" s="233"/>
      <c r="F128" s="55"/>
      <c r="G128" s="157"/>
      <c r="H128" s="158"/>
      <c r="I128" s="158"/>
      <c r="J128" s="158"/>
      <c r="K128" s="159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7" ht="18.75" customHeight="1">
      <c r="A129" s="157"/>
      <c r="B129" s="158"/>
      <c r="C129" s="158"/>
      <c r="D129" s="158"/>
      <c r="E129" s="159"/>
      <c r="F129" s="55"/>
      <c r="G129" s="238" t="s">
        <v>302</v>
      </c>
      <c r="H129" s="239" t="s">
        <v>303</v>
      </c>
      <c r="I129" s="239"/>
      <c r="J129" s="239" t="s">
        <v>304</v>
      </c>
      <c r="K129" s="159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7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242">
        <f>H90</f>
        <v>927.71454013715208</v>
      </c>
      <c r="H130" s="133">
        <f>IF(G105="YES",H89*H57,0)</f>
        <v>0</v>
      </c>
      <c r="I130" s="133"/>
      <c r="J130" s="243">
        <f>H91</f>
        <v>927.71454013715208</v>
      </c>
      <c r="K130" s="90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7" ht="18.75" customHeight="1">
      <c r="A131" s="244" t="str">
        <f>B99</f>
        <v xml:space="preserve"> Monthly in advance </v>
      </c>
      <c r="B131" s="34">
        <f>B90*B57</f>
        <v>916.26954551566496</v>
      </c>
      <c r="C131" s="158"/>
      <c r="D131" s="34">
        <f>IF(A105="YES",B89*B57,0)</f>
        <v>0</v>
      </c>
      <c r="E131" s="159"/>
      <c r="F131" s="55"/>
      <c r="G131" s="157"/>
      <c r="H131" s="158"/>
      <c r="I131" s="158"/>
      <c r="J131" s="158"/>
      <c r="K131" s="159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7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7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927.71454013715208</v>
      </c>
      <c r="H133" s="34">
        <f>IF(G105="YES",H89*H57,0)</f>
        <v>0</v>
      </c>
      <c r="I133" s="163"/>
      <c r="J133" s="137">
        <f>H91*H57</f>
        <v>927.71454013715208</v>
      </c>
      <c r="K133" s="159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7" ht="18.75" customHeight="1">
      <c r="A134" s="94">
        <f>B91*B57</f>
        <v>916.26954551566496</v>
      </c>
      <c r="B134" s="34">
        <f>E114</f>
        <v>0</v>
      </c>
      <c r="C134" s="158"/>
      <c r="D134" s="245">
        <f>B58</f>
        <v>11</v>
      </c>
      <c r="E134" s="159"/>
      <c r="F134" s="55"/>
      <c r="G134" s="157"/>
      <c r="H134" s="158"/>
      <c r="I134" s="158"/>
      <c r="J134" s="158"/>
      <c r="K134" s="159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7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7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0.15288000000000002</v>
      </c>
      <c r="H136" s="34">
        <f>IF(G105="YES",E15*0.000002,0)</f>
        <v>5.0959999999999998E-2</v>
      </c>
      <c r="I136" s="34"/>
      <c r="J136" s="34">
        <f>G136+H136</f>
        <v>0.20384000000000002</v>
      </c>
      <c r="K136" s="90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7" ht="18.75" customHeight="1">
      <c r="A137" s="94">
        <f>B90</f>
        <v>916.26954551566496</v>
      </c>
      <c r="B137" s="34">
        <f>IF(A105="YES",B89,0)</f>
        <v>0</v>
      </c>
      <c r="C137" s="158"/>
      <c r="D137" s="34">
        <f>B91</f>
        <v>916.26954551566496</v>
      </c>
      <c r="E137" s="159"/>
      <c r="F137" s="55"/>
      <c r="G137" s="157"/>
      <c r="H137" s="158"/>
      <c r="I137" s="158"/>
      <c r="J137" s="158"/>
      <c r="K137" s="159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7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7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239.988</v>
      </c>
      <c r="H139" s="34">
        <f>H67</f>
        <v>125.7</v>
      </c>
      <c r="I139" s="34"/>
      <c r="J139" s="34">
        <f>H102*0.9</f>
        <v>1080</v>
      </c>
      <c r="K139" s="90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7" ht="18.75" customHeight="1">
      <c r="A140" s="250">
        <f>(G18*0.000006)*1.2*100</f>
        <v>18.1008</v>
      </c>
      <c r="B140" s="251">
        <f>G18*0.000002*1.2*100</f>
        <v>6.033599999999999</v>
      </c>
      <c r="C140" s="252"/>
      <c r="D140" s="251">
        <f>A140+B140</f>
        <v>24.134399999999999</v>
      </c>
      <c r="E140" s="159"/>
      <c r="F140" s="55"/>
      <c r="G140" s="157"/>
      <c r="H140" s="158"/>
      <c r="I140" s="158"/>
      <c r="J140" s="158"/>
      <c r="K140" s="159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7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7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IF(G105="YES",H89*0.1,0)</f>
        <v>0</v>
      </c>
      <c r="H142" s="34">
        <f>G102-100</f>
        <v>139.988</v>
      </c>
      <c r="I142" s="34"/>
      <c r="J142" s="34">
        <f>(H139+J139+G142+H142)-H145</f>
        <v>1345.6880000000001</v>
      </c>
      <c r="K142" s="90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7" ht="18.75" customHeight="1">
      <c r="A143" s="94">
        <v>0</v>
      </c>
      <c r="B143" s="34">
        <f>E118</f>
        <v>900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7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f>IF((1200-H102)&lt;=0,0,(1200-H102))</f>
        <v>0</v>
      </c>
      <c r="H145" s="34">
        <f>(H139+J139+G142+H142)*(G145/H64)</f>
        <v>0</v>
      </c>
      <c r="I145" s="158"/>
      <c r="J145" s="158"/>
      <c r="K145" s="159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100</v>
      </c>
      <c r="B148" s="34">
        <f>B102</f>
        <v>400</v>
      </c>
      <c r="C148" s="34"/>
      <c r="D148" s="34">
        <f>IF(A105="YES",(A38/100*B105)*B125,0)*0.001</f>
        <v>0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>
        <v>225</v>
      </c>
      <c r="B151" s="34">
        <f>(A148+B148+D148+A151)*(A143/B64)</f>
        <v>0</v>
      </c>
      <c r="C151" s="34"/>
      <c r="D151" s="34">
        <f>(A148+B148+D148+A151)-B151-A154</f>
        <v>525</v>
      </c>
      <c r="E151" s="90"/>
      <c r="F151" s="55"/>
      <c r="G151" s="387"/>
      <c r="H151" s="389">
        <f>B51</f>
        <v>5000</v>
      </c>
      <c r="I151" s="389"/>
      <c r="J151" s="158"/>
      <c r="K151" s="159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12</v>
      </c>
      <c r="H152" s="343">
        <f>H91</f>
        <v>927.71454013715208</v>
      </c>
      <c r="I152" s="343"/>
      <c r="J152" s="158"/>
      <c r="K152" s="159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9.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5000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12</v>
      </c>
      <c r="B161" s="343">
        <f>B91</f>
        <v>916.26954551566496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97" t="s">
        <v>299</v>
      </c>
      <c r="B165" s="397"/>
      <c r="C165" s="397"/>
      <c r="D165" s="397"/>
      <c r="E165" s="397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157"/>
      <c r="B166" s="158"/>
      <c r="C166" s="158"/>
      <c r="D166" s="158"/>
      <c r="E166" s="159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230" t="s">
        <v>137</v>
      </c>
      <c r="B167" s="231" t="s">
        <v>52</v>
      </c>
      <c r="C167" s="232"/>
      <c r="D167" s="231" t="s">
        <v>95</v>
      </c>
      <c r="E167" s="233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234" t="s">
        <v>292</v>
      </c>
      <c r="B168" s="259">
        <f>A161</f>
        <v>12</v>
      </c>
      <c r="C168" s="236"/>
      <c r="D168" s="232">
        <f>B160</f>
        <v>5000</v>
      </c>
      <c r="E168" s="233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230"/>
      <c r="B169" s="231"/>
      <c r="C169" s="231"/>
      <c r="D169" s="231"/>
      <c r="E169" s="233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230" t="s">
        <v>130</v>
      </c>
      <c r="B170" s="231" t="s">
        <v>300</v>
      </c>
      <c r="C170" s="232"/>
      <c r="D170" s="231" t="s">
        <v>301</v>
      </c>
      <c r="E170" s="233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234">
        <f>B90</f>
        <v>916.26954551566496</v>
      </c>
      <c r="B171" s="232">
        <f>IF(A105="YES",B89,0)</f>
        <v>0</v>
      </c>
      <c r="C171" s="237"/>
      <c r="D171" s="232">
        <f>B91</f>
        <v>916.26954551566496</v>
      </c>
      <c r="E171" s="233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40" t="s">
        <v>36</v>
      </c>
      <c r="B173" s="241" t="s">
        <v>305</v>
      </c>
      <c r="C173" s="171"/>
      <c r="D173" s="241" t="s">
        <v>306</v>
      </c>
      <c r="E173" s="159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44" t="str">
        <f>B99</f>
        <v xml:space="preserve"> Monthly in advance </v>
      </c>
      <c r="B174" s="34">
        <f>B90*B57</f>
        <v>916.26954551566496</v>
      </c>
      <c r="C174" s="158"/>
      <c r="D174" s="34">
        <f>IF(A105="YES",B89*B57,0)</f>
        <v>0</v>
      </c>
      <c r="E174" s="159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157"/>
      <c r="B175" s="158"/>
      <c r="C175" s="158"/>
      <c r="D175" s="158"/>
      <c r="E175" s="159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93" t="s">
        <v>310</v>
      </c>
      <c r="B176" s="35" t="s">
        <v>311</v>
      </c>
      <c r="C176" s="163"/>
      <c r="D176" s="179" t="s">
        <v>218</v>
      </c>
      <c r="E176" s="159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94">
        <f>B91*B57</f>
        <v>916.26954551566496</v>
      </c>
      <c r="B177" s="34">
        <f>E114</f>
        <v>0</v>
      </c>
      <c r="C177" s="158"/>
      <c r="D177" s="245">
        <f>B58</f>
        <v>11</v>
      </c>
      <c r="E177" s="159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94"/>
      <c r="B178" s="246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53" t="s">
        <v>130</v>
      </c>
      <c r="B179" s="247" t="s">
        <v>300</v>
      </c>
      <c r="C179" s="158"/>
      <c r="D179" s="158" t="s">
        <v>301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94">
        <f>B90</f>
        <v>916.26954551566496</v>
      </c>
      <c r="B180" s="34">
        <f>IF(A105="YES",B89,0)</f>
        <v>0</v>
      </c>
      <c r="C180" s="158"/>
      <c r="D180" s="34">
        <f>B91</f>
        <v>916.26954551566496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248" t="s">
        <v>80</v>
      </c>
      <c r="B182" s="249" t="s">
        <v>318</v>
      </c>
      <c r="C182" s="34"/>
      <c r="D182" s="249" t="s">
        <v>85</v>
      </c>
      <c r="E182" s="90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250">
        <f>(G18*0.000006)*1.2*100</f>
        <v>18.1008</v>
      </c>
      <c r="B183" s="251">
        <f>G18*0.000002*1.2*100</f>
        <v>6.033599999999999</v>
      </c>
      <c r="C183" s="252"/>
      <c r="D183" s="251">
        <f>A183+B183</f>
        <v>24.134399999999999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253"/>
      <c r="B184" s="254"/>
      <c r="C184" s="158"/>
      <c r="D184" s="254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248" t="s">
        <v>322</v>
      </c>
      <c r="B185" s="249" t="s">
        <v>66</v>
      </c>
      <c r="C185" s="34"/>
      <c r="D185" s="249" t="s">
        <v>288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v>0</v>
      </c>
      <c r="B186" s="34">
        <f>E118</f>
        <v>900</v>
      </c>
      <c r="C186" s="158"/>
      <c r="D186" s="119">
        <f>B102</f>
        <v>400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94"/>
      <c r="B187" s="34"/>
      <c r="C187" s="158"/>
      <c r="D187" s="34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55" t="s">
        <v>325</v>
      </c>
      <c r="B188" s="256"/>
      <c r="C188" s="257"/>
      <c r="D188" s="256"/>
      <c r="E188" s="258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3"/>
      <c r="B189" s="254"/>
      <c r="C189" s="158"/>
      <c r="D189" s="254"/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157" t="s">
        <v>326</v>
      </c>
      <c r="B190" s="158" t="s">
        <v>327</v>
      </c>
      <c r="C190" s="158"/>
      <c r="D190" s="158" t="s">
        <v>328</v>
      </c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94">
        <f>B67</f>
        <v>100</v>
      </c>
      <c r="B191" s="34">
        <f>B102</f>
        <v>400</v>
      </c>
      <c r="C191" s="34"/>
      <c r="D191" s="34">
        <f>IF(A105="YES",(A38/100*B105)*B125,0)*0.001</f>
        <v>0</v>
      </c>
      <c r="E191" s="90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157"/>
      <c r="B192" s="158"/>
      <c r="C192" s="158"/>
      <c r="D192" s="158"/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157" t="s">
        <v>330</v>
      </c>
      <c r="B193" s="158" t="s">
        <v>324</v>
      </c>
      <c r="C193" s="158"/>
      <c r="D193" s="158" t="s">
        <v>321</v>
      </c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94">
        <f>A151</f>
        <v>225</v>
      </c>
      <c r="B194" s="34">
        <f>(A148+B148+D148+A151)*(A143/B64)</f>
        <v>0</v>
      </c>
      <c r="C194" s="34"/>
      <c r="D194" s="34">
        <f>D151</f>
        <v>525</v>
      </c>
      <c r="E194" s="90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157"/>
      <c r="B195" s="158"/>
      <c r="C195" s="158"/>
      <c r="D195" s="158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331</v>
      </c>
      <c r="B196" s="158"/>
      <c r="C196" s="158"/>
      <c r="D196" s="158"/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D102</f>
        <v>200</v>
      </c>
      <c r="B197" s="34"/>
      <c r="C197" s="158"/>
      <c r="D197" s="158"/>
      <c r="E197" s="159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206"/>
      <c r="B198" s="207"/>
      <c r="C198" s="207"/>
      <c r="D198" s="207"/>
      <c r="E198" s="208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397" t="s">
        <v>224</v>
      </c>
      <c r="B201" s="397"/>
      <c r="C201" s="397"/>
      <c r="D201" s="397"/>
      <c r="E201" s="397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/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230" t="s">
        <v>225</v>
      </c>
      <c r="B203" s="260">
        <f>B209</f>
        <v>6.5000000000000002E-2</v>
      </c>
      <c r="C203" s="232" t="s">
        <v>227</v>
      </c>
      <c r="D203" s="261">
        <f>D64</f>
        <v>1759.8000000000002</v>
      </c>
      <c r="E203" s="233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34"/>
      <c r="B204" s="235"/>
      <c r="C204" s="236"/>
      <c r="D204" s="235"/>
      <c r="E204" s="233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230" t="s">
        <v>228</v>
      </c>
      <c r="B205" s="232">
        <f>B213</f>
        <v>100</v>
      </c>
      <c r="C205" s="231" t="s">
        <v>229</v>
      </c>
      <c r="D205" s="261">
        <f>B219+E215+B215+B217</f>
        <v>465</v>
      </c>
      <c r="E205" s="233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230"/>
      <c r="B206" s="262"/>
      <c r="C206" s="232"/>
      <c r="D206" s="231"/>
      <c r="E206" s="233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234" t="s">
        <v>230</v>
      </c>
      <c r="B207" s="232">
        <f>E217</f>
        <v>2124.8000000000002</v>
      </c>
      <c r="C207" s="236"/>
      <c r="D207" s="232"/>
      <c r="E207" s="233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247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169" t="s">
        <v>225</v>
      </c>
      <c r="B209" s="263">
        <v>6.5000000000000002E-2</v>
      </c>
      <c r="C209" s="171"/>
      <c r="D209" s="241"/>
      <c r="E209" s="159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44"/>
      <c r="B210" s="35"/>
      <c r="C210" s="158"/>
      <c r="D210" s="34"/>
      <c r="E210" s="159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162" t="s">
        <v>227</v>
      </c>
      <c r="B211" s="89">
        <f>D64</f>
        <v>1759.8000000000002</v>
      </c>
      <c r="C211" s="178" t="s">
        <v>233</v>
      </c>
      <c r="D211" s="158"/>
      <c r="E211" s="214">
        <f>B66</f>
        <v>100</v>
      </c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138"/>
      <c r="B212" s="35"/>
      <c r="C212" s="163"/>
      <c r="D212" s="179"/>
      <c r="E212" s="159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94" t="s">
        <v>233</v>
      </c>
      <c r="B213" s="89">
        <f>B67</f>
        <v>100</v>
      </c>
      <c r="C213" s="163" t="s">
        <v>332</v>
      </c>
      <c r="D213" s="245"/>
      <c r="E213" s="72">
        <v>1E-3</v>
      </c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94"/>
      <c r="B214" s="247"/>
      <c r="C214" s="163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94" t="s">
        <v>332</v>
      </c>
      <c r="B215" s="179">
        <f>B191*E213*100</f>
        <v>40</v>
      </c>
      <c r="C215" s="163" t="s">
        <v>235</v>
      </c>
      <c r="D215" s="158"/>
      <c r="E215" s="29">
        <f>A194</f>
        <v>225</v>
      </c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94"/>
      <c r="B216" s="35"/>
      <c r="C216" s="163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333</v>
      </c>
      <c r="B217" s="179">
        <f>B78-(B78*(E213*100))</f>
        <v>200</v>
      </c>
      <c r="C217" s="163" t="s">
        <v>230</v>
      </c>
      <c r="D217" s="158"/>
      <c r="E217" s="29">
        <f>(B211-B205+D205)</f>
        <v>2124.8000000000002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264"/>
      <c r="B218" s="249"/>
      <c r="C218" s="34"/>
      <c r="D218" s="249"/>
      <c r="E218" s="127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264" t="s">
        <v>334</v>
      </c>
      <c r="B219" s="249">
        <f>D191/0.1</f>
        <v>0</v>
      </c>
      <c r="C219" s="34"/>
      <c r="D219" s="249"/>
      <c r="E219" s="127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264"/>
      <c r="B220" s="249"/>
      <c r="C220" s="34"/>
      <c r="D220" s="249"/>
      <c r="E220" s="127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255" t="s">
        <v>335</v>
      </c>
      <c r="B221" s="265"/>
      <c r="C221" s="257"/>
      <c r="D221" s="256"/>
      <c r="E221" s="258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253"/>
      <c r="B222" s="266"/>
      <c r="C222" s="158"/>
      <c r="D222" s="25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253" t="s">
        <v>237</v>
      </c>
      <c r="B223" s="89">
        <f>B71</f>
        <v>200</v>
      </c>
      <c r="C223" s="163" t="s">
        <v>238</v>
      </c>
      <c r="D223" s="254"/>
      <c r="E223" s="118">
        <f>B72</f>
        <v>5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53"/>
      <c r="B224" s="266"/>
      <c r="C224" s="163" t="s">
        <v>239</v>
      </c>
      <c r="D224" s="254"/>
      <c r="E224" s="29">
        <f>D73</f>
        <v>260</v>
      </c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53" t="s">
        <v>240</v>
      </c>
      <c r="B225" s="267">
        <f>B68</f>
        <v>7.4999999999999997E-3</v>
      </c>
      <c r="C225" s="163" t="s">
        <v>241</v>
      </c>
      <c r="D225" s="254"/>
      <c r="E225" s="214">
        <f>B69</f>
        <v>0.12</v>
      </c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53"/>
      <c r="B226" s="266"/>
      <c r="C226" s="163" t="s">
        <v>242</v>
      </c>
      <c r="D226" s="254"/>
      <c r="E226" s="29">
        <f>B86</f>
        <v>77.074546187979024</v>
      </c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3" t="s">
        <v>243</v>
      </c>
      <c r="B227" s="89">
        <f>B79</f>
        <v>200</v>
      </c>
      <c r="C227" s="268" t="s">
        <v>336</v>
      </c>
      <c r="D227" s="269"/>
      <c r="E227" s="118">
        <f>B74</f>
        <v>0</v>
      </c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162"/>
      <c r="B228" s="247"/>
      <c r="C228" s="268"/>
      <c r="D228" s="270"/>
      <c r="E228" s="271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94" t="s">
        <v>244</v>
      </c>
      <c r="B229" s="89">
        <f>B80</f>
        <v>200</v>
      </c>
      <c r="C229" s="272" t="s">
        <v>337</v>
      </c>
      <c r="D229" s="272"/>
      <c r="E229" s="118">
        <f>B75</f>
        <v>0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157"/>
      <c r="B230" s="158"/>
      <c r="C230" s="158"/>
      <c r="D230" s="158"/>
      <c r="E230" s="159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157"/>
      <c r="B231" s="158"/>
      <c r="C231" s="158"/>
      <c r="D231" s="158"/>
      <c r="E231" s="159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94"/>
      <c r="B232" s="34"/>
      <c r="C232" s="34"/>
      <c r="D232" s="34"/>
      <c r="E232" s="90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157"/>
      <c r="B233" s="158"/>
      <c r="C233" s="158"/>
      <c r="D233" s="158"/>
      <c r="E233" s="159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57"/>
      <c r="B234" s="158"/>
      <c r="C234" s="158"/>
      <c r="D234" s="158"/>
      <c r="E234" s="159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/>
      <c r="B235" s="34"/>
      <c r="C235" s="158"/>
      <c r="D235" s="158"/>
      <c r="E235" s="159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206"/>
      <c r="B236" s="207"/>
      <c r="C236" s="207"/>
      <c r="D236" s="207"/>
      <c r="E236" s="208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5">
    <mergeCell ref="A165:E165"/>
    <mergeCell ref="A201:E201"/>
    <mergeCell ref="H152:I152"/>
    <mergeCell ref="A159:A160"/>
    <mergeCell ref="B159:C159"/>
    <mergeCell ref="B160:C160"/>
    <mergeCell ref="B161:C161"/>
    <mergeCell ref="A122:E122"/>
    <mergeCell ref="G122:K122"/>
    <mergeCell ref="H124:I124"/>
    <mergeCell ref="G150:G151"/>
    <mergeCell ref="H150:I150"/>
    <mergeCell ref="H151:I151"/>
    <mergeCell ref="B105:C105"/>
    <mergeCell ref="D105:E105"/>
    <mergeCell ref="H105:I105"/>
    <mergeCell ref="J105:K105"/>
    <mergeCell ref="A108:E108"/>
    <mergeCell ref="G108:K108"/>
    <mergeCell ref="B99:C99"/>
    <mergeCell ref="D99:E99"/>
    <mergeCell ref="H99:I99"/>
    <mergeCell ref="J99:K99"/>
    <mergeCell ref="B102:C102"/>
    <mergeCell ref="D102:E102"/>
    <mergeCell ref="H102:I102"/>
    <mergeCell ref="J102:K102"/>
    <mergeCell ref="B52:C52"/>
    <mergeCell ref="A94:E94"/>
    <mergeCell ref="G94:K94"/>
    <mergeCell ref="A96:E96"/>
    <mergeCell ref="G96:K96"/>
    <mergeCell ref="G42:H42"/>
    <mergeCell ref="B44:C44"/>
    <mergeCell ref="D44:E44"/>
    <mergeCell ref="A50:A51"/>
    <mergeCell ref="B50:C50"/>
    <mergeCell ref="B51:C51"/>
    <mergeCell ref="B35:C35"/>
    <mergeCell ref="D35:E35"/>
    <mergeCell ref="B38:C38"/>
    <mergeCell ref="D38:E38"/>
    <mergeCell ref="B41:C41"/>
    <mergeCell ref="D41:E41"/>
    <mergeCell ref="A26:E26"/>
    <mergeCell ref="B29:C29"/>
    <mergeCell ref="D29:E29"/>
    <mergeCell ref="B30:C30"/>
    <mergeCell ref="B32:C32"/>
    <mergeCell ref="D32:E32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4">
    <dataValidation type="list" allowBlank="1" showErrorMessage="1" sqref="A18:A20 H99 N99:O99 G105 M105 O107 H110 N110" xr:uid="{00000000-0002-0000-4600-000000000000}">
      <formula1>#REF!</formula1>
      <formula2>0</formula2>
    </dataValidation>
    <dataValidation type="list" allowBlank="1" showErrorMessage="1" sqref="B38 A105 B110" xr:uid="{00000000-0002-0000-4600-000001000000}">
      <formula1>"NO,YES"</formula1>
      <formula2>0</formula2>
    </dataValidation>
    <dataValidation type="list" allowBlank="1" showErrorMessage="1" sqref="A32" xr:uid="{00000000-0002-0000-4600-000002000000}">
      <formula1>"Monthly in advance ,Spread rentals initial payment ,Spread rentals with 3 down ,Spread rentals with 6 down ,Spread rentals with 9 down ,Spread rentals with 12 down ,Terminal pause with 3 down ,Terminal Pause with 6 down ,Terminal Pause with 9 dow"</formula1>
      <formula2>0</formula2>
    </dataValidation>
    <dataValidation type="list" allowBlank="1" showErrorMessage="1" sqref="B99" xr:uid="{00000000-0002-0000-4600-000003000000}">
      <formula1>$Z$101:$Z$109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AA1000"/>
  <sheetViews>
    <sheetView zoomScale="110" zoomScaleNormal="110" workbookViewId="0">
      <selection activeCell="E16" sqref="E16"/>
    </sheetView>
  </sheetViews>
  <sheetFormatPr defaultColWidth="10.875" defaultRowHeight="14.25"/>
  <cols>
    <col min="1" max="1" customWidth="true" width="40.0"/>
    <col min="2" max="5" customWidth="true" width="18.125"/>
    <col min="7" max="7" customWidth="true" width="40.0"/>
    <col min="8" max="11" customWidth="true" width="18.125"/>
    <col min="12" max="12" customWidth="true" width="8.0"/>
    <col min="13" max="13" customWidth="true" width="40.0"/>
    <col min="14" max="17" customWidth="true" width="18.125"/>
    <col min="18" max="26" customWidth="true" width="8.0"/>
  </cols>
  <sheetData>
    <row r="1" spans="1:26" ht="18.75" customHeight="1">
      <c r="A1" s="407" t="s">
        <v>382</v>
      </c>
      <c r="B1" s="407"/>
      <c r="C1" s="407"/>
      <c r="D1" s="407"/>
      <c r="E1" s="407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8.75" customHeight="1">
      <c r="A2" s="216"/>
      <c r="B2" s="318" t="s">
        <v>154</v>
      </c>
      <c r="C2" s="318" t="s">
        <v>155</v>
      </c>
      <c r="D2" s="318" t="s">
        <v>156</v>
      </c>
      <c r="E2" s="319" t="s">
        <v>157</v>
      </c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8.75" customHeight="1">
      <c r="A3" s="157" t="s">
        <v>160</v>
      </c>
      <c r="B3" s="187" t="n">
        <v>56579.17</v>
      </c>
      <c r="C3" s="187" t="n">
        <v>0.0</v>
      </c>
      <c r="D3" s="187" t="n">
        <v>833.33</v>
      </c>
      <c r="E3" s="289">
        <v>0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18.75" customHeight="1">
      <c r="A4" s="157" t="s">
        <v>161</v>
      </c>
      <c r="B4" s="56" t="n">
        <v>2.0</v>
      </c>
      <c r="C4" s="56" t="n">
        <v>0.0</v>
      </c>
      <c r="D4" s="56" t="n">
        <v>2.0</v>
      </c>
      <c r="E4" s="214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8.75" customHeight="1">
      <c r="A5" s="157" t="s">
        <v>162</v>
      </c>
      <c r="B5" s="187" t="n">
        <v>0.0</v>
      </c>
      <c r="C5" s="187" t="n">
        <v>0.0</v>
      </c>
      <c r="D5" s="187" t="n">
        <v>0.0</v>
      </c>
      <c r="E5" s="29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8.75" customHeight="1">
      <c r="A6" s="157" t="s">
        <v>163</v>
      </c>
      <c r="B6" s="28">
        <f>(B3*B4/100)+B5</f>
        <v>0</v>
      </c>
      <c r="C6" s="28">
        <f>(C3*C4/100)+C5</f>
        <v>0</v>
      </c>
      <c r="D6" s="28">
        <f>(D3*D4/100)+D5</f>
        <v>0</v>
      </c>
      <c r="E6" s="29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8.75" customHeight="1">
      <c r="A7" s="157" t="s">
        <v>164</v>
      </c>
      <c r="B7" s="28">
        <f>B3-B6</f>
        <v>55495.83</v>
      </c>
      <c r="C7" s="28">
        <f>C3-C6</f>
        <v>0</v>
      </c>
      <c r="D7" s="28">
        <f>D3-D6</f>
        <v>833.33</v>
      </c>
      <c r="E7" s="29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8.75" customHeight="1">
      <c r="A8" s="157"/>
      <c r="B8" s="158"/>
      <c r="C8" s="158"/>
      <c r="D8" s="158"/>
      <c r="E8" s="159"/>
      <c r="F8" s="55"/>
      <c r="G8" s="55"/>
      <c r="H8" s="55"/>
      <c r="I8" s="14" t="s">
        <v>17</v>
      </c>
      <c r="J8" s="11">
        <f>E13+E14</f>
        <v>650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8.75" customHeight="1">
      <c r="A9" s="408" t="s">
        <v>172</v>
      </c>
      <c r="B9" s="408"/>
      <c r="C9" s="408"/>
      <c r="D9" s="408"/>
      <c r="E9" s="320">
        <f>B7+C7+D7+E3</f>
        <v>56329.16</v>
      </c>
      <c r="F9" s="55"/>
      <c r="G9" s="55"/>
      <c r="H9" s="55"/>
      <c r="I9" s="11"/>
      <c r="J9" s="11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8.75" customHeight="1">
      <c r="A10" s="409" t="s">
        <v>173</v>
      </c>
      <c r="B10" s="409"/>
      <c r="C10" s="409"/>
      <c r="D10" s="409"/>
      <c r="E10" s="289" t="n">
        <v>150.0</v>
      </c>
      <c r="F10" s="55"/>
      <c r="G10" s="55"/>
      <c r="H10" s="55"/>
      <c r="I10" s="16" t="s">
        <v>15</v>
      </c>
      <c r="J10" s="11">
        <f>E15-E11-J8</f>
        <v>56974.990000000013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8.75" customHeight="1">
      <c r="A11" s="409" t="s">
        <v>174</v>
      </c>
      <c r="B11" s="409"/>
      <c r="C11" s="409"/>
      <c r="D11" s="409"/>
      <c r="E11" s="29">
        <f>(E9+E10)*20%</f>
        <v>11394.998000000001</v>
      </c>
      <c r="F11" s="55"/>
      <c r="G11" s="55"/>
      <c r="H11" s="55"/>
      <c r="I11" s="11"/>
      <c r="J11" s="11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8.75" customHeight="1">
      <c r="A12" s="409" t="s">
        <v>175</v>
      </c>
      <c r="B12" s="409"/>
      <c r="C12" s="409"/>
      <c r="D12" s="409"/>
      <c r="E12" s="289">
        <v>0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8.75" customHeight="1">
      <c r="A13" s="409" t="s">
        <v>176</v>
      </c>
      <c r="B13" s="409"/>
      <c r="C13" s="409"/>
      <c r="D13" s="409"/>
      <c r="E13" s="289" t="n">
        <v>645.0</v>
      </c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8.75" customHeight="1">
      <c r="A14" s="409" t="s">
        <v>177</v>
      </c>
      <c r="B14" s="409"/>
      <c r="C14" s="409"/>
      <c r="D14" s="409"/>
      <c r="E14" s="289" t="n">
        <v>55.0</v>
      </c>
      <c r="F14" s="55"/>
      <c r="G14" s="55" t="s">
        <v>24</v>
      </c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8.75" customHeight="1">
      <c r="A15" s="409" t="s">
        <v>178</v>
      </c>
      <c r="B15" s="409"/>
      <c r="C15" s="409"/>
      <c r="D15" s="409"/>
      <c r="E15" s="291">
        <f>(E9+E10+E13+E14+E11)-E12</f>
        <v>69019.988000000012</v>
      </c>
      <c r="F15" s="55"/>
      <c r="G15" s="17">
        <f>E15</f>
        <v>69019.988000000012</v>
      </c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8.75" customHeight="1">
      <c r="A16" s="409" t="s">
        <v>179</v>
      </c>
      <c r="B16" s="409"/>
      <c r="C16" s="409"/>
      <c r="D16" s="409"/>
      <c r="E16" s="289" t="n">
        <v>0.0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198" t="s">
        <v>26</v>
      </c>
      <c r="Z16" s="55"/>
    </row>
    <row r="17" spans="1:26" ht="18.75" customHeight="1">
      <c r="A17" s="410" t="s">
        <v>180</v>
      </c>
      <c r="B17" s="410"/>
      <c r="C17" s="410"/>
      <c r="D17" s="410"/>
      <c r="E17" s="159"/>
      <c r="F17" s="55"/>
      <c r="G17" s="55" t="s">
        <v>27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198" t="s">
        <v>28</v>
      </c>
      <c r="Z17" s="55"/>
    </row>
    <row r="18" spans="1:26" ht="18.75" customHeight="1">
      <c r="A18" s="321" t="s">
        <v>26</v>
      </c>
      <c r="B18" s="411" t="s">
        <v>181</v>
      </c>
      <c r="C18" s="411"/>
      <c r="D18" s="411"/>
      <c r="E18" s="292">
        <v>0</v>
      </c>
      <c r="F18" s="55"/>
      <c r="G18" s="17">
        <f>(B3+C3+E10+D3+E3)*1.2</f>
        <v>68369.987999999998</v>
      </c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198" t="s">
        <v>29</v>
      </c>
      <c r="Z18" s="55"/>
    </row>
    <row r="19" spans="1:26" ht="18.75" customHeight="1">
      <c r="A19" s="321" t="s">
        <v>28</v>
      </c>
      <c r="B19" s="411" t="s">
        <v>181</v>
      </c>
      <c r="C19" s="411"/>
      <c r="D19" s="411"/>
      <c r="E19" s="292">
        <v>0</v>
      </c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 t="s">
        <v>31</v>
      </c>
    </row>
    <row r="20" spans="1:26" ht="18.75" customHeight="1">
      <c r="A20" s="321" t="s">
        <v>29</v>
      </c>
      <c r="B20" s="411" t="s">
        <v>181</v>
      </c>
      <c r="C20" s="411"/>
      <c r="D20" s="411"/>
      <c r="E20" s="292" t="n">
        <v>0.0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 t="s">
        <v>32</v>
      </c>
    </row>
    <row r="21" spans="1:26" ht="18.75" customHeight="1">
      <c r="A21" s="412" t="s">
        <v>182</v>
      </c>
      <c r="B21" s="412"/>
      <c r="C21" s="412"/>
      <c r="D21" s="412"/>
      <c r="E21" s="294">
        <f>E15-((E18*1.2)+(E19*1.2)+(E20*1.2)+(E16*1.2))</f>
        <v>69019.988000000012</v>
      </c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8.75" customHeight="1">
      <c r="A22" s="158"/>
      <c r="B22" s="158"/>
      <c r="C22" s="158"/>
      <c r="D22" s="158"/>
      <c r="E22" s="158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8.75" customHeight="1">
      <c r="A23" s="158"/>
      <c r="B23" s="158"/>
      <c r="C23" s="158"/>
      <c r="D23" s="158"/>
      <c r="E23" s="158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45.75" customHeight="1">
      <c r="A24" s="376" t="s">
        <v>246</v>
      </c>
      <c r="B24" s="376"/>
      <c r="C24" s="376"/>
      <c r="D24" s="376"/>
      <c r="E24" s="376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8.75" customHeight="1">
      <c r="A25" s="157"/>
      <c r="B25" s="158"/>
      <c r="C25" s="158"/>
      <c r="D25" s="158"/>
      <c r="E25" s="159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8.75" customHeight="1">
      <c r="A26" s="377" t="s">
        <v>247</v>
      </c>
      <c r="B26" s="377"/>
      <c r="C26" s="377"/>
      <c r="D26" s="377"/>
      <c r="E26" s="377"/>
      <c r="F26" s="55"/>
      <c r="G26" s="160"/>
      <c r="H26" s="160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8.75" customHeight="1">
      <c r="A27" s="157"/>
      <c r="B27" s="158"/>
      <c r="C27" s="158"/>
      <c r="D27" s="158"/>
      <c r="E27" s="159"/>
      <c r="F27" s="55"/>
      <c r="G27" s="161" t="s">
        <v>96</v>
      </c>
      <c r="H27" s="161">
        <f>IF(A32=Z101,1,IF(A32=Z102,1,IF(A32=Z103,3,IF(A32=Z104,6,IF(A32=Z105,9,IF(A32=Z106,12,IF(A32=Z107,3,IF(A32=Z108,6,IF(A32=Z109,9,0)))))))))</f>
        <v>1</v>
      </c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8.75" customHeight="1">
      <c r="A28" s="162" t="s">
        <v>42</v>
      </c>
      <c r="B28" s="163" t="s">
        <v>43</v>
      </c>
      <c r="C28" s="158"/>
      <c r="D28" s="163" t="s">
        <v>248</v>
      </c>
      <c r="E28" s="159"/>
      <c r="F28" s="55"/>
      <c r="G28" s="161" t="s">
        <v>97</v>
      </c>
      <c r="H28" s="161">
        <f>IF(A32=Z101,H29-H27,IF(A32=Z102,H29-H27,IF(A32=Z103,H29-1,IF(A32=Z104,H29-1,IF(A32=Z105,H29-1,IF(A32=Z106,H29-1,IF(A32=Z107,H29-H27,IF(A32=Z108,H29-H27,IF(A32=Z109,H29-H27,0)))))))))</f>
        <v>11</v>
      </c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8.75" customHeight="1">
      <c r="A29" s="164" t="s">
        <v>249</v>
      </c>
      <c r="B29" s="378">
        <v>12345</v>
      </c>
      <c r="C29" s="378"/>
      <c r="D29" s="379">
        <f ca="1">TODAY()+1</f>
        <v>45777</v>
      </c>
      <c r="E29" s="379"/>
      <c r="F29" s="55"/>
      <c r="G29" s="160" t="s">
        <v>41</v>
      </c>
      <c r="H29" s="160">
        <f>B35</f>
        <v>12</v>
      </c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8.75" customHeight="1">
      <c r="A30" s="157"/>
      <c r="B30" s="380"/>
      <c r="C30" s="380"/>
      <c r="D30" s="158"/>
      <c r="E30" s="159"/>
      <c r="F30" s="55"/>
      <c r="G30" s="160" t="s">
        <v>45</v>
      </c>
      <c r="H30" s="160">
        <f>D35</f>
        <v>5000</v>
      </c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8.75" customHeight="1">
      <c r="A31" s="162" t="s">
        <v>36</v>
      </c>
      <c r="B31" s="163" t="s">
        <v>250</v>
      </c>
      <c r="C31" s="158"/>
      <c r="D31" s="163" t="s">
        <v>251</v>
      </c>
      <c r="E31" s="159"/>
      <c r="F31" s="55"/>
      <c r="G31" s="160" t="s">
        <v>252</v>
      </c>
      <c r="H31" s="166">
        <f>D38</f>
        <v>500</v>
      </c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8.75" customHeight="1">
      <c r="A32" s="164" t="s">
        <v>140</v>
      </c>
      <c r="B32" s="381">
        <f>IF(A32=Z101,D38,IF(A32=Z102,D38,IF(A32=Z103,(D38*3),IF(A32=Z104,(D38*6),IF(A32=Z105,(D38*9),IF(A32=Z106,(D38*12),IF(A32=Z107,D38,IF(A32=Z108,D38,IF(A32=Z109,D38,0)))))))))</f>
        <v>500</v>
      </c>
      <c r="C32" s="381"/>
      <c r="D32" s="381">
        <f>IF(A32=Z101,A41,IF(A32=Z102,A41,IF(A32=Z103,(A41*3),IF(A32=Z104,(A41*6),IF(A32=Z105,(A41*9),IF(A32=Z106,(A41*12),IF(A32=Z107,A41,IF(A32=Z108,A41,IF(A32=Z109,A41,0)))))))))</f>
        <v>0</v>
      </c>
      <c r="E32" s="381"/>
      <c r="F32" s="55"/>
      <c r="G32" s="168" t="s">
        <v>253</v>
      </c>
      <c r="H32" s="166">
        <f>A41</f>
        <v>0</v>
      </c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8.75" customHeight="1">
      <c r="A33" s="169"/>
      <c r="B33" s="170"/>
      <c r="C33" s="171"/>
      <c r="D33" s="135"/>
      <c r="E33" s="159"/>
      <c r="F33" s="55"/>
      <c r="G33" s="168"/>
      <c r="H33" s="160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8.75" customHeight="1">
      <c r="A34" s="169" t="s">
        <v>254</v>
      </c>
      <c r="B34" s="172" t="s">
        <v>255</v>
      </c>
      <c r="C34" s="171"/>
      <c r="D34" s="173" t="s">
        <v>53</v>
      </c>
      <c r="E34" s="159"/>
      <c r="F34" s="55"/>
      <c r="G34" s="168" t="s">
        <v>256</v>
      </c>
      <c r="H34" s="166">
        <f>D41</f>
        <v>12</v>
      </c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8.75" customHeight="1">
      <c r="A35" s="167">
        <f>B32+D32</f>
        <v>500</v>
      </c>
      <c r="B35" s="378" t="n">
        <v>12.0</v>
      </c>
      <c r="C35" s="378"/>
      <c r="D35" s="378" t="n">
        <v>5000.0</v>
      </c>
      <c r="E35" s="378"/>
      <c r="F35" s="55"/>
      <c r="G35" s="46"/>
      <c r="H35" s="174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8.75" customHeight="1">
      <c r="A36" s="157"/>
      <c r="B36" s="158"/>
      <c r="C36" s="158"/>
      <c r="D36" s="158"/>
      <c r="E36" s="159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8.75" customHeight="1">
      <c r="A37" s="162" t="s">
        <v>54</v>
      </c>
      <c r="B37" s="163" t="s">
        <v>257</v>
      </c>
      <c r="C37" s="158"/>
      <c r="D37" s="163" t="s">
        <v>258</v>
      </c>
      <c r="E37" s="159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8.75" customHeight="1">
      <c r="A38" s="175">
        <f>(B35/12)*D35</f>
        <v>5000</v>
      </c>
      <c r="B38" s="378" t="s">
        <v>386</v>
      </c>
      <c r="C38" s="378"/>
      <c r="D38" s="346" t="n">
        <v>500.0</v>
      </c>
      <c r="E38" s="346"/>
      <c r="F38" s="55"/>
      <c r="G38" s="55"/>
      <c r="H38" s="55"/>
      <c r="I38" s="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8.75" customHeight="1">
      <c r="A39" s="176"/>
      <c r="B39" s="171"/>
      <c r="C39" s="171"/>
      <c r="D39" s="158"/>
      <c r="E39" s="159"/>
      <c r="F39" s="55"/>
      <c r="G39" s="55"/>
      <c r="H39" s="5"/>
      <c r="I39" s="5"/>
      <c r="J39" s="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8.75" customHeight="1">
      <c r="A40" s="177" t="s">
        <v>259</v>
      </c>
      <c r="B40" s="178" t="s">
        <v>131</v>
      </c>
      <c r="C40" s="171"/>
      <c r="D40" s="137" t="s">
        <v>151</v>
      </c>
      <c r="E40" s="159"/>
      <c r="F40" s="55"/>
      <c r="G40" s="273"/>
      <c r="H40" s="5"/>
      <c r="I40" s="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8.75" customHeight="1">
      <c r="A41" s="89" t="n">
        <v>0.0</v>
      </c>
      <c r="B41" s="383">
        <f>IF(B38="YES",D38+A41,D38)</f>
        <v>500</v>
      </c>
      <c r="C41" s="383"/>
      <c r="D41" s="346" t="n">
        <v>12.0</v>
      </c>
      <c r="E41" s="346"/>
      <c r="F41" s="55"/>
      <c r="G41" s="55"/>
      <c r="H41" s="180"/>
      <c r="I41" s="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8.75" customHeight="1">
      <c r="A42" s="176"/>
      <c r="B42" s="171"/>
      <c r="C42" s="171"/>
      <c r="D42" s="171"/>
      <c r="E42" s="181"/>
      <c r="F42" s="55"/>
      <c r="G42" s="384" t="s">
        <v>65</v>
      </c>
      <c r="H42" s="384"/>
      <c r="I42" s="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8.75" customHeight="1">
      <c r="A43" s="177" t="s">
        <v>261</v>
      </c>
      <c r="B43" s="178" t="s">
        <v>262</v>
      </c>
      <c r="C43" s="171"/>
      <c r="D43" s="178" t="s">
        <v>266</v>
      </c>
      <c r="E43" s="181"/>
      <c r="F43" s="55"/>
      <c r="G43" s="55" t="s">
        <v>263</v>
      </c>
      <c r="H43" s="5">
        <f>(((D38*(B35-1))+B32)/B35)+(D41/B35)</f>
        <v>501</v>
      </c>
      <c r="I43" s="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8.75" customHeight="1">
      <c r="A44" s="89" t="n">
        <v>1.0</v>
      </c>
      <c r="B44" s="346" t="n">
        <v>0.0</v>
      </c>
      <c r="C44" s="346"/>
      <c r="D44" s="394">
        <f>A44+B44</f>
        <v>1</v>
      </c>
      <c r="E44" s="394"/>
      <c r="F44" s="55"/>
      <c r="G44" s="55" t="s">
        <v>264</v>
      </c>
      <c r="H44" s="5">
        <f>((A41*(B35-1))+D32)/B35</f>
        <v>0</v>
      </c>
      <c r="I44" s="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8.75" customHeight="1">
      <c r="A45" s="176"/>
      <c r="B45" s="171"/>
      <c r="C45" s="171"/>
      <c r="D45" s="171"/>
      <c r="E45" s="181"/>
      <c r="F45" s="55"/>
      <c r="G45" s="55" t="s">
        <v>265</v>
      </c>
      <c r="H45" s="182">
        <f>H43+H44</f>
        <v>501</v>
      </c>
      <c r="I45" s="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8.75" customHeight="1">
      <c r="A46" s="201" t="s">
        <v>280</v>
      </c>
      <c r="B46" s="171"/>
      <c r="C46" s="171"/>
      <c r="D46" s="171"/>
      <c r="E46" s="181"/>
      <c r="F46" s="55"/>
      <c r="G46" s="55" t="s">
        <v>269</v>
      </c>
      <c r="H46" s="5">
        <f>H43</f>
        <v>501</v>
      </c>
      <c r="I46" s="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8.75" customHeight="1">
      <c r="A47" s="176"/>
      <c r="B47" s="171"/>
      <c r="C47" s="171"/>
      <c r="D47" s="171"/>
      <c r="E47" s="181"/>
      <c r="F47" s="55"/>
      <c r="G47" s="55"/>
      <c r="H47" s="5"/>
      <c r="I47" s="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8.75" customHeight="1">
      <c r="A48" s="202" t="s">
        <v>93</v>
      </c>
      <c r="B48" s="158"/>
      <c r="C48" s="158"/>
      <c r="D48" s="203"/>
      <c r="E48" s="204"/>
      <c r="F48" s="55"/>
      <c r="G48" s="55"/>
      <c r="H48" s="5">
        <f>(A41*(B58+B57))</f>
        <v>0</v>
      </c>
      <c r="I48" s="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8.75" customHeight="1">
      <c r="A49" s="157"/>
      <c r="B49" s="183"/>
      <c r="C49" s="183"/>
      <c r="D49" s="158"/>
      <c r="E49" s="159"/>
      <c r="F49" s="55"/>
      <c r="G49" s="55"/>
      <c r="H49" s="205"/>
      <c r="I49" s="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8.75" customHeight="1">
      <c r="A50" s="387" t="s">
        <v>94</v>
      </c>
      <c r="B50" s="388" t="s">
        <v>95</v>
      </c>
      <c r="C50" s="388"/>
      <c r="D50" s="158"/>
      <c r="E50" s="159"/>
      <c r="F50" s="55"/>
      <c r="G50" s="55"/>
      <c r="H50" s="55"/>
      <c r="I50" s="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8.75" customHeight="1">
      <c r="A51" s="387"/>
      <c r="B51" s="389">
        <f>H30</f>
        <v>5000</v>
      </c>
      <c r="C51" s="389"/>
      <c r="D51" s="158"/>
      <c r="E51" s="159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8.75" customHeight="1">
      <c r="A52" s="185">
        <f>H29</f>
        <v>12</v>
      </c>
      <c r="B52" s="343">
        <f>H45</f>
        <v>501</v>
      </c>
      <c r="C52" s="343"/>
      <c r="D52" s="158"/>
      <c r="E52" s="159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8.75" customHeight="1">
      <c r="A53" s="157"/>
      <c r="B53" s="158"/>
      <c r="C53" s="158"/>
      <c r="D53" s="158"/>
      <c r="E53" s="159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8.75" customHeight="1">
      <c r="A54" s="206"/>
      <c r="B54" s="207"/>
      <c r="C54" s="207"/>
      <c r="D54" s="207"/>
      <c r="E54" s="208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8.75" customHeight="1">
      <c r="A55" s="158"/>
      <c r="B55" s="158"/>
      <c r="C55" s="158"/>
      <c r="D55" s="158"/>
      <c r="E55" s="158"/>
      <c r="F55" s="55"/>
      <c r="G55" s="158"/>
      <c r="H55" s="158"/>
      <c r="I55" s="158"/>
      <c r="J55" s="158"/>
      <c r="K55" s="158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8.75" customHeight="1">
      <c r="A56" s="209"/>
      <c r="B56" s="210"/>
      <c r="C56" s="210"/>
      <c r="D56" s="210"/>
      <c r="E56" s="211"/>
      <c r="F56" s="55"/>
      <c r="G56" s="209"/>
      <c r="H56" s="210"/>
      <c r="I56" s="210"/>
      <c r="J56" s="210"/>
      <c r="K56" s="211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8.75" customHeight="1">
      <c r="A57" s="157" t="s">
        <v>96</v>
      </c>
      <c r="B57" s="158">
        <f>IF(B99=Z101,1,IF(B99=Z102,1,IF(B99=Z103,3,IF(B99=Z104,6,IF(B99=Z105,9,IF(B99=Z106,12,IF(B99=Z107,3,IF(B99=Z108,6,IF(B99=Z109,9,0)))))))))</f>
        <v>9</v>
      </c>
      <c r="C57" s="158"/>
      <c r="D57" s="158"/>
      <c r="E57" s="159"/>
      <c r="F57" s="55"/>
      <c r="G57" s="157" t="s">
        <v>96</v>
      </c>
      <c r="H57" s="158">
        <f>IF(H99=Z101,1,IF(H99=Z102,1,IF(H99=Z103,3,IF(H99=Z104,6,IF(H99=Z105,9,IF(H99=Z106,12,IF(H99=Z107,3,IF(H99=Z108,6,IF(H99=Z109,9,0)))))))))</f>
        <v>1</v>
      </c>
      <c r="I57" s="158"/>
      <c r="J57" s="158"/>
      <c r="K57" s="159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8.75" customHeight="1">
      <c r="A58" s="157" t="s">
        <v>97</v>
      </c>
      <c r="B58" s="158">
        <f>IF(B99=Z101,H29-B57,IF(B99=Z102,H29-B57,IF(B99=Z103,H29-1,IF(B99=Z104,H29-1,IF(B99=Z105,H29-1,IF(B99=Z106,H29-1,IF(B99=Z107,H29-B57,IF(B99=Z108,H29-B57,IF(B99=Z109,H29-B57,0)))))))))</f>
        <v>3</v>
      </c>
      <c r="C58" s="158" t="s">
        <v>281</v>
      </c>
      <c r="D58" s="158"/>
      <c r="E58" s="159"/>
      <c r="F58" s="55"/>
      <c r="G58" s="157" t="s">
        <v>97</v>
      </c>
      <c r="H58" s="158">
        <f>IF(H99=Z101,H29-H57,IF(H99=Z102,H29-H57,IF(H99=Z103,H29-1,IF(H99=Z104,H29-1,IF(H99=Z105,H29-1,IF(H99=Z106,H29-1,IF(H99=Z107,H29-H57,IF(H99=Z108,H29-H57,IF(H99=Z109,H29-H57,0)))))))))</f>
        <v>11</v>
      </c>
      <c r="I58" s="158"/>
      <c r="J58" s="158"/>
      <c r="K58" s="159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8.75" customHeight="1">
      <c r="A59" s="157"/>
      <c r="B59" s="158"/>
      <c r="C59" s="158"/>
      <c r="D59" s="158"/>
      <c r="E59" s="159"/>
      <c r="F59" s="55"/>
      <c r="G59" s="157"/>
      <c r="H59" s="158"/>
      <c r="I59" s="158"/>
      <c r="J59" s="158"/>
      <c r="K59" s="159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8.75" customHeight="1">
      <c r="A60" s="157"/>
      <c r="B60" s="158"/>
      <c r="C60" s="158"/>
      <c r="D60" s="158"/>
      <c r="E60" s="159"/>
      <c r="F60" s="55"/>
      <c r="G60" s="157"/>
      <c r="H60" s="158"/>
      <c r="I60" s="158"/>
      <c r="J60" s="158"/>
      <c r="K60" s="159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8.75" customHeight="1">
      <c r="A61" s="157" t="s">
        <v>27</v>
      </c>
      <c r="B61" s="28">
        <f>G18</f>
        <v>68369.987999999998</v>
      </c>
      <c r="C61" s="158"/>
      <c r="D61" s="158"/>
      <c r="E61" s="159"/>
      <c r="F61" s="55"/>
      <c r="G61" s="157" t="s">
        <v>27</v>
      </c>
      <c r="H61" s="28">
        <f>G18</f>
        <v>68369.987999999998</v>
      </c>
      <c r="I61" s="158"/>
      <c r="J61" s="158"/>
      <c r="K61" s="159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8.75" customHeight="1">
      <c r="A62" s="212" t="s">
        <v>283</v>
      </c>
      <c r="B62" s="213" t="n">
        <v>0.07</v>
      </c>
      <c r="C62" s="158"/>
      <c r="D62" s="158"/>
      <c r="E62" s="159"/>
      <c r="F62" s="55"/>
      <c r="G62" s="212" t="s">
        <v>283</v>
      </c>
      <c r="H62" s="213">
        <v>7.0000000000000007E-2</v>
      </c>
      <c r="I62" s="158"/>
      <c r="J62" s="158"/>
      <c r="K62" s="159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8.75" customHeight="1">
      <c r="A63" s="157" t="s">
        <v>284</v>
      </c>
      <c r="B63" s="214">
        <f>ROUND((B62+(B62*0.25*((H29/12)-1))),4)</f>
        <v>7.0000000000000007E-2</v>
      </c>
      <c r="C63" s="158"/>
      <c r="D63" s="158"/>
      <c r="E63" s="159"/>
      <c r="F63" s="55"/>
      <c r="G63" s="157" t="s">
        <v>284</v>
      </c>
      <c r="H63" s="214">
        <f>H62+(H62*0.25*(H29/12-1))</f>
        <v>7.0000000000000007E-2</v>
      </c>
      <c r="I63" s="158"/>
      <c r="J63" s="158"/>
      <c r="K63" s="159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8.75" customHeight="1">
      <c r="A64" s="206" t="s">
        <v>102</v>
      </c>
      <c r="B64" s="57">
        <f>B61*B63</f>
        <v>4785.8991599999999</v>
      </c>
      <c r="C64" s="158">
        <v>10000</v>
      </c>
      <c r="D64" s="28">
        <f>B64</f>
        <v>4785.8991599999999</v>
      </c>
      <c r="E64" s="159"/>
      <c r="F64" s="55"/>
      <c r="G64" s="206" t="s">
        <v>102</v>
      </c>
      <c r="H64" s="57">
        <f>H61*H63</f>
        <v>4785.8991599999999</v>
      </c>
      <c r="I64" s="158"/>
      <c r="J64" s="28">
        <f>H64</f>
        <v>4785.8991599999999</v>
      </c>
      <c r="K64" s="159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8.75" customHeight="1">
      <c r="A65" s="212" t="s">
        <v>103</v>
      </c>
      <c r="B65" s="215" t="n">
        <v>250.0</v>
      </c>
      <c r="C65" s="158"/>
      <c r="D65" s="158"/>
      <c r="E65" s="159"/>
      <c r="F65" s="55"/>
      <c r="G65" s="212" t="s">
        <v>103</v>
      </c>
      <c r="H65" s="213">
        <v>5.0000000000000001E-3</v>
      </c>
      <c r="I65" s="158"/>
      <c r="J65" s="158"/>
      <c r="K65" s="159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8.75" customHeight="1">
      <c r="A66" s="157" t="s">
        <v>104</v>
      </c>
      <c r="B66" s="214"/>
      <c r="C66" s="158"/>
      <c r="D66" s="158"/>
      <c r="E66" s="159"/>
      <c r="F66" s="55"/>
      <c r="G66" s="157" t="s">
        <v>104</v>
      </c>
      <c r="H66" s="214">
        <f>H65+(H65*0.5*(H29/12-1))</f>
        <v>5.0000000000000001E-3</v>
      </c>
      <c r="I66" s="158"/>
      <c r="J66" s="158"/>
      <c r="K66" s="159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8.75" customHeight="1">
      <c r="A67" s="206" t="s">
        <v>105</v>
      </c>
      <c r="B67" s="57">
        <f>B65</f>
        <v>100</v>
      </c>
      <c r="C67" s="158"/>
      <c r="D67" s="28"/>
      <c r="E67" s="159"/>
      <c r="F67" s="55"/>
      <c r="G67" s="206" t="s">
        <v>105</v>
      </c>
      <c r="H67" s="57">
        <f>H61*H66</f>
        <v>341.84994</v>
      </c>
      <c r="I67" s="158"/>
      <c r="J67" s="28"/>
      <c r="K67" s="159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8.75" customHeight="1">
      <c r="A68" s="212" t="s">
        <v>106</v>
      </c>
      <c r="B68" s="213" t="n">
        <v>0.0075</v>
      </c>
      <c r="C68" s="158"/>
      <c r="D68" s="158"/>
      <c r="E68" s="159"/>
      <c r="F68" s="55"/>
      <c r="G68" s="212" t="s">
        <v>106</v>
      </c>
      <c r="H68" s="213">
        <v>7.4999999999999997E-3</v>
      </c>
      <c r="I68" s="158"/>
      <c r="J68" s="158"/>
      <c r="K68" s="159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8.75" customHeight="1">
      <c r="A69" s="216" t="s">
        <v>107</v>
      </c>
      <c r="B69" s="217" t="n">
        <v>0.12</v>
      </c>
      <c r="C69" s="158"/>
      <c r="D69" s="158"/>
      <c r="E69" s="159"/>
      <c r="F69" s="55"/>
      <c r="G69" s="216" t="s">
        <v>107</v>
      </c>
      <c r="H69" s="217">
        <v>0.12</v>
      </c>
      <c r="I69" s="158"/>
      <c r="J69" s="158"/>
      <c r="K69" s="159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8.75" customHeight="1">
      <c r="A70" s="206" t="s">
        <v>108</v>
      </c>
      <c r="B70" s="218">
        <f>B68*(1+B69)</f>
        <v>8.4000000000000012E-3</v>
      </c>
      <c r="C70" s="158"/>
      <c r="D70" s="158"/>
      <c r="E70" s="159"/>
      <c r="F70" s="55"/>
      <c r="G70" s="206" t="s">
        <v>108</v>
      </c>
      <c r="H70" s="218">
        <f>H68*(1+H69)</f>
        <v>8.4000000000000012E-3</v>
      </c>
      <c r="I70" s="158"/>
      <c r="J70" s="158"/>
      <c r="K70" s="159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8.75" customHeight="1">
      <c r="A71" s="212" t="s">
        <v>109</v>
      </c>
      <c r="B71" s="74" t="n">
        <v>160.0</v>
      </c>
      <c r="C71" s="158"/>
      <c r="D71" s="158"/>
      <c r="E71" s="159"/>
      <c r="F71" s="55"/>
      <c r="G71" s="212" t="s">
        <v>109</v>
      </c>
      <c r="H71" s="74">
        <v>160</v>
      </c>
      <c r="I71" s="158"/>
      <c r="J71" s="158"/>
      <c r="K71" s="159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8.75" customHeight="1">
      <c r="A72" s="216" t="s">
        <v>110</v>
      </c>
      <c r="B72" s="65" t="n">
        <v>4.5</v>
      </c>
      <c r="C72" s="158"/>
      <c r="D72" s="158"/>
      <c r="E72" s="159"/>
      <c r="F72" s="55"/>
      <c r="G72" s="216" t="s">
        <v>110</v>
      </c>
      <c r="H72" s="65">
        <v>4.5</v>
      </c>
      <c r="I72" s="158"/>
      <c r="J72" s="158"/>
      <c r="K72" s="159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8.75" customHeight="1">
      <c r="A73" s="206" t="s">
        <v>111</v>
      </c>
      <c r="B73" s="57">
        <f>B72*H29</f>
        <v>60</v>
      </c>
      <c r="C73" s="158"/>
      <c r="D73" s="28">
        <f>B73+B71</f>
        <v>260</v>
      </c>
      <c r="E73" s="159"/>
      <c r="F73" s="55"/>
      <c r="G73" s="206" t="s">
        <v>111</v>
      </c>
      <c r="H73" s="57">
        <f>H72*H29</f>
        <v>54</v>
      </c>
      <c r="I73" s="158"/>
      <c r="J73" s="28">
        <f>H73+H71</f>
        <v>214</v>
      </c>
      <c r="K73" s="159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8.75" customHeight="1">
      <c r="A74" s="212" t="s">
        <v>285</v>
      </c>
      <c r="B74" s="74" t="n">
        <v>0.0</v>
      </c>
      <c r="C74" s="158"/>
      <c r="D74" s="158"/>
      <c r="E74" s="159"/>
      <c r="F74" s="55"/>
      <c r="G74" s="212" t="s">
        <v>285</v>
      </c>
      <c r="H74" s="74">
        <v>150</v>
      </c>
      <c r="I74" s="158"/>
      <c r="J74" s="158"/>
      <c r="K74" s="159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8.75" customHeight="1">
      <c r="A75" s="216" t="s">
        <v>286</v>
      </c>
      <c r="B75" s="65" t="n">
        <v>0.0</v>
      </c>
      <c r="C75" s="158"/>
      <c r="D75" s="158"/>
      <c r="E75" s="159"/>
      <c r="F75" s="55"/>
      <c r="G75" s="216" t="s">
        <v>286</v>
      </c>
      <c r="H75" s="65">
        <f>IF(G18&gt;40000,325,0)</f>
        <v>325</v>
      </c>
      <c r="I75" s="158"/>
      <c r="J75" s="158"/>
      <c r="K75" s="159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8.75" customHeight="1">
      <c r="A76" s="206" t="s">
        <v>287</v>
      </c>
      <c r="B76" s="57">
        <f>((B74+B75)/12)*(H29-11)</f>
        <v>0</v>
      </c>
      <c r="C76" s="158"/>
      <c r="D76" s="28">
        <f>B76</f>
        <v>0</v>
      </c>
      <c r="E76" s="159"/>
      <c r="F76" s="55"/>
      <c r="G76" s="206" t="s">
        <v>287</v>
      </c>
      <c r="H76" s="57">
        <f>((H74+H75)/12)*(H29-11)</f>
        <v>39.583333333333336</v>
      </c>
      <c r="I76" s="158"/>
      <c r="J76" s="28">
        <f>H76</f>
        <v>39.583333333333336</v>
      </c>
      <c r="K76" s="159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8.75" customHeight="1">
      <c r="A77" s="212" t="s">
        <v>288</v>
      </c>
      <c r="B77" s="74">
        <f>B102/(1-0.1)</f>
        <v>444.44444444444446</v>
      </c>
      <c r="C77" s="158"/>
      <c r="D77" s="28">
        <f>B77</f>
        <v>444.44444444444446</v>
      </c>
      <c r="E77" s="159"/>
      <c r="F77" s="55"/>
      <c r="G77" s="212" t="s">
        <v>288</v>
      </c>
      <c r="H77" s="74">
        <f>H102</f>
        <v>1200</v>
      </c>
      <c r="I77" s="158"/>
      <c r="J77" s="28">
        <f>H77</f>
        <v>1200</v>
      </c>
      <c r="K77" s="159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8.75" customHeight="1">
      <c r="A78" s="157" t="s">
        <v>289</v>
      </c>
      <c r="B78" s="29">
        <f>D102/(1-0.1)</f>
        <v>222.22222222222223</v>
      </c>
      <c r="C78" s="158"/>
      <c r="D78" s="28">
        <f>B78</f>
        <v>222.22222222222223</v>
      </c>
      <c r="E78" s="159"/>
      <c r="F78" s="55"/>
      <c r="G78" s="157" t="s">
        <v>289</v>
      </c>
      <c r="H78" s="29">
        <f>J102</f>
        <v>0</v>
      </c>
      <c r="I78" s="158"/>
      <c r="J78" s="28">
        <f>H78</f>
        <v>0</v>
      </c>
      <c r="K78" s="159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8.75" customHeight="1">
      <c r="A79" s="216" t="s">
        <v>112</v>
      </c>
      <c r="B79" s="65" t="n">
        <v>300.0</v>
      </c>
      <c r="C79" s="158"/>
      <c r="D79" s="28">
        <f>B79</f>
        <v>200</v>
      </c>
      <c r="E79" s="159"/>
      <c r="F79" s="55"/>
      <c r="G79" s="216" t="s">
        <v>112</v>
      </c>
      <c r="H79" s="65">
        <v>100</v>
      </c>
      <c r="I79" s="158"/>
      <c r="J79" s="28">
        <f>H79</f>
        <v>100</v>
      </c>
      <c r="K79" s="159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8.75" customHeight="1">
      <c r="A80" s="219" t="s">
        <v>113</v>
      </c>
      <c r="B80" s="75" t="n">
        <v>100.0</v>
      </c>
      <c r="C80" s="158"/>
      <c r="D80" s="28">
        <f>B80</f>
        <v>200</v>
      </c>
      <c r="E80" s="159"/>
      <c r="F80" s="55"/>
      <c r="G80" s="219" t="s">
        <v>113</v>
      </c>
      <c r="H80" s="75">
        <v>100</v>
      </c>
      <c r="I80" s="158"/>
      <c r="J80" s="28">
        <f>H80</f>
        <v>100</v>
      </c>
      <c r="K80" s="159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8.75" customHeight="1">
      <c r="A81" s="220" t="s">
        <v>114</v>
      </c>
      <c r="B81" s="221">
        <f>SUM(D64:D80)</f>
        <v>6112.5658266666669</v>
      </c>
      <c r="C81" s="158"/>
      <c r="D81" s="158"/>
      <c r="E81" s="159"/>
      <c r="F81" s="55"/>
      <c r="G81" s="220" t="s">
        <v>114</v>
      </c>
      <c r="H81" s="221">
        <f>SUM(J64:J80)</f>
        <v>6439.482493333333</v>
      </c>
      <c r="I81" s="158"/>
      <c r="J81" s="158"/>
      <c r="K81" s="159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8.75" customHeight="1">
      <c r="A82" s="157" t="s">
        <v>115</v>
      </c>
      <c r="B82" s="29">
        <f>B81/H29</f>
        <v>509.38048555555559</v>
      </c>
      <c r="C82" s="158"/>
      <c r="D82" s="158"/>
      <c r="E82" s="159"/>
      <c r="F82" s="55"/>
      <c r="G82" s="157" t="s">
        <v>115</v>
      </c>
      <c r="H82" s="29">
        <f>H81/H29</f>
        <v>536.62354111111108</v>
      </c>
      <c r="I82" s="158"/>
      <c r="J82" s="158"/>
      <c r="K82" s="159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8.75" customHeight="1">
      <c r="A83" s="222" t="s">
        <v>116</v>
      </c>
      <c r="B83" s="52">
        <f>H46</f>
        <v>501</v>
      </c>
      <c r="C83" s="158"/>
      <c r="D83" s="158"/>
      <c r="E83" s="159"/>
      <c r="F83" s="55"/>
      <c r="G83" s="222" t="s">
        <v>116</v>
      </c>
      <c r="H83" s="52">
        <f>H46</f>
        <v>501</v>
      </c>
      <c r="I83" s="158"/>
      <c r="J83" s="158"/>
      <c r="K83" s="159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8.75" customHeight="1">
      <c r="A84" s="157"/>
      <c r="B84" s="28"/>
      <c r="C84" s="158"/>
      <c r="D84" s="158"/>
      <c r="E84" s="159"/>
      <c r="F84" s="55"/>
      <c r="G84" s="157"/>
      <c r="H84" s="28"/>
      <c r="I84" s="158"/>
      <c r="J84" s="158"/>
      <c r="K84" s="159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8.75" customHeight="1">
      <c r="A85" s="209" t="s">
        <v>126</v>
      </c>
      <c r="B85" s="24">
        <f>((B83*(H29)+B81))</f>
        <v>12124.565826666667</v>
      </c>
      <c r="C85" s="158"/>
      <c r="D85" s="158"/>
      <c r="E85" s="159"/>
      <c r="F85" s="55"/>
      <c r="G85" s="209" t="s">
        <v>126</v>
      </c>
      <c r="H85" s="24">
        <f>((H83*(H27+H28))+H81)*1.2</f>
        <v>14941.778992</v>
      </c>
      <c r="I85" s="158"/>
      <c r="J85" s="158"/>
      <c r="K85" s="159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8.75" customHeight="1">
      <c r="A86" s="157" t="s">
        <v>127</v>
      </c>
      <c r="B86" s="29">
        <f>(B85/(1-B70))*B70</f>
        <v>102.70910946349335</v>
      </c>
      <c r="C86" s="158"/>
      <c r="D86" s="158"/>
      <c r="E86" s="159"/>
      <c r="F86" s="55"/>
      <c r="G86" s="157" t="s">
        <v>127</v>
      </c>
      <c r="H86" s="29">
        <f>(((H83*(H27+H28))+H81)/(1-H70))*H70</f>
        <v>105.47847210972166</v>
      </c>
      <c r="I86" s="158"/>
      <c r="J86" s="158"/>
      <c r="K86" s="159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8.75" customHeight="1">
      <c r="A87" s="206" t="s">
        <v>128</v>
      </c>
      <c r="B87" s="57">
        <f>IF(B110="YES",((B85+B86)-E114),((B85+B86)))</f>
        <v>12227.274936130159</v>
      </c>
      <c r="C87" s="158"/>
      <c r="D87" s="158"/>
      <c r="E87" s="159"/>
      <c r="F87" s="55"/>
      <c r="G87" s="206" t="s">
        <v>128</v>
      </c>
      <c r="H87" s="57">
        <f>IF(H110="YES",((H85+H86)-A151-K114),((H85+H86)-A151))</f>
        <v>14822.257464109722</v>
      </c>
      <c r="I87" s="158"/>
      <c r="J87" s="158"/>
      <c r="K87" s="159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8.75" customHeight="1">
      <c r="A88" s="157"/>
      <c r="B88" s="28"/>
      <c r="C88" s="158"/>
      <c r="D88" s="158"/>
      <c r="E88" s="159"/>
      <c r="F88" s="55"/>
      <c r="G88" s="157"/>
      <c r="H88" s="28"/>
      <c r="I88" s="158"/>
      <c r="J88" s="158"/>
      <c r="K88" s="159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8.75" customHeight="1">
      <c r="A89" s="220" t="s">
        <v>129</v>
      </c>
      <c r="B89" s="223">
        <f>IF(B99=Z102,(((H44*B35)+(H44*B35)*(B105/100))/(B58)),(((H44*B35)+(H44*B35)*(B105/100))/(B57+B58)))</f>
        <v>0</v>
      </c>
      <c r="C89" s="158" t="s">
        <v>10</v>
      </c>
      <c r="D89" s="158"/>
      <c r="E89" s="159"/>
      <c r="F89" s="55"/>
      <c r="G89" s="220" t="s">
        <v>129</v>
      </c>
      <c r="H89" s="221">
        <f>(A41+(A41*H105))*1.2</f>
        <v>0</v>
      </c>
      <c r="I89" s="158"/>
      <c r="J89" s="158"/>
      <c r="K89" s="159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8.75" customHeight="1">
      <c r="A90" s="224" t="s">
        <v>130</v>
      </c>
      <c r="B90" s="225">
        <f>IF(B99=Z102,(B87-D105)/(B58),B87/(B57+B58))</f>
        <v>1018.9395780108466</v>
      </c>
      <c r="C90" s="158"/>
      <c r="D90" s="158"/>
      <c r="E90" s="159"/>
      <c r="F90" s="55"/>
      <c r="G90" s="224" t="s">
        <v>130</v>
      </c>
      <c r="H90" s="225">
        <f>IF(H99=AE98,(H87-J105)/(H58),H87/(H57+H58))</f>
        <v>1235.1881220091434</v>
      </c>
      <c r="I90" s="158"/>
      <c r="K90" s="159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8.75" customHeight="1">
      <c r="A91" s="226" t="s">
        <v>131</v>
      </c>
      <c r="B91" s="227">
        <f>IF(A105="YES",B90+B89,B90)</f>
        <v>1018.9395780108466</v>
      </c>
      <c r="C91" s="158"/>
      <c r="D91" s="158"/>
      <c r="E91" s="159"/>
      <c r="F91" s="55"/>
      <c r="G91" s="226" t="s">
        <v>131</v>
      </c>
      <c r="H91" s="227">
        <f>IF(G105="YES",H90+H89,H90)</f>
        <v>1235.1881220091434</v>
      </c>
      <c r="I91" s="158"/>
      <c r="J91" s="158"/>
      <c r="K91" s="159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8.75" customHeight="1">
      <c r="A92" s="206"/>
      <c r="B92" s="207"/>
      <c r="C92" s="207"/>
      <c r="D92" s="207"/>
      <c r="E92" s="208"/>
      <c r="F92" s="55"/>
      <c r="G92" s="206"/>
      <c r="H92" s="207"/>
      <c r="I92" s="207"/>
      <c r="J92" s="207"/>
      <c r="K92" s="208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8.75" customHeight="1">
      <c r="A93" s="158"/>
      <c r="B93" s="158"/>
      <c r="C93" s="158"/>
      <c r="D93" s="158"/>
      <c r="E93" s="158"/>
      <c r="F93" s="55"/>
      <c r="G93" s="158"/>
      <c r="H93" s="158"/>
      <c r="I93" s="158"/>
      <c r="J93" s="158"/>
      <c r="K93" s="158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46.5" customHeight="1">
      <c r="A94" s="376" t="s">
        <v>338</v>
      </c>
      <c r="B94" s="376"/>
      <c r="C94" s="376"/>
      <c r="D94" s="376"/>
      <c r="E94" s="376"/>
      <c r="F94" s="55"/>
      <c r="G94" s="376" t="s">
        <v>290</v>
      </c>
      <c r="H94" s="376"/>
      <c r="I94" s="376"/>
      <c r="J94" s="376"/>
      <c r="K94" s="376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8.75" customHeight="1">
      <c r="A95" s="157"/>
      <c r="B95" s="158"/>
      <c r="C95" s="158"/>
      <c r="D95" s="158"/>
      <c r="E95" s="159"/>
      <c r="F95" s="55"/>
      <c r="G95" s="157"/>
      <c r="H95" s="158"/>
      <c r="I95" s="158"/>
      <c r="J95" s="158"/>
      <c r="K95" s="159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8.75" customHeight="1">
      <c r="A96" s="377" t="s">
        <v>136</v>
      </c>
      <c r="B96" s="377"/>
      <c r="C96" s="377"/>
      <c r="D96" s="377"/>
      <c r="E96" s="377"/>
      <c r="F96" s="55"/>
      <c r="G96" s="377" t="s">
        <v>136</v>
      </c>
      <c r="H96" s="377"/>
      <c r="I96" s="377"/>
      <c r="J96" s="377"/>
      <c r="K96" s="377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7" ht="18.75" customHeight="1">
      <c r="A97" s="157"/>
      <c r="B97" s="158"/>
      <c r="C97" s="158"/>
      <c r="D97" s="158"/>
      <c r="E97" s="159"/>
      <c r="F97" s="55"/>
      <c r="G97" s="157"/>
      <c r="H97" s="158"/>
      <c r="I97" s="158"/>
      <c r="J97" s="158"/>
      <c r="K97" s="159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7" ht="18.75" customHeight="1">
      <c r="A98" s="157" t="s">
        <v>137</v>
      </c>
      <c r="B98" s="158" t="s">
        <v>36</v>
      </c>
      <c r="C98" s="158"/>
      <c r="D98" s="158" t="s">
        <v>291</v>
      </c>
      <c r="E98" s="159"/>
      <c r="F98" s="55"/>
      <c r="G98" s="157" t="s">
        <v>137</v>
      </c>
      <c r="H98" s="158" t="s">
        <v>36</v>
      </c>
      <c r="I98" s="158"/>
      <c r="J98" s="158" t="s">
        <v>291</v>
      </c>
      <c r="K98" s="159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7" ht="18.75" customHeight="1">
      <c r="A99" s="162" t="s">
        <v>292</v>
      </c>
      <c r="B99" s="395" t="s">
        <v>140</v>
      </c>
      <c r="C99" s="395"/>
      <c r="D99" s="348">
        <v>1000</v>
      </c>
      <c r="E99" s="348"/>
      <c r="F99" s="55"/>
      <c r="G99" s="162" t="s">
        <v>292</v>
      </c>
      <c r="H99" s="395" t="s">
        <v>140</v>
      </c>
      <c r="I99" s="395"/>
      <c r="J99" s="348">
        <v>0</v>
      </c>
      <c r="K99" s="348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7" ht="18.75" customHeight="1">
      <c r="A100" s="157"/>
      <c r="B100" s="158"/>
      <c r="C100" s="158"/>
      <c r="D100" s="158"/>
      <c r="E100" s="159"/>
      <c r="F100" s="55"/>
      <c r="G100" s="157"/>
      <c r="H100" s="158"/>
      <c r="I100" s="158"/>
      <c r="J100" s="158"/>
      <c r="K100" s="159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spans="1:27" ht="18.75" customHeight="1">
      <c r="A101" s="157" t="s">
        <v>293</v>
      </c>
      <c r="B101" s="158" t="s">
        <v>294</v>
      </c>
      <c r="C101" s="158"/>
      <c r="D101" s="158" t="s">
        <v>295</v>
      </c>
      <c r="E101" s="159"/>
      <c r="F101" s="55"/>
      <c r="G101" s="157" t="s">
        <v>293</v>
      </c>
      <c r="H101" s="158" t="s">
        <v>294</v>
      </c>
      <c r="I101" s="158"/>
      <c r="J101" s="158" t="s">
        <v>295</v>
      </c>
      <c r="K101" s="159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 t="s">
        <v>140</v>
      </c>
      <c r="AA101" s="55"/>
    </row>
    <row r="102" spans="1:27" ht="18.75" customHeight="1">
      <c r="A102" s="228" t="n">
        <v>0.0</v>
      </c>
      <c r="B102" s="348" t="n">
        <v>0.0</v>
      </c>
      <c r="C102" s="348"/>
      <c r="D102" s="348" t="n">
        <v>0.0</v>
      </c>
      <c r="E102" s="348"/>
      <c r="F102" s="55"/>
      <c r="G102" s="228">
        <f>199.99*1.2</f>
        <v>239.988</v>
      </c>
      <c r="H102" s="348">
        <v>1200</v>
      </c>
      <c r="I102" s="348"/>
      <c r="J102" s="348">
        <v>0</v>
      </c>
      <c r="K102" s="348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 t="s">
        <v>270</v>
      </c>
      <c r="AA102" s="55"/>
    </row>
    <row r="103" spans="1:27" ht="18.75" customHeight="1">
      <c r="A103" s="157"/>
      <c r="B103" s="158"/>
      <c r="C103" s="158"/>
      <c r="D103" s="158"/>
      <c r="E103" s="159"/>
      <c r="F103" s="55"/>
      <c r="G103" s="157"/>
      <c r="H103" s="158"/>
      <c r="I103" s="158"/>
      <c r="J103" s="158"/>
      <c r="K103" s="159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Z103" s="55" t="s">
        <v>271</v>
      </c>
      <c r="AA103" s="55"/>
    </row>
    <row r="104" spans="1:27" ht="18.75" customHeight="1">
      <c r="A104" s="162" t="s">
        <v>138</v>
      </c>
      <c r="B104" s="55" t="s">
        <v>141</v>
      </c>
      <c r="C104" s="158"/>
      <c r="D104" s="158" t="s">
        <v>152</v>
      </c>
      <c r="E104" s="159"/>
      <c r="F104" s="55"/>
      <c r="G104" s="162" t="s">
        <v>138</v>
      </c>
      <c r="H104" s="55" t="s">
        <v>141</v>
      </c>
      <c r="I104" s="158"/>
      <c r="J104" s="158" t="s">
        <v>152</v>
      </c>
      <c r="K104" s="159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Z104" s="55" t="s">
        <v>272</v>
      </c>
      <c r="AA104" s="55"/>
    </row>
    <row r="105" spans="1:27" ht="18.75" customHeight="1">
      <c r="A105" s="164" t="s">
        <v>386</v>
      </c>
      <c r="B105" s="395" t="n">
        <v>0.0</v>
      </c>
      <c r="C105" s="395"/>
      <c r="D105" s="348" t="n">
        <v>200.0</v>
      </c>
      <c r="E105" s="348"/>
      <c r="F105" s="55"/>
      <c r="G105" s="164" t="s">
        <v>31</v>
      </c>
      <c r="H105" s="396">
        <v>0.2</v>
      </c>
      <c r="I105" s="396"/>
      <c r="J105" s="348">
        <v>0</v>
      </c>
      <c r="K105" s="348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Z105" s="55" t="s">
        <v>273</v>
      </c>
      <c r="AA105" s="55"/>
    </row>
    <row r="106" spans="1:27" ht="18.75" customHeight="1">
      <c r="A106" s="157"/>
      <c r="B106" s="158"/>
      <c r="C106" s="158"/>
      <c r="D106" s="158"/>
      <c r="E106" s="159"/>
      <c r="F106" s="55"/>
      <c r="G106" s="157"/>
      <c r="H106" s="158"/>
      <c r="I106" s="158"/>
      <c r="J106" s="158"/>
      <c r="K106" s="159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Z106" s="55" t="s">
        <v>274</v>
      </c>
      <c r="AA106" s="55"/>
    </row>
    <row r="107" spans="1:27" ht="18.75" customHeight="1">
      <c r="A107" s="157"/>
      <c r="B107" s="158"/>
      <c r="C107" s="158"/>
      <c r="D107" s="158"/>
      <c r="E107" s="159"/>
      <c r="F107" s="55"/>
      <c r="G107" s="157"/>
      <c r="H107" s="158"/>
      <c r="I107" s="158"/>
      <c r="J107" s="158"/>
      <c r="K107" s="159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Z107" s="55" t="s">
        <v>275</v>
      </c>
      <c r="AA107" s="55"/>
    </row>
    <row r="108" spans="1:27" ht="18.75" customHeight="1">
      <c r="A108" s="377" t="s">
        <v>296</v>
      </c>
      <c r="B108" s="377"/>
      <c r="C108" s="377"/>
      <c r="D108" s="377"/>
      <c r="E108" s="377"/>
      <c r="F108" s="55"/>
      <c r="G108" s="377" t="s">
        <v>296</v>
      </c>
      <c r="H108" s="377"/>
      <c r="I108" s="377"/>
      <c r="J108" s="377"/>
      <c r="K108" s="377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Z108" s="55" t="s">
        <v>276</v>
      </c>
      <c r="AA108" s="55"/>
    </row>
    <row r="109" spans="1:27" ht="18.75" customHeight="1">
      <c r="A109" s="157"/>
      <c r="B109" s="158"/>
      <c r="C109" s="158"/>
      <c r="D109" s="158"/>
      <c r="E109" s="159"/>
      <c r="F109" s="55"/>
      <c r="G109" s="157"/>
      <c r="H109" s="158"/>
      <c r="I109" s="158"/>
      <c r="J109" s="158"/>
      <c r="K109" s="159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Z109" s="55" t="s">
        <v>277</v>
      </c>
    </row>
    <row r="110" spans="1:27" ht="18.75" customHeight="1">
      <c r="A110" s="157" t="s">
        <v>297</v>
      </c>
      <c r="B110" s="164" t="s">
        <v>386</v>
      </c>
      <c r="C110" s="158"/>
      <c r="D110" s="158"/>
      <c r="E110" s="159"/>
      <c r="F110" s="55"/>
      <c r="G110" s="157" t="s">
        <v>297</v>
      </c>
      <c r="H110" s="164" t="s">
        <v>32</v>
      </c>
      <c r="I110" s="158"/>
      <c r="J110" s="158"/>
      <c r="K110" s="159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Z110" s="55"/>
    </row>
    <row r="111" spans="1:27" ht="18.75" customHeight="1">
      <c r="A111" s="157"/>
      <c r="B111" s="158"/>
      <c r="C111" s="158"/>
      <c r="D111" s="158"/>
      <c r="E111" s="159"/>
      <c r="F111" s="55"/>
      <c r="G111" s="157"/>
      <c r="H111" s="158"/>
      <c r="I111" s="158"/>
      <c r="J111" s="158"/>
      <c r="K111" s="159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Z111" s="55"/>
    </row>
    <row r="112" spans="1:27" ht="18.75" customHeight="1">
      <c r="A112" s="157" t="s">
        <v>185</v>
      </c>
      <c r="B112" s="158"/>
      <c r="C112" s="158"/>
      <c r="D112" s="228" t="n">
        <v>0.0</v>
      </c>
      <c r="E112" s="92" t="n">
        <v>0.0</v>
      </c>
      <c r="F112" s="55"/>
      <c r="G112" s="157" t="s">
        <v>185</v>
      </c>
      <c r="H112" s="158"/>
      <c r="I112" s="158"/>
      <c r="J112" s="228">
        <v>10000</v>
      </c>
      <c r="K112" s="92">
        <v>5000</v>
      </c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8.75" customHeight="1">
      <c r="A113" s="157" t="s">
        <v>186</v>
      </c>
      <c r="B113" s="158"/>
      <c r="C113" s="158"/>
      <c r="D113" s="35">
        <f>E113</f>
        <v>0</v>
      </c>
      <c r="E113" s="92" t="n">
        <v>0.0</v>
      </c>
      <c r="F113" s="55"/>
      <c r="G113" s="157" t="s">
        <v>186</v>
      </c>
      <c r="H113" s="158"/>
      <c r="I113" s="158"/>
      <c r="J113" s="35">
        <f>K113</f>
        <v>7000</v>
      </c>
      <c r="K113" s="92">
        <v>7000</v>
      </c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8.75" customHeight="1">
      <c r="A114" s="157" t="s">
        <v>187</v>
      </c>
      <c r="B114" s="158"/>
      <c r="C114" s="158"/>
      <c r="D114" s="35">
        <f>D112-D113</f>
        <v>0</v>
      </c>
      <c r="E114" s="127">
        <f>E112-E113</f>
        <v>0</v>
      </c>
      <c r="F114" s="55"/>
      <c r="G114" s="157" t="s">
        <v>187</v>
      </c>
      <c r="H114" s="158"/>
      <c r="I114" s="158"/>
      <c r="J114" s="35">
        <f>J112-J113</f>
        <v>3000</v>
      </c>
      <c r="K114" s="127">
        <f>K112-K113</f>
        <v>-2000</v>
      </c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8.75" customHeight="1">
      <c r="A115" s="157" t="s">
        <v>188</v>
      </c>
      <c r="B115" s="158"/>
      <c r="C115" s="158"/>
      <c r="D115" s="35">
        <f>D114-E114</f>
        <v>0</v>
      </c>
      <c r="E115" s="159"/>
      <c r="F115" s="55"/>
      <c r="G115" s="157" t="s">
        <v>188</v>
      </c>
      <c r="H115" s="158"/>
      <c r="I115" s="158"/>
      <c r="J115" s="35">
        <f>J114-K114</f>
        <v>5000</v>
      </c>
      <c r="K115" s="159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8.75" customHeight="1">
      <c r="A116" s="157"/>
      <c r="B116" s="158"/>
      <c r="C116" s="158"/>
      <c r="D116" s="158"/>
      <c r="E116" s="159"/>
      <c r="F116" s="55"/>
      <c r="G116" s="157"/>
      <c r="H116" s="158"/>
      <c r="I116" s="158"/>
      <c r="J116" s="158"/>
      <c r="K116" s="159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8.75" customHeight="1">
      <c r="A117" s="209" t="s">
        <v>148</v>
      </c>
      <c r="B117" s="210"/>
      <c r="C117" s="210"/>
      <c r="D117" s="210"/>
      <c r="E117" s="24">
        <f>D99</f>
        <v>1000</v>
      </c>
      <c r="F117" s="55"/>
      <c r="G117" s="209" t="s">
        <v>148</v>
      </c>
      <c r="H117" s="210"/>
      <c r="I117" s="210"/>
      <c r="J117" s="210"/>
      <c r="K117" s="24">
        <f>J99</f>
        <v>0</v>
      </c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8.75" customHeight="1">
      <c r="A118" s="157" t="s">
        <v>66</v>
      </c>
      <c r="B118" s="158"/>
      <c r="C118" s="158"/>
      <c r="D118" s="158"/>
      <c r="E118" s="29">
        <f>A102</f>
        <v>750</v>
      </c>
      <c r="F118" s="55"/>
      <c r="G118" s="157" t="s">
        <v>66</v>
      </c>
      <c r="H118" s="158"/>
      <c r="I118" s="158"/>
      <c r="J118" s="158"/>
      <c r="K118" s="29">
        <f>G102</f>
        <v>239.988</v>
      </c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8.75" customHeight="1">
      <c r="A119" s="229" t="s">
        <v>298</v>
      </c>
      <c r="B119" s="207"/>
      <c r="C119" s="207"/>
      <c r="D119" s="207"/>
      <c r="E119" s="57">
        <f>((E118*1.2)+E117)-E114</f>
        <v>1900</v>
      </c>
      <c r="F119" s="55"/>
      <c r="G119" s="229" t="s">
        <v>298</v>
      </c>
      <c r="H119" s="207"/>
      <c r="I119" s="207"/>
      <c r="J119" s="207"/>
      <c r="K119" s="57">
        <f>(K118+K117)-J115</f>
        <v>-4760.0119999999997</v>
      </c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8.75" customHeight="1">
      <c r="A120" s="157"/>
      <c r="B120" s="158"/>
      <c r="C120" s="158"/>
      <c r="D120" s="158"/>
      <c r="E120" s="159"/>
      <c r="F120" s="55"/>
      <c r="G120" s="157"/>
      <c r="H120" s="158"/>
      <c r="I120" s="158"/>
      <c r="J120" s="158"/>
      <c r="K120" s="159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8.75" customHeight="1">
      <c r="A121" s="157"/>
      <c r="B121" s="158"/>
      <c r="C121" s="158"/>
      <c r="D121" s="158"/>
      <c r="E121" s="159"/>
      <c r="F121" s="55"/>
      <c r="G121" s="157"/>
      <c r="H121" s="158"/>
      <c r="I121" s="158"/>
      <c r="J121" s="158"/>
      <c r="K121" s="159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8.75" customHeight="1">
      <c r="A122" s="377" t="s">
        <v>299</v>
      </c>
      <c r="B122" s="377"/>
      <c r="C122" s="377"/>
      <c r="D122" s="377"/>
      <c r="E122" s="377"/>
      <c r="F122" s="55"/>
      <c r="G122" s="377" t="s">
        <v>299</v>
      </c>
      <c r="H122" s="377"/>
      <c r="I122" s="377"/>
      <c r="J122" s="377"/>
      <c r="K122" s="377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8.75" customHeight="1">
      <c r="A123" s="157"/>
      <c r="B123" s="158"/>
      <c r="C123" s="158"/>
      <c r="D123" s="158"/>
      <c r="E123" s="159"/>
      <c r="F123" s="55"/>
      <c r="G123" s="157"/>
      <c r="H123" s="158"/>
      <c r="I123" s="158"/>
      <c r="J123" s="158"/>
      <c r="K123" s="159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8.75" customHeight="1">
      <c r="A124" s="230" t="s">
        <v>137</v>
      </c>
      <c r="B124" s="231" t="n">
        <v>0.0</v>
      </c>
      <c r="C124" s="232"/>
      <c r="D124" s="231" t="s">
        <v>95</v>
      </c>
      <c r="E124" s="233"/>
      <c r="F124" s="55"/>
      <c r="G124" s="157" t="s">
        <v>193</v>
      </c>
      <c r="H124" s="368">
        <v>0</v>
      </c>
      <c r="I124" s="368"/>
      <c r="J124" s="158"/>
      <c r="K124" s="159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8.75" customHeight="1">
      <c r="A125" s="234" t="s">
        <v>292</v>
      </c>
      <c r="B125" s="235">
        <f>A161</f>
        <v>12</v>
      </c>
      <c r="C125" s="236"/>
      <c r="D125" s="235">
        <f>B160</f>
        <v>5000</v>
      </c>
      <c r="E125" s="233"/>
      <c r="F125" s="55"/>
      <c r="G125" s="157"/>
      <c r="H125" s="158"/>
      <c r="I125" s="158"/>
      <c r="J125" s="158"/>
      <c r="K125" s="159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8.75" customHeight="1">
      <c r="A126" s="230"/>
      <c r="B126" s="231"/>
      <c r="C126" s="231"/>
      <c r="D126" s="231"/>
      <c r="E126" s="233"/>
      <c r="F126" s="55"/>
      <c r="G126" s="157" t="s">
        <v>94</v>
      </c>
      <c r="H126" s="158" t="s">
        <v>95</v>
      </c>
      <c r="I126" s="158"/>
      <c r="J126" s="158" t="s">
        <v>97</v>
      </c>
      <c r="K126" s="159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8.75" customHeight="1">
      <c r="A127" s="230" t="s">
        <v>130</v>
      </c>
      <c r="B127" s="231" t="s">
        <v>300</v>
      </c>
      <c r="C127" s="232"/>
      <c r="D127" s="231" t="s">
        <v>301</v>
      </c>
      <c r="E127" s="233"/>
      <c r="F127" s="55"/>
      <c r="G127" s="169">
        <f>G152</f>
        <v>12</v>
      </c>
      <c r="H127" s="170">
        <f>A152</f>
        <v>0</v>
      </c>
      <c r="I127" s="171"/>
      <c r="J127" s="170">
        <f>B151</f>
        <v>0</v>
      </c>
      <c r="K127" s="159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8.75" customHeight="1">
      <c r="A128" s="234">
        <f>B90</f>
        <v>1018.9395780108466</v>
      </c>
      <c r="B128" s="232">
        <f>IF(A105="YES",B89,0)</f>
        <v>0</v>
      </c>
      <c r="C128" s="237"/>
      <c r="D128" s="232">
        <f>B91</f>
        <v>1018.9395780108466</v>
      </c>
      <c r="E128" s="233"/>
      <c r="F128" s="55"/>
      <c r="G128" s="157"/>
      <c r="H128" s="158"/>
      <c r="I128" s="158"/>
      <c r="J128" s="158"/>
      <c r="K128" s="159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7" ht="18.75" customHeight="1">
      <c r="A129" s="157"/>
      <c r="B129" s="158"/>
      <c r="C129" s="158"/>
      <c r="D129" s="158"/>
      <c r="E129" s="159"/>
      <c r="F129" s="55"/>
      <c r="G129" s="238" t="s">
        <v>302</v>
      </c>
      <c r="H129" s="239" t="s">
        <v>303</v>
      </c>
      <c r="I129" s="239"/>
      <c r="J129" s="239" t="s">
        <v>304</v>
      </c>
      <c r="K129" s="159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7" ht="18.75" customHeight="1">
      <c r="A130" s="240" t="s">
        <v>36</v>
      </c>
      <c r="B130" s="241" t="s">
        <v>305</v>
      </c>
      <c r="C130" s="171"/>
      <c r="D130" s="241" t="s">
        <v>306</v>
      </c>
      <c r="E130" s="159"/>
      <c r="F130" s="55"/>
      <c r="G130" s="242">
        <f>H90</f>
        <v>1235.1881220091434</v>
      </c>
      <c r="H130" s="133">
        <f>IF(G105="YES",H89*H57,0)</f>
        <v>0</v>
      </c>
      <c r="I130" s="133"/>
      <c r="J130" s="243">
        <f>H91</f>
        <v>1235.1881220091434</v>
      </c>
      <c r="K130" s="90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7" ht="18.75" customHeight="1">
      <c r="A131" s="244" t="str">
        <f>B99</f>
        <v xml:space="preserve"> Terminal pause with 9 down </v>
      </c>
      <c r="B131" s="34">
        <f>B90*B57</f>
        <v>9170.4562020976191</v>
      </c>
      <c r="C131" s="158"/>
      <c r="D131" s="34">
        <f>IF(A105="YES",B89*B57,0)</f>
        <v>0</v>
      </c>
      <c r="E131" s="159"/>
      <c r="F131" s="55"/>
      <c r="G131" s="157"/>
      <c r="H131" s="158"/>
      <c r="I131" s="158"/>
      <c r="J131" s="158"/>
      <c r="K131" s="159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7" ht="18.75" customHeight="1">
      <c r="A132" s="157"/>
      <c r="B132" s="158"/>
      <c r="C132" s="158"/>
      <c r="D132" s="158"/>
      <c r="E132" s="159"/>
      <c r="F132" s="55"/>
      <c r="G132" s="157" t="s">
        <v>307</v>
      </c>
      <c r="H132" s="158" t="s">
        <v>308</v>
      </c>
      <c r="I132" s="158"/>
      <c r="J132" s="158" t="s">
        <v>309</v>
      </c>
      <c r="K132" s="159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7" ht="18.75" customHeight="1">
      <c r="A133" s="93" t="s">
        <v>310</v>
      </c>
      <c r="B133" s="35" t="s">
        <v>311</v>
      </c>
      <c r="C133" s="163"/>
      <c r="D133" s="179" t="s">
        <v>218</v>
      </c>
      <c r="E133" s="159"/>
      <c r="F133" s="55"/>
      <c r="G133" s="138">
        <f>H90*H57</f>
        <v>1235.1881220091434</v>
      </c>
      <c r="H133" s="34">
        <f>IF(G105="YES",H89*H57,0)</f>
        <v>0</v>
      </c>
      <c r="I133" s="163"/>
      <c r="J133" s="137">
        <f>H91*H57</f>
        <v>1235.1881220091434</v>
      </c>
      <c r="K133" s="159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7" ht="18.75" customHeight="1">
      <c r="A134" s="94">
        <f>B91*B57</f>
        <v>9170.4562020976191</v>
      </c>
      <c r="B134" s="34">
        <f>E114</f>
        <v>0</v>
      </c>
      <c r="C134" s="158"/>
      <c r="D134" s="245">
        <f>B58</f>
        <v>3</v>
      </c>
      <c r="E134" s="159"/>
      <c r="F134" s="55"/>
      <c r="G134" s="157"/>
      <c r="H134" s="158"/>
      <c r="I134" s="158"/>
      <c r="J134" s="158"/>
      <c r="K134" s="159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7" ht="18.75" customHeight="1">
      <c r="A135" s="94"/>
      <c r="B135" s="246"/>
      <c r="C135" s="158"/>
      <c r="D135" s="158"/>
      <c r="E135" s="159"/>
      <c r="F135" s="55"/>
      <c r="G135" s="157" t="s">
        <v>312</v>
      </c>
      <c r="H135" s="158" t="s">
        <v>313</v>
      </c>
      <c r="I135" s="158"/>
      <c r="J135" s="158" t="s">
        <v>314</v>
      </c>
      <c r="K135" s="159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7" ht="18.75" customHeight="1">
      <c r="A136" s="53" t="s">
        <v>130</v>
      </c>
      <c r="B136" s="247" t="s">
        <v>300</v>
      </c>
      <c r="C136" s="158"/>
      <c r="D136" s="158" t="s">
        <v>301</v>
      </c>
      <c r="E136" s="159"/>
      <c r="F136" s="55"/>
      <c r="G136" s="94">
        <f>E15*0.000006</f>
        <v>0.41411992800000008</v>
      </c>
      <c r="H136" s="34">
        <f>IF(G105="YES",E15*0.000002,0)</f>
        <v>0.13803997600000001</v>
      </c>
      <c r="I136" s="34"/>
      <c r="J136" s="34">
        <f>G136+H136</f>
        <v>0.55215990400000003</v>
      </c>
      <c r="K136" s="90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7" ht="18.75" customHeight="1">
      <c r="A137" s="94">
        <f>B90</f>
        <v>1018.9395780108466</v>
      </c>
      <c r="B137" s="34">
        <f>IF(A105="YES",B89,0)</f>
        <v>0</v>
      </c>
      <c r="C137" s="158"/>
      <c r="D137" s="34">
        <f>B91</f>
        <v>1018.9395780108466</v>
      </c>
      <c r="E137" s="159"/>
      <c r="F137" s="55"/>
      <c r="G137" s="157"/>
      <c r="H137" s="158"/>
      <c r="I137" s="158"/>
      <c r="J137" s="158"/>
      <c r="K137" s="159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7" ht="18.75" customHeight="1">
      <c r="A138" s="157"/>
      <c r="B138" s="158"/>
      <c r="C138" s="158"/>
      <c r="D138" s="158"/>
      <c r="E138" s="159"/>
      <c r="F138" s="55"/>
      <c r="G138" s="157" t="s">
        <v>315</v>
      </c>
      <c r="H138" s="158" t="s">
        <v>316</v>
      </c>
      <c r="I138" s="158"/>
      <c r="J138" s="158" t="s">
        <v>317</v>
      </c>
      <c r="K138" s="159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7" ht="18.75" customHeight="1">
      <c r="A139" s="248" t="s">
        <v>80</v>
      </c>
      <c r="B139" s="249" t="s">
        <v>318</v>
      </c>
      <c r="C139" s="34"/>
      <c r="D139" s="249" t="s">
        <v>85</v>
      </c>
      <c r="E139" s="90"/>
      <c r="F139" s="55"/>
      <c r="G139" s="94">
        <f>G102</f>
        <v>239.988</v>
      </c>
      <c r="H139" s="34">
        <f>H67</f>
        <v>341.84994</v>
      </c>
      <c r="I139" s="34"/>
      <c r="J139" s="34">
        <f>H102*0.9</f>
        <v>1080</v>
      </c>
      <c r="K139" s="90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7" ht="18.75" customHeight="1">
      <c r="A140" s="250">
        <f>(G18*0.000006)*100</f>
        <v>41.0219928</v>
      </c>
      <c r="B140" s="251">
        <f>G18*0.000002*100</f>
        <v>13.673997599999998</v>
      </c>
      <c r="C140" s="252"/>
      <c r="D140" s="251">
        <f>A140+B140</f>
        <v>54.695990399999999</v>
      </c>
      <c r="E140" s="159"/>
      <c r="F140" s="55"/>
      <c r="G140" s="157"/>
      <c r="H140" s="158"/>
      <c r="I140" s="158"/>
      <c r="J140" s="158"/>
      <c r="K140" s="159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7" ht="18.75" customHeight="1">
      <c r="A141" s="253"/>
      <c r="B141" s="254"/>
      <c r="C141" s="158"/>
      <c r="D141" s="254"/>
      <c r="E141" s="159"/>
      <c r="F141" s="55"/>
      <c r="G141" s="157" t="s">
        <v>319</v>
      </c>
      <c r="H141" s="158" t="s">
        <v>320</v>
      </c>
      <c r="I141" s="158"/>
      <c r="J141" s="158" t="s">
        <v>321</v>
      </c>
      <c r="K141" s="159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7" ht="18.75" customHeight="1">
      <c r="A142" s="248" t="s">
        <v>322</v>
      </c>
      <c r="B142" s="249" t="s">
        <v>66</v>
      </c>
      <c r="C142" s="34"/>
      <c r="D142" s="249" t="s">
        <v>288</v>
      </c>
      <c r="E142" s="159"/>
      <c r="F142" s="55"/>
      <c r="G142" s="94">
        <f>IF(G105="YES",H89*0.1,0)</f>
        <v>0</v>
      </c>
      <c r="H142" s="34">
        <f>G102-100</f>
        <v>139.988</v>
      </c>
      <c r="I142" s="34"/>
      <c r="J142" s="34">
        <f>(H139+J139+G142+H142)-H145</f>
        <v>1561.8379400000001</v>
      </c>
      <c r="K142" s="90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7" ht="18.75" customHeight="1">
      <c r="A143" s="94">
        <v>0</v>
      </c>
      <c r="B143" s="34">
        <f>E118</f>
        <v>750</v>
      </c>
      <c r="C143" s="158"/>
      <c r="D143" s="119">
        <f>B102</f>
        <v>400</v>
      </c>
      <c r="E143" s="159"/>
      <c r="F143" s="55"/>
      <c r="G143" s="157"/>
      <c r="H143" s="158"/>
      <c r="I143" s="158"/>
      <c r="J143" s="158"/>
      <c r="K143" s="159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7" ht="18.75" customHeight="1">
      <c r="A144" s="94"/>
      <c r="B144" s="34"/>
      <c r="C144" s="158"/>
      <c r="D144" s="34"/>
      <c r="E144" s="159"/>
      <c r="F144" s="55"/>
      <c r="G144" s="157" t="s">
        <v>323</v>
      </c>
      <c r="H144" s="158" t="s">
        <v>324</v>
      </c>
      <c r="I144" s="158"/>
      <c r="J144" s="158"/>
      <c r="K144" s="159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8.75" customHeight="1">
      <c r="A145" s="255" t="s">
        <v>325</v>
      </c>
      <c r="B145" s="256"/>
      <c r="C145" s="257"/>
      <c r="D145" s="256"/>
      <c r="E145" s="258"/>
      <c r="F145" s="55"/>
      <c r="G145" s="94">
        <f>IF((1200-H102)&lt;=0,0,(1200-H102))</f>
        <v>0</v>
      </c>
      <c r="H145" s="34">
        <f>(H139+J139+G142+H142)*(G145/H64)</f>
        <v>0</v>
      </c>
      <c r="I145" s="158"/>
      <c r="J145" s="158"/>
      <c r="K145" s="159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8.75" customHeight="1">
      <c r="A146" s="253"/>
      <c r="B146" s="254"/>
      <c r="C146" s="158"/>
      <c r="D146" s="254"/>
      <c r="E146" s="159"/>
      <c r="F146" s="55"/>
      <c r="G146" s="157"/>
      <c r="H146" s="158"/>
      <c r="I146" s="158"/>
      <c r="J146" s="158"/>
      <c r="K146" s="159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8.75" customHeight="1">
      <c r="A147" s="157" t="s">
        <v>326</v>
      </c>
      <c r="B147" s="158" t="s">
        <v>327</v>
      </c>
      <c r="C147" s="158"/>
      <c r="D147" s="158" t="s">
        <v>328</v>
      </c>
      <c r="E147" s="159"/>
      <c r="F147" s="55"/>
      <c r="G147" s="157"/>
      <c r="H147" s="158"/>
      <c r="I147" s="158"/>
      <c r="J147" s="158"/>
      <c r="K147" s="159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8.75" customHeight="1">
      <c r="A148" s="94">
        <f>B67</f>
        <v>100</v>
      </c>
      <c r="B148" s="34">
        <f>B102</f>
        <v>400</v>
      </c>
      <c r="C148" s="34"/>
      <c r="D148" s="34">
        <f>IF(A105="YES",(A38/100*B105)*B125,0)*0.001</f>
        <v>0</v>
      </c>
      <c r="E148" s="90"/>
      <c r="F148" s="55"/>
      <c r="G148" s="202" t="s">
        <v>329</v>
      </c>
      <c r="H148" s="158"/>
      <c r="I148" s="158"/>
      <c r="J148" s="203"/>
      <c r="K148" s="204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8.75" customHeight="1">
      <c r="A149" s="157"/>
      <c r="B149" s="158"/>
      <c r="C149" s="158"/>
      <c r="D149" s="158"/>
      <c r="E149" s="159"/>
      <c r="F149" s="55"/>
      <c r="G149" s="157"/>
      <c r="H149" s="183"/>
      <c r="I149" s="183"/>
      <c r="J149" s="158"/>
      <c r="K149" s="159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8.75" customHeight="1">
      <c r="A150" s="157" t="s">
        <v>330</v>
      </c>
      <c r="B150" s="158" t="s">
        <v>324</v>
      </c>
      <c r="C150" s="158"/>
      <c r="D150" s="158" t="s">
        <v>321</v>
      </c>
      <c r="E150" s="159"/>
      <c r="F150" s="55"/>
      <c r="G150" s="387" t="s">
        <v>94</v>
      </c>
      <c r="H150" s="388" t="s">
        <v>95</v>
      </c>
      <c r="I150" s="388"/>
      <c r="J150" s="158"/>
      <c r="K150" s="159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8.75" customHeight="1">
      <c r="A151" s="94" t="n">
        <v>20.0</v>
      </c>
      <c r="B151" s="34">
        <f>(A148+B148+D148+A151)*(A143/B64)</f>
        <v>0</v>
      </c>
      <c r="C151" s="34"/>
      <c r="D151" s="34">
        <f>(A148+B148+D148+A151)-B151-A154</f>
        <v>525</v>
      </c>
      <c r="E151" s="90"/>
      <c r="F151" s="55"/>
      <c r="G151" s="387"/>
      <c r="H151" s="389">
        <f>B51</f>
        <v>5000</v>
      </c>
      <c r="I151" s="389"/>
      <c r="J151" s="158"/>
      <c r="K151" s="159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8.75" customHeight="1">
      <c r="A152" s="157"/>
      <c r="B152" s="158"/>
      <c r="C152" s="158"/>
      <c r="D152" s="158"/>
      <c r="E152" s="159"/>
      <c r="F152" s="55"/>
      <c r="G152" s="185">
        <f>A52</f>
        <v>12</v>
      </c>
      <c r="H152" s="343">
        <f>H91</f>
        <v>1235.1881220091434</v>
      </c>
      <c r="I152" s="343"/>
      <c r="J152" s="158"/>
      <c r="K152" s="159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8.75" customHeight="1">
      <c r="A153" s="157" t="s">
        <v>331</v>
      </c>
      <c r="B153" s="158"/>
      <c r="C153" s="158"/>
      <c r="D153" s="158"/>
      <c r="E153" s="159"/>
      <c r="F153" s="55"/>
      <c r="G153" s="157"/>
      <c r="H153" s="158"/>
      <c r="I153" s="158"/>
      <c r="J153" s="158"/>
      <c r="K153" s="159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9.5" customHeight="1">
      <c r="A154" s="94">
        <f>D102</f>
        <v>200</v>
      </c>
      <c r="B154" s="34"/>
      <c r="C154" s="158"/>
      <c r="D154" s="158"/>
      <c r="E154" s="159"/>
      <c r="F154" s="55"/>
      <c r="G154" s="157"/>
      <c r="H154" s="158"/>
      <c r="I154" s="158"/>
      <c r="J154" s="158"/>
      <c r="K154" s="159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8.75" customHeight="1">
      <c r="A155" s="157"/>
      <c r="B155" s="158"/>
      <c r="C155" s="158"/>
      <c r="D155" s="158"/>
      <c r="E155" s="159"/>
      <c r="F155" s="55"/>
      <c r="G155" s="157"/>
      <c r="H155" s="158"/>
      <c r="I155" s="158"/>
      <c r="J155" s="158"/>
      <c r="K155" s="159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8.75" customHeight="1">
      <c r="A156" s="157"/>
      <c r="B156" s="158"/>
      <c r="C156" s="158"/>
      <c r="D156" s="158"/>
      <c r="E156" s="159"/>
      <c r="F156" s="55"/>
      <c r="G156" s="157"/>
      <c r="H156" s="158"/>
      <c r="I156" s="158"/>
      <c r="J156" s="158"/>
      <c r="K156" s="159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8.75" customHeight="1">
      <c r="A157" s="202" t="s">
        <v>329</v>
      </c>
      <c r="B157" s="158"/>
      <c r="C157" s="158"/>
      <c r="D157" s="203"/>
      <c r="E157" s="204"/>
      <c r="F157" s="55"/>
      <c r="G157" s="206"/>
      <c r="H157" s="207"/>
      <c r="I157" s="207"/>
      <c r="J157" s="207"/>
      <c r="K157" s="208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8.75" customHeight="1">
      <c r="A158" s="157"/>
      <c r="B158" s="183"/>
      <c r="C158" s="183"/>
      <c r="D158" s="158"/>
      <c r="E158" s="159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8.75" customHeight="1">
      <c r="A159" s="387" t="s">
        <v>94</v>
      </c>
      <c r="B159" s="388" t="s">
        <v>95</v>
      </c>
      <c r="C159" s="388"/>
      <c r="D159" s="158"/>
      <c r="E159" s="159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8.75" customHeight="1">
      <c r="A160" s="387"/>
      <c r="B160" s="389">
        <f>B51</f>
        <v>5000</v>
      </c>
      <c r="C160" s="389"/>
      <c r="D160" s="158"/>
      <c r="E160" s="159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8.75" customHeight="1">
      <c r="A161" s="185">
        <f>A52</f>
        <v>12</v>
      </c>
      <c r="B161" s="343">
        <f>B91</f>
        <v>1018.9395780108466</v>
      </c>
      <c r="C161" s="343"/>
      <c r="D161" s="158"/>
      <c r="E161" s="159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8.75" customHeight="1">
      <c r="A162" s="157"/>
      <c r="B162" s="158"/>
      <c r="C162" s="158"/>
      <c r="D162" s="158"/>
      <c r="E162" s="159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8.75" customHeight="1">
      <c r="A163" s="157"/>
      <c r="B163" s="158"/>
      <c r="C163" s="158"/>
      <c r="D163" s="158"/>
      <c r="E163" s="159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8.75" customHeight="1">
      <c r="A164" s="157"/>
      <c r="B164" s="158"/>
      <c r="C164" s="158"/>
      <c r="D164" s="158"/>
      <c r="E164" s="159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8.75" customHeight="1">
      <c r="A165" s="397" t="s">
        <v>299</v>
      </c>
      <c r="B165" s="397"/>
      <c r="C165" s="397"/>
      <c r="D165" s="397"/>
      <c r="E165" s="397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8.75" customHeight="1">
      <c r="A166" s="157"/>
      <c r="B166" s="158"/>
      <c r="C166" s="158"/>
      <c r="D166" s="158"/>
      <c r="E166" s="159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8.75" customHeight="1">
      <c r="A167" s="230" t="s">
        <v>137</v>
      </c>
      <c r="B167" s="231" t="s">
        <v>52</v>
      </c>
      <c r="C167" s="232"/>
      <c r="D167" s="231" t="s">
        <v>95</v>
      </c>
      <c r="E167" s="233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8.75" customHeight="1">
      <c r="A168" s="234" t="s">
        <v>292</v>
      </c>
      <c r="B168" s="259">
        <f>A161</f>
        <v>12</v>
      </c>
      <c r="C168" s="236"/>
      <c r="D168" s="232">
        <f>B160</f>
        <v>5000</v>
      </c>
      <c r="E168" s="233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8.75" customHeight="1">
      <c r="A169" s="230"/>
      <c r="B169" s="231"/>
      <c r="C169" s="231"/>
      <c r="D169" s="231"/>
      <c r="E169" s="233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8.75" customHeight="1">
      <c r="A170" s="230" t="s">
        <v>130</v>
      </c>
      <c r="B170" s="231" t="s">
        <v>300</v>
      </c>
      <c r="C170" s="232"/>
      <c r="D170" s="231" t="s">
        <v>301</v>
      </c>
      <c r="E170" s="233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8.75" customHeight="1">
      <c r="A171" s="234">
        <f>B90</f>
        <v>1018.9395780108466</v>
      </c>
      <c r="B171" s="232">
        <f>IF(A105="YES",B89,0)</f>
        <v>0</v>
      </c>
      <c r="C171" s="237"/>
      <c r="D171" s="232">
        <f>B91</f>
        <v>1018.9395780108466</v>
      </c>
      <c r="E171" s="233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8.75" customHeight="1">
      <c r="A172" s="157"/>
      <c r="B172" s="158"/>
      <c r="C172" s="158"/>
      <c r="D172" s="158"/>
      <c r="E172" s="159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8.75" customHeight="1">
      <c r="A173" s="240" t="s">
        <v>36</v>
      </c>
      <c r="B173" s="241" t="s">
        <v>305</v>
      </c>
      <c r="C173" s="171"/>
      <c r="D173" s="241" t="s">
        <v>306</v>
      </c>
      <c r="E173" s="159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8.75" customHeight="1">
      <c r="A174" s="244" t="str">
        <f>B99</f>
        <v xml:space="preserve"> Terminal pause with 9 down </v>
      </c>
      <c r="B174" s="34">
        <f>B90*B57</f>
        <v>9170.4562020976191</v>
      </c>
      <c r="C174" s="158"/>
      <c r="D174" s="34">
        <f>IF(A105="YES",B89*B57,0)</f>
        <v>0</v>
      </c>
      <c r="E174" s="159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8.75" customHeight="1">
      <c r="A175" s="157"/>
      <c r="B175" s="158"/>
      <c r="C175" s="158"/>
      <c r="D175" s="158"/>
      <c r="E175" s="159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8.75" customHeight="1">
      <c r="A176" s="93" t="s">
        <v>310</v>
      </c>
      <c r="B176" s="35" t="s">
        <v>311</v>
      </c>
      <c r="C176" s="163"/>
      <c r="D176" s="179" t="s">
        <v>218</v>
      </c>
      <c r="E176" s="159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8.75" customHeight="1">
      <c r="A177" s="94">
        <f>B91*B57</f>
        <v>9170.4562020976191</v>
      </c>
      <c r="B177" s="34">
        <f>E114</f>
        <v>0</v>
      </c>
      <c r="C177" s="158"/>
      <c r="D177" s="245">
        <f>B58</f>
        <v>3</v>
      </c>
      <c r="E177" s="159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8.75" customHeight="1">
      <c r="A178" s="94"/>
      <c r="B178" s="246"/>
      <c r="C178" s="158"/>
      <c r="D178" s="158"/>
      <c r="E178" s="159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8.75" customHeight="1">
      <c r="A179" s="53" t="s">
        <v>130</v>
      </c>
      <c r="B179" s="247" t="s">
        <v>300</v>
      </c>
      <c r="C179" s="158"/>
      <c r="D179" s="158" t="s">
        <v>301</v>
      </c>
      <c r="E179" s="159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8.75" customHeight="1">
      <c r="A180" s="94">
        <f>B90</f>
        <v>1018.9395780108466</v>
      </c>
      <c r="B180" s="34">
        <f>IF(A105="YES",B89,0)</f>
        <v>0</v>
      </c>
      <c r="C180" s="158"/>
      <c r="D180" s="34">
        <f>B91</f>
        <v>1018.9395780108466</v>
      </c>
      <c r="E180" s="159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8.75" customHeight="1">
      <c r="A181" s="157"/>
      <c r="B181" s="158"/>
      <c r="C181" s="158"/>
      <c r="D181" s="158"/>
      <c r="E181" s="159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8.75" customHeight="1">
      <c r="A182" s="248" t="s">
        <v>80</v>
      </c>
      <c r="B182" s="249" t="s">
        <v>318</v>
      </c>
      <c r="C182" s="34"/>
      <c r="D182" s="249" t="s">
        <v>85</v>
      </c>
      <c r="E182" s="90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8.75" customHeight="1">
      <c r="A183" s="250">
        <f>(G18*0.000006)*100</f>
        <v>41.0219928</v>
      </c>
      <c r="B183" s="251">
        <f>G18*0.000002*100</f>
        <v>13.673997599999998</v>
      </c>
      <c r="C183" s="252"/>
      <c r="D183" s="251">
        <f>A183+B183</f>
        <v>54.695990399999999</v>
      </c>
      <c r="E183" s="159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8.75" customHeight="1">
      <c r="A184" s="253"/>
      <c r="B184" s="254"/>
      <c r="C184" s="158"/>
      <c r="D184" s="254"/>
      <c r="E184" s="159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8.75" customHeight="1">
      <c r="A185" s="248" t="s">
        <v>322</v>
      </c>
      <c r="B185" s="249" t="s">
        <v>66</v>
      </c>
      <c r="C185" s="34"/>
      <c r="D185" s="249" t="s">
        <v>288</v>
      </c>
      <c r="E185" s="159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8.75" customHeight="1">
      <c r="A186" s="94">
        <v>0</v>
      </c>
      <c r="B186" s="34">
        <f>E118</f>
        <v>750</v>
      </c>
      <c r="C186" s="158"/>
      <c r="D186" s="119">
        <f>B102</f>
        <v>400</v>
      </c>
      <c r="E186" s="159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8.75" customHeight="1">
      <c r="A187" s="94"/>
      <c r="B187" s="34"/>
      <c r="C187" s="158"/>
      <c r="D187" s="34"/>
      <c r="E187" s="159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8.75" customHeight="1">
      <c r="A188" s="255" t="s">
        <v>325</v>
      </c>
      <c r="B188" s="256"/>
      <c r="C188" s="257"/>
      <c r="D188" s="256"/>
      <c r="E188" s="258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8.75" customHeight="1">
      <c r="A189" s="253"/>
      <c r="B189" s="254"/>
      <c r="C189" s="158"/>
      <c r="D189" s="254"/>
      <c r="E189" s="159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8.75" customHeight="1">
      <c r="A190" s="157" t="s">
        <v>326</v>
      </c>
      <c r="B190" s="158" t="s">
        <v>327</v>
      </c>
      <c r="C190" s="158"/>
      <c r="D190" s="158" t="s">
        <v>328</v>
      </c>
      <c r="E190" s="159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8.75" customHeight="1">
      <c r="A191" s="94">
        <f>B67</f>
        <v>100</v>
      </c>
      <c r="B191" s="34">
        <f>B102</f>
        <v>400</v>
      </c>
      <c r="C191" s="34"/>
      <c r="D191" s="34">
        <f>IF(A105="YES",(A38/100*B105)*B125,0)*0.001</f>
        <v>0</v>
      </c>
      <c r="E191" s="90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8.75" customHeight="1">
      <c r="A192" s="157"/>
      <c r="B192" s="158"/>
      <c r="C192" s="158"/>
      <c r="D192" s="158"/>
      <c r="E192" s="159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8.75" customHeight="1">
      <c r="A193" s="157" t="s">
        <v>330</v>
      </c>
      <c r="B193" s="158" t="s">
        <v>324</v>
      </c>
      <c r="C193" s="158"/>
      <c r="D193" s="158" t="s">
        <v>321</v>
      </c>
      <c r="E193" s="159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8.75" customHeight="1">
      <c r="A194" s="94">
        <f>A151</f>
        <v>225</v>
      </c>
      <c r="B194" s="34">
        <f>(A148+B148+D148+A151)*(A143/B64)</f>
        <v>0</v>
      </c>
      <c r="C194" s="34"/>
      <c r="D194" s="34">
        <f>D151</f>
        <v>525</v>
      </c>
      <c r="E194" s="90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8.75" customHeight="1">
      <c r="A195" s="157"/>
      <c r="B195" s="158"/>
      <c r="C195" s="158"/>
      <c r="D195" s="158"/>
      <c r="E195" s="159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8.75" customHeight="1">
      <c r="A196" s="157" t="s">
        <v>331</v>
      </c>
      <c r="B196" s="158"/>
      <c r="C196" s="158"/>
      <c r="D196" s="158"/>
      <c r="E196" s="159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8.75" customHeight="1">
      <c r="A197" s="94">
        <f>D102</f>
        <v>200</v>
      </c>
      <c r="B197" s="34"/>
      <c r="C197" s="158"/>
      <c r="D197" s="158"/>
      <c r="E197" s="159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8.75" customHeight="1">
      <c r="A198" s="206"/>
      <c r="B198" s="207"/>
      <c r="C198" s="207"/>
      <c r="D198" s="207"/>
      <c r="E198" s="208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8.7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8.7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8.75" customHeight="1">
      <c r="A201" s="397" t="s">
        <v>224</v>
      </c>
      <c r="B201" s="397"/>
      <c r="C201" s="397"/>
      <c r="D201" s="397"/>
      <c r="E201" s="397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8.75" customHeight="1">
      <c r="A202" s="157"/>
      <c r="B202" s="158"/>
      <c r="C202" s="158"/>
      <c r="D202" s="158"/>
      <c r="E202" s="159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8.75" customHeight="1">
      <c r="A203" s="230" t="s">
        <v>225</v>
      </c>
      <c r="B203" s="260">
        <f>B209</f>
        <v>6.5000000000000002E-2</v>
      </c>
      <c r="C203" s="232" t="s">
        <v>227</v>
      </c>
      <c r="D203" s="261">
        <f>D64</f>
        <v>4785.8991599999999</v>
      </c>
      <c r="E203" s="233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8.75" customHeight="1">
      <c r="A204" s="234"/>
      <c r="B204" s="235"/>
      <c r="C204" s="236"/>
      <c r="D204" s="235"/>
      <c r="E204" s="233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8.75" customHeight="1">
      <c r="A205" s="230" t="s">
        <v>228</v>
      </c>
      <c r="B205" s="232">
        <f>B213</f>
        <v>100</v>
      </c>
      <c r="C205" s="231" t="s">
        <v>229</v>
      </c>
      <c r="D205" s="261">
        <f>B219+E215+B215+B217</f>
        <v>465</v>
      </c>
      <c r="E205" s="233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8.75" customHeight="1">
      <c r="A206" s="230"/>
      <c r="B206" s="262"/>
      <c r="C206" s="232"/>
      <c r="D206" s="231"/>
      <c r="E206" s="233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8.75" customHeight="1">
      <c r="A207" s="234" t="s">
        <v>230</v>
      </c>
      <c r="B207" s="232">
        <f>E217</f>
        <v>5150.8991599999999</v>
      </c>
      <c r="C207" s="236"/>
      <c r="D207" s="232"/>
      <c r="E207" s="233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8.75" customHeight="1">
      <c r="A208" s="157"/>
      <c r="B208" s="247"/>
      <c r="C208" s="158"/>
      <c r="D208" s="158"/>
      <c r="E208" s="159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8.75" customHeight="1">
      <c r="A209" s="169" t="s">
        <v>225</v>
      </c>
      <c r="B209" s="263">
        <v>6.5000000000000002E-2</v>
      </c>
      <c r="C209" s="171"/>
      <c r="D209" s="241"/>
      <c r="E209" s="159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8.75" customHeight="1">
      <c r="A210" s="244"/>
      <c r="B210" s="35"/>
      <c r="C210" s="158"/>
      <c r="D210" s="34"/>
      <c r="E210" s="159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8.75" customHeight="1">
      <c r="A211" s="162" t="s">
        <v>227</v>
      </c>
      <c r="B211" s="89">
        <f>D64</f>
        <v>4785.8991599999999</v>
      </c>
      <c r="C211" s="178" t="s">
        <v>233</v>
      </c>
      <c r="D211" s="158"/>
      <c r="E211" s="214">
        <f>B66</f>
        <v>0</v>
      </c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8.75" customHeight="1">
      <c r="A212" s="138"/>
      <c r="B212" s="35"/>
      <c r="C212" s="163"/>
      <c r="D212" s="179"/>
      <c r="E212" s="159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8.75" customHeight="1">
      <c r="A213" s="94" t="s">
        <v>233</v>
      </c>
      <c r="B213" s="89">
        <f>B67</f>
        <v>100</v>
      </c>
      <c r="C213" s="163" t="s">
        <v>332</v>
      </c>
      <c r="D213" s="245"/>
      <c r="E213" s="72">
        <v>1E-3</v>
      </c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8.75" customHeight="1">
      <c r="A214" s="94"/>
      <c r="B214" s="247"/>
      <c r="C214" s="163"/>
      <c r="D214" s="158"/>
      <c r="E214" s="159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8.75" customHeight="1">
      <c r="A215" s="94" t="s">
        <v>332</v>
      </c>
      <c r="B215" s="179">
        <f>B191*E213*100</f>
        <v>40</v>
      </c>
      <c r="C215" s="163" t="s">
        <v>235</v>
      </c>
      <c r="D215" s="158"/>
      <c r="E215" s="29">
        <f>A194</f>
        <v>225</v>
      </c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8.75" customHeight="1">
      <c r="A216" s="94"/>
      <c r="B216" s="35"/>
      <c r="C216" s="163"/>
      <c r="D216" s="34"/>
      <c r="E216" s="159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8.75" customHeight="1">
      <c r="A217" s="162" t="s">
        <v>333</v>
      </c>
      <c r="B217" s="179">
        <f>B78-(B78*(E213*100))</f>
        <v>200</v>
      </c>
      <c r="C217" s="163" t="s">
        <v>230</v>
      </c>
      <c r="D217" s="158"/>
      <c r="E217" s="29">
        <f>(B211-B205+D205)</f>
        <v>5150.8991599999999</v>
      </c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8.75" customHeight="1">
      <c r="A218" s="264"/>
      <c r="B218" s="249"/>
      <c r="C218" s="34"/>
      <c r="D218" s="249"/>
      <c r="E218" s="127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8.75" customHeight="1">
      <c r="A219" s="264" t="s">
        <v>334</v>
      </c>
      <c r="B219" s="249">
        <f>D191/0.1</f>
        <v>0</v>
      </c>
      <c r="C219" s="34"/>
      <c r="D219" s="249"/>
      <c r="E219" s="127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8.75" customHeight="1">
      <c r="A220" s="264"/>
      <c r="B220" s="249"/>
      <c r="C220" s="34"/>
      <c r="D220" s="249"/>
      <c r="E220" s="127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8.75" customHeight="1">
      <c r="A221" s="255" t="s">
        <v>335</v>
      </c>
      <c r="B221" s="265"/>
      <c r="C221" s="257"/>
      <c r="D221" s="256"/>
      <c r="E221" s="258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8.75" customHeight="1">
      <c r="A222" s="253"/>
      <c r="B222" s="266"/>
      <c r="C222" s="158"/>
      <c r="D222" s="254"/>
      <c r="E222" s="159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8.75" customHeight="1">
      <c r="A223" s="253" t="s">
        <v>237</v>
      </c>
      <c r="B223" s="89">
        <f>B71</f>
        <v>200</v>
      </c>
      <c r="C223" s="163" t="s">
        <v>238</v>
      </c>
      <c r="D223" s="254"/>
      <c r="E223" s="118">
        <f>B72</f>
        <v>5</v>
      </c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8.75" customHeight="1">
      <c r="A224" s="253"/>
      <c r="B224" s="266"/>
      <c r="C224" s="163" t="s">
        <v>239</v>
      </c>
      <c r="D224" s="254"/>
      <c r="E224" s="29">
        <f>D73</f>
        <v>260</v>
      </c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8.75" customHeight="1">
      <c r="A225" s="253" t="s">
        <v>240</v>
      </c>
      <c r="B225" s="267">
        <f>B68</f>
        <v>7.4999999999999997E-3</v>
      </c>
      <c r="C225" s="163" t="s">
        <v>241</v>
      </c>
      <c r="D225" s="254"/>
      <c r="E225" s="214">
        <f>B69</f>
        <v>0.12</v>
      </c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8.75" customHeight="1">
      <c r="A226" s="253"/>
      <c r="B226" s="266"/>
      <c r="C226" s="163" t="s">
        <v>242</v>
      </c>
      <c r="D226" s="254"/>
      <c r="E226" s="29">
        <f>B86</f>
        <v>102.70910946349335</v>
      </c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8.75" customHeight="1">
      <c r="A227" s="253" t="s">
        <v>243</v>
      </c>
      <c r="B227" s="89">
        <f>B79</f>
        <v>200</v>
      </c>
      <c r="C227" s="268" t="s">
        <v>336</v>
      </c>
      <c r="D227" s="269"/>
      <c r="E227" s="118">
        <f>B74</f>
        <v>0</v>
      </c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8.75" customHeight="1">
      <c r="A228" s="162"/>
      <c r="B228" s="247"/>
      <c r="C228" s="268"/>
      <c r="D228" s="270"/>
      <c r="E228" s="271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8.75" customHeight="1">
      <c r="A229" s="94" t="s">
        <v>244</v>
      </c>
      <c r="B229" s="89">
        <f>B80</f>
        <v>200</v>
      </c>
      <c r="C229" s="272" t="s">
        <v>337</v>
      </c>
      <c r="D229" s="272"/>
      <c r="E229" s="118">
        <f>B75</f>
        <v>0</v>
      </c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8.75" customHeight="1">
      <c r="A230" s="157"/>
      <c r="B230" s="158"/>
      <c r="C230" s="158"/>
      <c r="D230" s="158"/>
      <c r="E230" s="159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8.75" customHeight="1">
      <c r="A231" s="157"/>
      <c r="B231" s="158"/>
      <c r="C231" s="158"/>
      <c r="D231" s="158"/>
      <c r="E231" s="159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8.75" customHeight="1">
      <c r="A232" s="94"/>
      <c r="B232" s="34"/>
      <c r="C232" s="34"/>
      <c r="D232" s="34"/>
      <c r="E232" s="90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8.75" customHeight="1">
      <c r="A233" s="157"/>
      <c r="B233" s="158"/>
      <c r="C233" s="158"/>
      <c r="D233" s="158"/>
      <c r="E233" s="159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8.75" customHeight="1">
      <c r="A234" s="157"/>
      <c r="B234" s="158"/>
      <c r="C234" s="158"/>
      <c r="D234" s="158"/>
      <c r="E234" s="159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8.75" customHeight="1">
      <c r="A235" s="94"/>
      <c r="B235" s="34"/>
      <c r="C235" s="158"/>
      <c r="D235" s="158"/>
      <c r="E235" s="159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8.75" customHeight="1">
      <c r="A236" s="206"/>
      <c r="B236" s="207"/>
      <c r="C236" s="207"/>
      <c r="D236" s="207"/>
      <c r="E236" s="208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8.7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8.7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8.7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8.7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8.7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8.7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8.7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8.7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8.7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8.7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8.7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8.7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8.7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8.7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8.7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8.7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8.7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8.7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8.7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8.7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8.7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8.7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8.7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8.7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8.7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8.7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8.7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8.7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8.7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8.7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8.7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8.7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8.7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8.7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8.7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8.7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8.7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8.7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8.7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8.7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8.7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8.7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8.7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8.7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8.7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8.7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8.7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8.7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8.7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8.7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8.7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8.7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8.7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8.7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8.7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8.7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8.7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8.7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8.7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8.7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8.7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8.7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8.7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8.7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8.7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8.7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8.7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8.7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8.7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8.7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8.7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8.7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8.7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8.7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8.7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8.7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8.7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8.7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8.7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8.7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8.7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8.7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8.7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8.7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8.7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8.7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8.7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8.7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8.7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8.7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8.7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8.7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8.7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8.7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8.7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8.7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8.7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8.7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8.7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8.7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8.7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8.7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8.7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8.7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8.7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8.7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8.7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8.7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8.7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8.7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8.7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8.7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8.7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8.7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8.7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8.7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5">
    <mergeCell ref="A165:E165"/>
    <mergeCell ref="A201:E201"/>
    <mergeCell ref="H152:I152"/>
    <mergeCell ref="A159:A160"/>
    <mergeCell ref="B159:C159"/>
    <mergeCell ref="B160:C160"/>
    <mergeCell ref="B161:C161"/>
    <mergeCell ref="A122:E122"/>
    <mergeCell ref="G122:K122"/>
    <mergeCell ref="H124:I124"/>
    <mergeCell ref="G150:G151"/>
    <mergeCell ref="H150:I150"/>
    <mergeCell ref="H151:I151"/>
    <mergeCell ref="B105:C105"/>
    <mergeCell ref="D105:E105"/>
    <mergeCell ref="H105:I105"/>
    <mergeCell ref="J105:K105"/>
    <mergeCell ref="A108:E108"/>
    <mergeCell ref="G108:K108"/>
    <mergeCell ref="B99:C99"/>
    <mergeCell ref="D99:E99"/>
    <mergeCell ref="H99:I99"/>
    <mergeCell ref="J99:K99"/>
    <mergeCell ref="B102:C102"/>
    <mergeCell ref="D102:E102"/>
    <mergeCell ref="H102:I102"/>
    <mergeCell ref="J102:K102"/>
    <mergeCell ref="B52:C52"/>
    <mergeCell ref="A94:E94"/>
    <mergeCell ref="G94:K94"/>
    <mergeCell ref="A96:E96"/>
    <mergeCell ref="G96:K96"/>
    <mergeCell ref="G42:H42"/>
    <mergeCell ref="B44:C44"/>
    <mergeCell ref="D44:E44"/>
    <mergeCell ref="A50:A51"/>
    <mergeCell ref="B50:C50"/>
    <mergeCell ref="B51:C51"/>
    <mergeCell ref="B35:C35"/>
    <mergeCell ref="D35:E35"/>
    <mergeCell ref="B38:C38"/>
    <mergeCell ref="D38:E38"/>
    <mergeCell ref="B41:C41"/>
    <mergeCell ref="D41:E41"/>
    <mergeCell ref="A26:E26"/>
    <mergeCell ref="B29:C29"/>
    <mergeCell ref="D29:E29"/>
    <mergeCell ref="B30:C30"/>
    <mergeCell ref="B32:C32"/>
    <mergeCell ref="D32:E32"/>
    <mergeCell ref="B18:D18"/>
    <mergeCell ref="B19:D19"/>
    <mergeCell ref="B20:D20"/>
    <mergeCell ref="A21:D21"/>
    <mergeCell ref="A24:E24"/>
    <mergeCell ref="A13:D13"/>
    <mergeCell ref="A14:D14"/>
    <mergeCell ref="A15:D15"/>
    <mergeCell ref="A16:D16"/>
    <mergeCell ref="A17:D17"/>
    <mergeCell ref="A1:E1"/>
    <mergeCell ref="A9:D9"/>
    <mergeCell ref="A10:D10"/>
    <mergeCell ref="A11:D11"/>
    <mergeCell ref="A12:D12"/>
  </mergeCells>
  <dataValidations count="3">
    <dataValidation type="list" allowBlank="1" showErrorMessage="1" sqref="A18:A20 H99 N99:O99 G105 M105 O107 H110 N110" xr:uid="{00000000-0002-0000-4700-000000000000}">
      <formula1>#REF!</formula1>
      <formula2>0</formula2>
    </dataValidation>
    <dataValidation type="list" allowBlank="1" showErrorMessage="1" sqref="B38 A105 B110" xr:uid="{00000000-0002-0000-4700-000001000000}">
      <formula1>"NO,YES"</formula1>
      <formula2>0</formula2>
    </dataValidation>
    <dataValidation type="list" allowBlank="1" showErrorMessage="1" sqref="A32 B99" xr:uid="{00000000-0002-0000-4700-000002000000}">
      <formula1>$Z$101:$Z$109</formula1>
      <formula2>0</formula2>
    </dataValidation>
  </dataValidation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Doc Fee and Commission from Con</vt:lpstr>
      <vt:lpstr>Default Broker Margin Values</vt:lpstr>
      <vt:lpstr>CP(F2)-PCP_Used_LCV</vt:lpstr>
      <vt:lpstr>CP(F2)-CP_Used_LCV</vt:lpstr>
      <vt:lpstr>HPNR(F3)-PCP_Used_LCV</vt:lpstr>
      <vt:lpstr>HPNR(F3)-CP_Used_LCV</vt:lpstr>
      <vt:lpstr>HPNR(F3)-HPR_Used_LCV</vt:lpstr>
      <vt:lpstr>HPNR(F3)-HPNR_Used_LCV</vt:lpstr>
      <vt:lpstr>BCH-F3-PCH_Used_LCV</vt:lpstr>
      <vt:lpstr>BCH-F3-BCH_Used_LCV</vt:lpstr>
      <vt:lpstr>CP(F3)-PCH_Used_LCV</vt:lpstr>
      <vt:lpstr>CP(F3)-BCH_Used_LCV</vt:lpstr>
      <vt:lpstr>FL(F3)-FL_Used_LCV</vt:lpstr>
      <vt:lpstr>FL(F3)-PCH_Used_LCV</vt:lpstr>
      <vt:lpstr>FL(F3)-BCH_Used_LCV</vt:lpstr>
      <vt:lpstr>HPNR (F3)-FL_Used_LCV</vt:lpstr>
      <vt:lpstr>HPNR (F3)-PCH_Used_LCV</vt:lpstr>
      <vt:lpstr>HPNR (F3)-BCH_Used_LCV</vt:lpstr>
      <vt:lpstr>PCP_used_LCV</vt:lpstr>
      <vt:lpstr>CP_used_LCV</vt:lpstr>
      <vt:lpstr>HPR_used_LCV</vt:lpstr>
      <vt:lpstr>HPNR_used_LCV</vt:lpstr>
      <vt:lpstr>Formula1-FL_Used_LCV</vt:lpstr>
      <vt:lpstr>Formula1-PCH_Used_LCV</vt:lpstr>
      <vt:lpstr>Formula1-BCH_Used_LCV</vt:lpstr>
      <vt:lpstr>CP(F2)-PCP_Used_car</vt:lpstr>
      <vt:lpstr>CP(F2)-CP_Used_car</vt:lpstr>
      <vt:lpstr>HPNR(F3)-PCP_Used_car</vt:lpstr>
      <vt:lpstr>HPNR(F3)-CP_Used_car</vt:lpstr>
      <vt:lpstr>HPNR(F3)-HPR_Used_car</vt:lpstr>
      <vt:lpstr>HPNR(F3)-HPNR_Used_car</vt:lpstr>
      <vt:lpstr>CP(F3)-PCH_Used_car</vt:lpstr>
      <vt:lpstr>CP(F3)-BCH_Used_car</vt:lpstr>
      <vt:lpstr>FL(F3)-FL_Used_car</vt:lpstr>
      <vt:lpstr>FL(F3)-PCH_Used_car</vt:lpstr>
      <vt:lpstr>FL(F3)-BCH_Used_car</vt:lpstr>
      <vt:lpstr>HPNR (F3)-FL_Used_car</vt:lpstr>
      <vt:lpstr>HPNR (F3)-PCH_Used_car</vt:lpstr>
      <vt:lpstr>HPNR (F3)-BCH_Used_car</vt:lpstr>
      <vt:lpstr>PCP_used_car</vt:lpstr>
      <vt:lpstr>CP_used_car</vt:lpstr>
      <vt:lpstr>HPR_used_car</vt:lpstr>
      <vt:lpstr>HPNR_used_car</vt:lpstr>
      <vt:lpstr>BCH-F3-PCH_Used_car</vt:lpstr>
      <vt:lpstr>BCH-F3-BCH_Used_car</vt:lpstr>
      <vt:lpstr>Formula1-FL_Used_car</vt:lpstr>
      <vt:lpstr>Formula1-PCH_Used_car</vt:lpstr>
      <vt:lpstr>CP (Formula 3) - PCH</vt:lpstr>
      <vt:lpstr>CP (Formula 3) - BCH</vt:lpstr>
      <vt:lpstr>CP (Formula 2) - CP</vt:lpstr>
      <vt:lpstr>CP (Formula 2) - PCP</vt:lpstr>
      <vt:lpstr>Formula1-BCH_Used_car</vt:lpstr>
      <vt:lpstr>HPNR (Formula 3) - PCP</vt:lpstr>
      <vt:lpstr>HPNR (Formula 3) - CP</vt:lpstr>
      <vt:lpstr>HPNR (Formula 3) - HPR</vt:lpstr>
      <vt:lpstr>HPNR (Formula 3) - FL</vt:lpstr>
      <vt:lpstr>HPNR (Formula 3) - PCH</vt:lpstr>
      <vt:lpstr>HPNR (Formula 3) - BCH</vt:lpstr>
      <vt:lpstr>FL (Formula 3) - FL</vt:lpstr>
      <vt:lpstr>FL (Formula 3) - PCH</vt:lpstr>
      <vt:lpstr>FL (Formula 3) - BCH</vt:lpstr>
      <vt:lpstr>HPNR (Formula 3) - HPNR</vt:lpstr>
      <vt:lpstr>HirePurchaseNonRegulated</vt:lpstr>
      <vt:lpstr>HirePurchaseRegulated</vt:lpstr>
      <vt:lpstr>PersonalContractPurchase</vt:lpstr>
      <vt:lpstr>ContractPurchase</vt:lpstr>
      <vt:lpstr>Formula1-FL</vt:lpstr>
      <vt:lpstr>Formula1-PCH</vt:lpstr>
      <vt:lpstr>Formula1-BCH</vt:lpstr>
      <vt:lpstr>FL (Formula 3) - BCH, PCH, FL</vt:lpstr>
      <vt:lpstr>BCH (Formula 3) - PCH</vt:lpstr>
      <vt:lpstr>BCH (Formula 3) - BCH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2020-12-02T11:02:00Z</dcterms:created>
  <dc:creator>Kushal Panchal</dc:creator>
  <dc:language>en-US</dc:language>
  <cp:lastModifiedBy>Nitein A. Kurane</cp:lastModifiedBy>
  <dcterms:modified xsi:type="dcterms:W3CDTF">2025-04-29T09:16:31Z</dcterms:modified>
  <cp:revision>1008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  <property fmtid="{D5CDD505-2E9C-101B-9397-08002B2CF9AE}" pid="3" name="HyperlinksChanged">
    <vt:bool>false</vt:bool>
  </property>
  <property fmtid="{D5CDD505-2E9C-101B-9397-08002B2CF9AE}" pid="4" name="ICV">
    <vt:lpwstr>CE3AEC47E53A4CF5B6673284C36DFA3F_12</vt:lpwstr>
  </property>
  <property fmtid="{D5CDD505-2E9C-101B-9397-08002B2CF9AE}" pid="5" name="KSOProductBuildVer">
    <vt:lpwstr>1033-12.2.0.13489</vt:lpwstr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