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<sst xmlns="http://schemas.openxmlformats.org/spreadsheetml/2006/main" count="32419" uniqueCount="405">
  <si>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</si>
  <si>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</si>
  <si>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</si>
  <si>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</si>
  <si>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</si>
  <si>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</si>
  <si>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</si>
  <si>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</si>
  <si>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</si>
  <si>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</si>
  <si>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</si>
  <si>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</si>
  <si>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</si>
  <si>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</si>
  <si>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</si>
  <si>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</si>
  <si>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</si>
  <si>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</si>
  <si>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</si>
  <si>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</si>
  <si>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</si>
  <si>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</si>
  <si>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</si>
  <si>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</si>
  <si>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</si>
  <si>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</si>
  <si>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</si>
  <si>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</si>
  <si>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</si>
  <si>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</si>
  <si>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</si>
  <si>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</si>
  <si>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</si>
  <si>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</si>
  <si>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</si>
  <si>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</si>
  <si>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</si>
  <si>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</si>
  <si>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</si>
  <si>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</si>
  <si>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</si>
  <si>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</si>
  <si>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</si>
  <si>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</si>
  <si>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</si>
  <si>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</si>
  <si>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</si>
  <si>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</si>
  <si>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</si>
  <si>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</si>
  <si>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</si>
  <si>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</si>
  <si>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</si>
  <si>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</si>
  <si>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</si>
  <si>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</si>
  <si>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</si>
  <si>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</si>
  <si>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</si>
  <si>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</si>
  <si>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</si>
  <si>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</si>
  <si>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</si>
  <si>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</si>
  <si>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</si>
  <si>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</si>
  <si>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</si>
  <si>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</si>
  <si>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</si>
  <si>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</si>
  <si>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</si>
  <si>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</si>
  <si>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</si>
  <si>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</si>
  <si>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</si>
  <si>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</si>
  <si>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</si>
  <si>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</si>
  <si>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</si>
  <si>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</si>
  <si>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</si>
  <si>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</si>
  <si>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</si>
  <si>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</si>
  <si>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</si>
  <si>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</si>
  <si>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</si>
  <si>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</si>
  <si>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</si>
  <si>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</si>
  <si>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</si>
  <si>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</si>
  <si>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</si>
  <si>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</si>
  <si>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</si>
  <si>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</si>
  <si>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</si>
  <si>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</si>
  <si>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</si>
  <si>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</si>
  <si>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</si>
  <si>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</si>
  <si>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</si>
  <si>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</si>
  <si>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</si>
  <si>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</si>
  <si>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</si>
  <si>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</si>
  <si>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</si>
  <si>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</si>
  <si>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</si>
  <si>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</si>
  <si>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</si>
  <si>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</si>
  <si>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</si>
  <si>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</si>
  <si>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</si>
  <si>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</si>
  <si>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</si>
  <si>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</si>
  <si>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</si>
  <si>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</si>
  <si>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</si>
  <si>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</si>
  <si>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</si>
  <si>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</si>
  <si>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</si>
  <si>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</si>
  <si>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</si>
  <si>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</si>
  <si>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</si>
  <si>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</si>
  <si>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</si>
  <si>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</si>
  <si>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</si>
  <si>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</si>
  <si>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</si>
  <si>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</si>
  <si>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</si>
  <si>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</si>
  <si>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</si>
  <si>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</si>
  <si>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</si>
  <si>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</si>
  <si>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</si>
  <si>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</si>
  <si>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</si>
  <si>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</si>
  <si>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</si>
  <si>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</si>
  <si>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</si>
  <si>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</si>
  <si>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</si>
  <si>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</si>
  <si>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</si>
  <si>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</si>
  <si>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</si>
  <si>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</si>
  <si>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</si>
  <si>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</si>
  <si>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</si>
  <si>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</si>
  <si>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</si>
  <si>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</si>
  <si>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</si>
  <si>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</si>
  <si>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</si>
  <si>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</si>
  <si>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</si>
  <si>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</si>
  <si>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</si>
  <si>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</si>
  <si>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</si>
  <si>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</si>
  <si>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</si>
  <si>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</si>
  <si>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</si>
  <si>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</si>
  <si>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</si>
  <si>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</si>
  <si>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</si>
  <si>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</si>
  <si>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</si>
  <si>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</si>
  <si>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</si>
  <si>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</si>
  <si>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</si>
  <si>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</si>
  <si>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</si>
  <si>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</si>
  <si>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</si>
  <si>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</si>
  <si>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</si>
  <si>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</si>
  <si>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</si>
  <si>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</si>
  <si>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</si>
  <si>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</si>
  <si>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</si>
  <si>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</si>
  <si>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</si>
  <si>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</si>
  <si>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</si>
  <si>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</si>
  <si>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</si>
  <si>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</si>
  <si>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</si>
  <si>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</si>
  <si>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</si>
  <si>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</si>
  <si>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</si>
  <si>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</si>
  <si>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</si>
  <si>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</si>
  <si>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</si>
  <si>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</si>
  <si>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</si>
  <si>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</si>
  <si>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</si>
  <si>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</si>
  <si>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</si>
  <si>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</si>
  <si>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</si>
  <si>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</si>
  <si>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</si>
  <si>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</si>
  <si>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</si>
  <si>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</si>
  <si>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</si>
  <si>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</si>
  <si>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</si>
  <si>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</si>
  <si>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</si>
  <si>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</si>
  <si>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</si>
  <si>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</si>
  <si>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</si>
  <si>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</si>
  <si>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</si>
  <si>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</si>
  <si>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</si>
  <si>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</si>
  <si>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</si>
  <si>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</si>
  <si>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</si>
  <si>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</si>
  <si>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</si>
  <si>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</si>
  <si>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</si>
  <si>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</si>
  <si>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</si>
  <si>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</si>
  <si>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</si>
  <si>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</si>
  <si>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</si>
  <si>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</si>
  <si>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</si>
  <si>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</si>
  <si>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</si>
  <si>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</si>
  <si>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</si>
  <si>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</si>
  <si>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</si>
  <si>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</si>
  <si>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</si>
  <si>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</si>
  <si>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</si>
  <si>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</si>
  <si>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</si>
  <si>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</si>
  <si>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</si>
  <si>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</si>
  <si>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</si>
  <si>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</si>
  <si>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</si>
  <si>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</si>
  <si>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</si>
  <si>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</si>
  <si>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</si>
  <si>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</si>
  <si>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</si>
  <si>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</si>
  <si>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</si>
  <si>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</si>
  <si>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</si>
  <si>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</si>
  <si>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</si>
  <si>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</si>
  <si>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</si>
  <si>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</si>
  <si>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</si>
  <si>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</si>
  <si>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</si>
  <si>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</si>
  <si>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</si>
  <si>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</si>
  <si>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</si>
  <si>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</si>
  <si>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</si>
  <si>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</si>
  <si>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</si>
  <si>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</si>
  <si>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</si>
  <si>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</si>
  <si>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</si>
  <si>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</si>
  <si>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</si>
  <si>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</si>
  <si>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</si>
  <si>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</si>
  <si>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</si>
  <si>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</si>
  <si>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</si>
  <si>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</si>
  <si>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</si>
  <si>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</si>
  <si>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</si>
  <si>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</si>
  <si>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</si>
  <si>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</si>
  <si>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</si>
  <si>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</si>
  <si>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</si>
  <si>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</si>
  <si>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</si>
  <si>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</si>
  <si>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</si>
  <si>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</si>
  <si>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</si>
  <si>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</si>
  <si>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</si>
  <si>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</si>
  <si>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</si>
  <si>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</si>
  <si>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</si>
  <si>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</si>
  <si>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</si>
  <si>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</si>
  <si>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</si>
  <si>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</si>
  <si>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</si>
  <si>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</si>
  <si>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</si>
  <si>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</si>
  <si>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</si>
  <si>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</si>
  <si>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</si>
  <si>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</si>
  <si>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</si>
  <si>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</si>
  <si>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</si>
  <si>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</si>
  <si>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</si>
  <si>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</si>
  <si>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</si>
  <si>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</si>
  <si>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</si>
  <si>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</si>
  <si>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</si>
  <si>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</si>
  <si>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</si>
  <si>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</si>
  <si>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</si>
  <si>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</si>
  <si>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</si>
  <si>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</si>
  <si>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</si>
  <si>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</si>
  <si>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</si>
  <si>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</si>
  <si>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</si>
  <si>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</si>
  <si>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</si>
  <si>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</si>
  <si>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</si>
  <si>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</si>
  <si>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</si>
  <si>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</si>
  <si>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</si>
  <si>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</si>
  <si>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</si>
  <si>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</si>
  <si>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</si>
  <si>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</si>
  <si>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</si>
  <si>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</si>
  <si>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RFL included?</t>
  </si>
  <si>
    <t>NO</t>
  </si>
  <si>
    <t>50</t>
  </si>
  <si>
    <t>199.99</t>
  </si>
  <si>
    <t>Limited Credit</t>
  </si>
  <si>
    <t>YES</t>
  </si>
  <si>
    <t>A1 Credit</t>
  </si>
  <si>
    <t>48887.50</t>
  </si>
  <si>
    <t>1000</t>
  </si>
  <si>
    <t>33</t>
  </si>
  <si>
    <t>5000</t>
  </si>
  <si>
    <t>500</t>
  </si>
  <si>
    <t>12</t>
  </si>
  <si>
    <t>6000</t>
  </si>
  <si>
    <t>10</t>
  </si>
  <si>
    <t>1</t>
  </si>
  <si>
    <t>0</t>
  </si>
  <si>
    <t>60</t>
  </si>
  <si>
    <t>70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</si>
</sst>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Spread rentals initial payment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Spread rentals initial payment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636.693998057649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636.693998057649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-22878.2120932254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19083.33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636.693998057649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636.693998057649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636.693998057649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2371.1037525</v>
      </c>
      <c r="C64" s="465" t="n">
        <v>10000</v>
      </c>
      <c r="D64" s="291" t="n">
        <f aca="false">B64</f>
        <v>2371.1037525</v>
      </c>
      <c r="E64" s="466" t="n">
        <f aca="false">D64/(B58+B57)</f>
        <v>67.7458215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224.2291275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3755.27041916667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107.293440547619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636.693998057649</v>
      </c>
      <c r="C83" s="473"/>
      <c r="D83" s="215"/>
      <c r="E83" s="466" t="n">
        <f aca="false">B83+E80+E77+E64</f>
        <v>737.638232256062</v>
      </c>
      <c r="F83" s="63"/>
      <c r="G83" s="305" t="s">
        <v>104</v>
      </c>
      <c r="H83" s="306" t="n">
        <f aca="false">H47</f>
        <v>636.693998057649</v>
      </c>
      <c r="I83" s="215"/>
      <c r="J83" s="215"/>
      <c r="K83" s="216"/>
      <c r="L83" s="63"/>
      <c r="M83" s="305" t="s">
        <v>104</v>
      </c>
      <c r="N83" s="306" t="n">
        <f aca="false">H47</f>
        <v>636.693998057649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26039.5603511844</v>
      </c>
      <c r="C85" s="473"/>
      <c r="D85" s="473"/>
      <c r="E85" s="466" t="n">
        <f aca="false">B85/(B58+B57)</f>
        <v>743.987438605268</v>
      </c>
      <c r="F85" s="63"/>
      <c r="G85" s="288" t="s">
        <v>114</v>
      </c>
      <c r="H85" s="131" t="n">
        <f aca="false">((H83*H29)+H81)*1.2</f>
        <v>27998.1479184213</v>
      </c>
      <c r="I85" s="215"/>
      <c r="J85" s="215"/>
      <c r="K85" s="216"/>
      <c r="L85" s="63"/>
      <c r="M85" s="288" t="s">
        <v>114</v>
      </c>
      <c r="N85" s="131" t="n">
        <f aca="false">((N83*H29)+N81)</f>
        <v>23001.7899320177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220.585222821651</v>
      </c>
      <c r="C86" s="473" t="s">
        <v>230</v>
      </c>
      <c r="D86" s="215"/>
      <c r="E86" s="466" t="n">
        <f aca="false">B86/(B58+B57)</f>
        <v>6.30243493776145</v>
      </c>
      <c r="F86" s="63"/>
      <c r="G86" s="214" t="s">
        <v>115</v>
      </c>
      <c r="H86" s="300" t="n">
        <f aca="false">((((H83*H29)+H81))/(1-H70))*H70</f>
        <v>197.647272518101</v>
      </c>
      <c r="I86" s="215"/>
      <c r="J86" s="215"/>
      <c r="K86" s="216"/>
      <c r="L86" s="63"/>
      <c r="M86" s="214" t="s">
        <v>115</v>
      </c>
      <c r="N86" s="300" t="n">
        <f aca="false">(N85/(1-N70))*N70</f>
        <v>194.851790468888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26260.145574006</v>
      </c>
      <c r="C87" s="473"/>
      <c r="D87" s="475"/>
      <c r="E87" s="466" t="n">
        <f aca="false">E86+E85</f>
        <v>750.28987354303</v>
      </c>
      <c r="F87" s="63"/>
      <c r="G87" s="285" t="s">
        <v>116</v>
      </c>
      <c r="H87" s="133" t="n">
        <f aca="false">IF(H110="YES",((H85+H86)-K114),(H85+H86))</f>
        <v>28195.7951909394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23196.6417224866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750.28987354303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704.894879773484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579.916043062165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750.28987354303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704.894879773484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579.916043062165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704.894879773484</v>
      </c>
      <c r="H127" s="177" t="n">
        <f aca="false">IF(G105="YES", H89*H57, 0)</f>
        <v>0</v>
      </c>
      <c r="I127" s="177"/>
      <c r="J127" s="334" t="n">
        <f aca="false">H91</f>
        <v>704.894879773484</v>
      </c>
      <c r="K127" s="216"/>
      <c r="L127" s="63"/>
      <c r="M127" s="333" t="n">
        <f aca="false">N90</f>
        <v>579.916043062165</v>
      </c>
      <c r="N127" s="177" t="n">
        <f aca="false">IF(M105="YES", N89*N57, 0)</f>
        <v>0</v>
      </c>
      <c r="O127" s="177"/>
      <c r="P127" s="177" t="n">
        <f aca="false">N91</f>
        <v>579.916043062165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750.28987354303</v>
      </c>
      <c r="B128" s="321" t="n">
        <f aca="false">IF(A105="YES", B89, 0)</f>
        <v>0</v>
      </c>
      <c r="C128" s="325"/>
      <c r="D128" s="321" t="n">
        <f aca="false">B91</f>
        <v>750.28987354303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750.28987354303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4229.36927864091</v>
      </c>
      <c r="H133" s="103" t="n">
        <f aca="false">IF(G105="YES", H89*H57, 0)</f>
        <v>0</v>
      </c>
      <c r="I133" s="221"/>
      <c r="J133" s="184" t="n">
        <f aca="false">H91*H57</f>
        <v>4229.36927864091</v>
      </c>
      <c r="K133" s="216"/>
      <c r="L133" s="63"/>
      <c r="M133" s="185" t="n">
        <f aca="false">N90*N57</f>
        <v>3479.49625837299</v>
      </c>
      <c r="N133" s="103" t="n">
        <f aca="false">IF(M105="YES", N89*N57, 0)</f>
        <v>0</v>
      </c>
      <c r="O133" s="221"/>
      <c r="P133" s="184" t="n">
        <f aca="false">N91*N57</f>
        <v>3479.49625837299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750.28987354303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750.28987354303</v>
      </c>
      <c r="B137" s="38" t="n">
        <f aca="false">IF(A105="YES", B89, 0)</f>
        <v>0</v>
      </c>
      <c r="C137" s="317"/>
      <c r="D137" s="38" t="n">
        <f aca="false">B91</f>
        <v>750.28987354303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224.2291275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724.2191275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704.894879773484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579.916043062165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750.28987354303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750.28987354303</v>
      </c>
      <c r="B177" s="355" t="n">
        <f aca="false">IF(A105="YES", B89, 0)</f>
        <v>0</v>
      </c>
      <c r="C177" s="357"/>
      <c r="D177" s="355" t="n">
        <f aca="false">B91</f>
        <v>750.28987354303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750.28987354303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750.28987354303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750.28987354303</v>
      </c>
      <c r="B186" s="103" t="n">
        <f aca="false">IF(A105="YES", B89, 0)</f>
        <v>0</v>
      </c>
      <c r="C186" s="353"/>
      <c r="D186" s="103" t="n">
        <f aca="false">B91</f>
        <v>750.28987354303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224.2291275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724.2191275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2371.1037525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224.2291275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2486.864625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2371.1037525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224.2291275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2486.864625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220.585222821651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24000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1487.27564882685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64250.3080293198</v>
      </c>
      <c r="C85" s="473"/>
      <c r="D85" s="473"/>
      <c r="E85" s="466" t="n">
        <f aca="false">B85/(B58+B57)</f>
        <v>1784.73077859222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12.5989466015989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64703.8701069773</v>
      </c>
      <c r="C87" s="473"/>
      <c r="D87" s="475"/>
      <c r="E87" s="466" t="n">
        <f aca="false">E86+E85</f>
        <v>1797.32972519382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1797.32972519382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1797.32972519382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1797.32972519382</v>
      </c>
      <c r="B128" s="321" t="n">
        <f aca="false">IF(A105="YES", B89, 0)</f>
        <v>0</v>
      </c>
      <c r="C128" s="325"/>
      <c r="D128" s="321" t="n">
        <f aca="false">B91</f>
        <v>1797.32972519382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1797.32972519382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1797.32972519382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1797.32972519382</v>
      </c>
      <c r="B137" s="38" t="n">
        <f aca="false">IF(A105="YES", B89, 0)</f>
        <v>0</v>
      </c>
      <c r="C137" s="317"/>
      <c r="D137" s="38" t="n">
        <f aca="false">B91</f>
        <v>1797.32972519382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699.991666666667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1797.32972519382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1797.32972519382</v>
      </c>
      <c r="B177" s="355" t="n">
        <f aca="false">IF(A105="YES", B89, 0)</f>
        <v>0</v>
      </c>
      <c r="C177" s="357"/>
      <c r="D177" s="355" t="n">
        <f aca="false">B91</f>
        <v>1797.32972519382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1797.32972519382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1797.32972519382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1797.32972519382</v>
      </c>
      <c r="B186" s="103" t="n">
        <f aca="false">IF(A105="YES", B89, 0)</f>
        <v>0</v>
      </c>
      <c r="C186" s="353"/>
      <c r="D186" s="103" t="n">
        <f aca="false">B91</f>
        <v>1797.32972519382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699.991666666667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24000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153.658536585366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1460.41956255765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53541.9233577665</v>
      </c>
      <c r="C85" s="473"/>
      <c r="D85" s="473"/>
      <c r="E85" s="466" t="n">
        <f aca="false">B85/(B58+B57)</f>
        <v>1305.90056970162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11.0624896989649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53995.485435424</v>
      </c>
      <c r="C87" s="473"/>
      <c r="D87" s="475"/>
      <c r="E87" s="466" t="n">
        <f aca="false">E86+E85</f>
        <v>1316.96305940059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1316.96305940059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1316.96305940059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1316.96305940059</v>
      </c>
      <c r="B128" s="321" t="n">
        <f aca="false">IF(A105="YES", B89, 0)</f>
        <v>0</v>
      </c>
      <c r="C128" s="325"/>
      <c r="D128" s="321" t="n">
        <f aca="false">B91</f>
        <v>1316.96305940059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Spread rentals with 6 down</v>
      </c>
      <c r="B131" s="38" t="n">
        <f aca="false">B90*B57</f>
        <v>7901.77835640352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7901.77835640352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1316.96305940059</v>
      </c>
      <c r="B137" s="38" t="n">
        <f aca="false">IF(A105="YES", B89, 0)</f>
        <v>0</v>
      </c>
      <c r="C137" s="317"/>
      <c r="D137" s="38" t="n">
        <f aca="false">B91</f>
        <v>1316.96305940059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1316.96305940059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1316.96305940059</v>
      </c>
      <c r="B177" s="355" t="n">
        <f aca="false">IF(A105="YES", B89, 0)</f>
        <v>0</v>
      </c>
      <c r="C177" s="357"/>
      <c r="D177" s="355" t="n">
        <f aca="false">B91</f>
        <v>1316.96305940059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Spread rentals with 6 down</v>
      </c>
      <c r="B180" s="103" t="n">
        <f aca="false">B90*B57</f>
        <v>7901.77835640352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7901.77835640352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1316.96305940059</v>
      </c>
      <c r="B186" s="103" t="n">
        <f aca="false">IF(A105="YES", B89, 0)</f>
        <v>0</v>
      </c>
      <c r="C186" s="353"/>
      <c r="D186" s="103" t="n">
        <f aca="false">B91</f>
        <v>1316.96305940059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1418.05186334809</v>
      </c>
      <c r="B167" s="177" t="n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n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n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239.99</v>
      </c>
      <c r="C182" s="103"/>
      <c r="D182" s="23"/>
      <c r="E182" s="103" t="n">
        <f aca="false">E179+A182+B182+A185</f>
        <v>21848.560496829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239.99</v>
      </c>
      <c r="C224" s="103"/>
      <c r="D224" s="113"/>
      <c r="E224" s="103" t="n">
        <f aca="false">E182</f>
        <v>21848.560496829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767.302183495673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767.302183495673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284.027833333333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286.6945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286.6945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286.6945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779.319183514858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78</v>
      </c>
      <c r="C134" s="325"/>
      <c r="D134" s="321" t="n">
        <f aca="false">B97</f>
        <v>779.319183514858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701.319183514858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779.319183514858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78</v>
      </c>
      <c r="C143" s="317"/>
      <c r="D143" s="38" t="n">
        <f aca="false">B97</f>
        <v>779.319183514858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78</v>
      </c>
      <c r="C177" s="357"/>
      <c r="D177" s="355" t="n">
        <f aca="false">A177+B177</f>
        <v>779.319183514858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701.319183514858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779.319183514858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78</v>
      </c>
      <c r="C186" s="353"/>
      <c r="D186" s="103" t="n">
        <f aca="false">B97</f>
        <v>779.319183514858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2886.77170666667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2886.77170666667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934.341196422482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0</v>
      </c>
      <c r="C134" s="326"/>
      <c r="D134" s="321" t="n">
        <f aca="false">B97</f>
        <v>934.341196422482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934.341196422482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934.341196422482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0</v>
      </c>
      <c r="C143" s="317"/>
      <c r="D143" s="38" t="n">
        <f aca="false">B97</f>
        <v>934.341196422482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934.341196422482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0</v>
      </c>
      <c r="C177" s="358"/>
      <c r="D177" s="355" t="n">
        <f aca="false">B97</f>
        <v>934.341196422482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934.341196422482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934.341196422482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0</v>
      </c>
      <c r="C186" s="353"/>
      <c r="D186" s="103" t="n">
        <f aca="false">B97</f>
        <v>934.341196422482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355.900858636257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335.900858636257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35341.1310547777</v>
      </c>
      <c r="N39" s="1" t="n">
        <f aca="false">K39-L39</f>
        <v>-14382.8010547777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106</v>
      </c>
      <c r="K40" s="2" t="n">
        <f aca="false">(A40)/1.2</f>
        <v>12500</v>
      </c>
      <c r="L40" s="2" t="n">
        <f aca="false">K39-L39</f>
        <v>-14382.8010547777</v>
      </c>
      <c r="N40" s="1" t="n">
        <f aca="false">N38-N39</f>
        <v>17294.4810547777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10079.6887825038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10878.6412174962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335.900858636257</v>
      </c>
      <c r="L47" s="2" t="n">
        <f aca="false">L49-K42</f>
        <v>780</v>
      </c>
      <c r="M47" s="1" t="n">
        <f aca="false">K47-L47</f>
        <v>-444.099141363743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355.900858636257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355.900858636257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6790.29854392316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335.900858636257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335.900858636257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355.900858636257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355.900858636257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15000</v>
      </c>
      <c r="C82" s="93"/>
      <c r="D82" s="93"/>
      <c r="E82" s="113"/>
      <c r="F82" s="31" t="s">
        <v>106</v>
      </c>
      <c r="G82" s="33" t="n">
        <f aca="false">IF(A111 = "Yes", A40, 0)</f>
        <v>15000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10483.8742444089</v>
      </c>
      <c r="C86" s="93"/>
      <c r="D86" s="93"/>
      <c r="E86" s="113"/>
      <c r="F86" s="31" t="s">
        <v>110</v>
      </c>
      <c r="G86" s="33" t="n">
        <f aca="false">(G82/((1+G84)^(G85+1)))</f>
        <v>12166.1843604821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15866.1217555911</v>
      </c>
      <c r="C88" s="93"/>
      <c r="D88" s="93"/>
      <c r="E88" s="113"/>
      <c r="F88" s="31" t="s">
        <v>112</v>
      </c>
      <c r="G88" s="33" t="n">
        <f aca="false">G81-G86</f>
        <v>14183.8116395179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539.50655585224</v>
      </c>
      <c r="C89" s="93"/>
      <c r="D89" s="93"/>
      <c r="E89" s="113"/>
      <c r="F89" s="31" t="s">
        <v>113</v>
      </c>
      <c r="G89" s="33" t="n">
        <f aca="false">(G88/G87)</f>
        <v>449.20470225432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18882.7294548284</v>
      </c>
      <c r="C90" s="93"/>
      <c r="D90" s="93"/>
      <c r="E90" s="113"/>
      <c r="F90" s="31" t="s">
        <v>114</v>
      </c>
      <c r="G90" s="33" t="n">
        <f aca="false">((G89*(G85))+G77)</f>
        <v>15722.1645789012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18882.7294548284</v>
      </c>
      <c r="C92" s="93"/>
      <c r="D92" s="93"/>
      <c r="E92" s="113"/>
      <c r="F92" s="56" t="s">
        <v>116</v>
      </c>
      <c r="G92" s="65" t="n">
        <f aca="false">(G90+G91)</f>
        <v>15722.1645789012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32.0914285714286</v>
      </c>
      <c r="C94" s="93"/>
      <c r="D94" s="93"/>
      <c r="E94" s="113"/>
      <c r="F94" s="88" t="s">
        <v>117</v>
      </c>
      <c r="G94" s="94" t="n">
        <f aca="false">IF(B26="YES",((E40/B85)*(1+A108)*(C45/100)),"0")</f>
        <v>26.7428571428571</v>
      </c>
      <c r="H94" s="33"/>
      <c r="J94" s="88" t="s">
        <v>117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539.50655585224</v>
      </c>
      <c r="C95" s="93"/>
      <c r="D95" s="93"/>
      <c r="E95" s="113"/>
      <c r="F95" s="95" t="s">
        <v>118</v>
      </c>
      <c r="G95" s="96" t="n">
        <f aca="false">G92/(G85)</f>
        <v>449.20470225432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571.597984423668</v>
      </c>
      <c r="C96" s="93"/>
      <c r="D96" s="93"/>
      <c r="E96" s="113"/>
      <c r="F96" s="97" t="s">
        <v>119</v>
      </c>
      <c r="G96" s="98" t="n">
        <f aca="false">G94+G95</f>
        <v>475.947559397177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539.50655585224</v>
      </c>
      <c r="B167" s="177" t="n">
        <f aca="false">B94</f>
        <v>32.0914285714286</v>
      </c>
      <c r="C167" s="174"/>
      <c r="D167" s="174"/>
      <c r="E167" s="177" t="n">
        <f aca="false">B96</f>
        <v>571.597984423668</v>
      </c>
      <c r="F167" s="23"/>
      <c r="G167" s="23" t="n">
        <f aca="false">ROUND(G95, 2)</f>
        <v>449.2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7532.73345482839</v>
      </c>
      <c r="B182" s="103" t="str">
        <f aca="false">B114</f>
        <v>239.99</v>
      </c>
      <c r="C182" s="103"/>
      <c r="D182" s="23"/>
      <c r="E182" s="103" t="n">
        <f aca="false">E179+A182+B182+A185</f>
        <v>34132.7194548284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341.174966666667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571.597984423668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4372.004</v>
      </c>
      <c r="B201" s="186" t="n">
        <f aca="false">E179+A201+B182+A185</f>
        <v>30971.99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539.50655585224</v>
      </c>
      <c r="B212" s="177" t="n">
        <f aca="false">B167</f>
        <v>32.0914285714286</v>
      </c>
      <c r="C212" s="174"/>
      <c r="D212" s="174"/>
      <c r="E212" s="177" t="n">
        <f aca="false">E167</f>
        <v>571.597984423668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7532.73345482839</v>
      </c>
      <c r="B224" s="103" t="str">
        <f aca="false">B182</f>
        <v>239.99</v>
      </c>
      <c r="C224" s="103"/>
      <c r="D224" s="113"/>
      <c r="E224" s="103" t="n">
        <f aca="false">E182</f>
        <v>34132.7194548284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539.50655585224</v>
      </c>
      <c r="B230" s="103" t="n">
        <f aca="false">B167</f>
        <v>32.0914285714286</v>
      </c>
      <c r="C230" s="186"/>
      <c r="D230" s="186"/>
      <c r="E230" s="103" t="n">
        <f aca="false">E167</f>
        <v>571.597984423668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2091.17496666667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3170.7294548284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315.991666666667</v>
      </c>
      <c r="C255" s="197"/>
      <c r="D255" s="198" t="s">
        <v>218</v>
      </c>
      <c r="E255" s="198"/>
      <c r="F255" s="200" t="n">
        <f aca="false">(B254-F254)+B255</f>
        <v>3223.22116149506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3170.7294548284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3223.22116149506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274.794263006372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274.794263006372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38094.4743342797</v>
      </c>
      <c r="N39" s="1" t="n">
        <f aca="false">K39-L39</f>
        <v>-17136.1443342797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-17136.1443342797</v>
      </c>
      <c r="N40" s="1" t="n">
        <f aca="false">N38-N39</f>
        <v>20047.8243342797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11992.4832442812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8965.84675571876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274.794263006372</v>
      </c>
      <c r="L47" s="2" t="n">
        <f aca="false">L49-K42</f>
        <v>800</v>
      </c>
      <c r="M47" s="1" t="n">
        <f aca="false">K47-L47</f>
        <v>-525.205736993628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274.794263006372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274.794263006372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2956.30221764934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274.794263006372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274.794263006372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274.794263006372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274.794263006372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13469.9690692476</v>
      </c>
      <c r="C86" s="93"/>
      <c r="D86" s="93"/>
      <c r="E86" s="113"/>
      <c r="F86" s="31" t="s">
        <v>110</v>
      </c>
      <c r="G86" s="33" t="n">
        <f aca="false">(G82/((1+G84)^(G85+1)))</f>
        <v>14468.9310342253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11280.0269307525</v>
      </c>
      <c r="C88" s="93"/>
      <c r="D88" s="93"/>
      <c r="E88" s="113"/>
      <c r="F88" s="31" t="s">
        <v>112</v>
      </c>
      <c r="G88" s="33" t="n">
        <f aca="false">G81-G86</f>
        <v>10281.0649657747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367.111305310821</v>
      </c>
      <c r="C89" s="93"/>
      <c r="D89" s="93"/>
      <c r="E89" s="113"/>
      <c r="F89" s="31" t="s">
        <v>113</v>
      </c>
      <c r="G89" s="33" t="n">
        <f aca="false">(G88/G87)</f>
        <v>323.261020461434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12848.8956858787</v>
      </c>
      <c r="C90" s="93"/>
      <c r="D90" s="93"/>
      <c r="E90" s="113"/>
      <c r="F90" s="31" t="s">
        <v>114</v>
      </c>
      <c r="G90" s="33" t="n">
        <f aca="false">((G89*(G85))+G77)</f>
        <v>11314.1357161502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12848.8956858787</v>
      </c>
      <c r="C92" s="93"/>
      <c r="D92" s="93"/>
      <c r="E92" s="113"/>
      <c r="F92" s="56" t="s">
        <v>116</v>
      </c>
      <c r="G92" s="65" t="n">
        <f aca="false">(G90+G91)</f>
        <v>11314.1357161502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367.111305310821</v>
      </c>
      <c r="C95" s="93"/>
      <c r="D95" s="93"/>
      <c r="E95" s="113"/>
      <c r="F95" s="95" t="s">
        <v>118</v>
      </c>
      <c r="G95" s="96" t="n">
        <f aca="false">G92/(G85)</f>
        <v>323.261020461434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367.111305310821</v>
      </c>
      <c r="C96" s="93"/>
      <c r="D96" s="93"/>
      <c r="E96" s="113"/>
      <c r="F96" s="97" t="s">
        <v>119</v>
      </c>
      <c r="G96" s="98" t="n">
        <f aca="false">G94+G95</f>
        <v>323.261020461434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367.111305310821</v>
      </c>
      <c r="B167" s="177" t="str">
        <f aca="false">B94</f>
        <v>0</v>
      </c>
      <c r="C167" s="174"/>
      <c r="D167" s="174"/>
      <c r="E167" s="177" t="n">
        <f aca="false">B96</f>
        <v>367.111305310821</v>
      </c>
      <c r="F167" s="23"/>
      <c r="G167" s="23" t="n">
        <f aca="false">ROUND(G95, 2)</f>
        <v>323.26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5673.89968587873</v>
      </c>
      <c r="B182" s="103" t="str">
        <f aca="false">B114</f>
        <v>199.99</v>
      </c>
      <c r="C182" s="103"/>
      <c r="D182" s="23"/>
      <c r="E182" s="103" t="n">
        <f aca="false">E179+A182+(B182*1.2)+A185</f>
        <v>30673.8836858787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367.111305310821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4139.104</v>
      </c>
      <c r="B201" s="186" t="n">
        <f aca="false">E179+A201+(B182*1.2)+A185</f>
        <v>29139.088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367.111305310821</v>
      </c>
      <c r="B212" s="177" t="str">
        <f aca="false">B167</f>
        <v>0</v>
      </c>
      <c r="C212" s="174"/>
      <c r="D212" s="174"/>
      <c r="E212" s="177" t="n">
        <f aca="false">E167</f>
        <v>367.111305310821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5673.89968587873</v>
      </c>
      <c r="B224" s="103" t="str">
        <f aca="false">B182</f>
        <v>199.99</v>
      </c>
      <c r="C224" s="103"/>
      <c r="D224" s="113"/>
      <c r="E224" s="103" t="n">
        <f aca="false">E182</f>
        <v>30673.8836858787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367.111305310821</v>
      </c>
      <c r="B230" s="103" t="str">
        <f aca="false">B167</f>
        <v>0</v>
      </c>
      <c r="C230" s="186"/>
      <c r="D230" s="186"/>
      <c r="E230" s="103" t="n">
        <f aca="false">E167</f>
        <v>367.111305310821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2056.23996666667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1544.79568587873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1397.28572587873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1544.79568587873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1397.28572587873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21375</v>
      </c>
      <c r="C2" s="4" t="s">
        <v>2</v>
      </c>
      <c r="D2" s="5" t="n">
        <f aca="false">C9</f>
        <v>4275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25650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21375</v>
      </c>
      <c r="C9" s="14" t="n">
        <f aca="false">B9*0.2</f>
        <v>4275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21375</v>
      </c>
      <c r="C15" s="14" t="n">
        <f aca="false">SUM(C9:C13)</f>
        <v>4275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25650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295.338339800905</v>
      </c>
      <c r="F33" s="232"/>
      <c r="G33" s="232"/>
      <c r="H33" s="47"/>
      <c r="I33" s="2"/>
      <c r="J33" s="34" t="s">
        <v>356</v>
      </c>
      <c r="K33" s="48" t="n">
        <f aca="false">E21</f>
        <v>21375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295.338339800905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21375</v>
      </c>
      <c r="L39" s="2" t="n">
        <f aca="false">(L47*K46)+K44</f>
        <v>37719.2069181402</v>
      </c>
      <c r="N39" s="1" t="n">
        <f aca="false">K39-L39</f>
        <v>-16344.2069181402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-16344.2069181402</v>
      </c>
      <c r="N40" s="1" t="n">
        <f aca="false">N38-N39</f>
        <v>19255.8869181402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9564.96464316637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295.338339800905</v>
      </c>
      <c r="L47" s="2" t="n">
        <f aca="false">L49-K42</f>
        <v>800</v>
      </c>
      <c r="M47" s="1" t="n">
        <f aca="false">K47-L47</f>
        <v>-504.661660199095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295.338339800905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295.338339800905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4204.43034340573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295.338339800905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295.338339800905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295.338339800905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295.338339800905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21375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25650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25650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25650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21375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21375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4275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25650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25650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-19513.8883333333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1639.56996666667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993.677921681313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42001.1393772818</v>
      </c>
      <c r="C85" s="473"/>
      <c r="D85" s="473"/>
      <c r="E85" s="466" t="n">
        <f aca="false">B85/(B58+B57)</f>
        <v>1200.03255363662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296.498563575003</v>
      </c>
      <c r="C86" s="473" t="s">
        <v>230</v>
      </c>
      <c r="D86" s="215"/>
      <c r="E86" s="466" t="n">
        <f aca="false">B86/(B58+B57)</f>
        <v>8.47138753071436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42297.6379408568</v>
      </c>
      <c r="C87" s="473"/>
      <c r="D87" s="475"/>
      <c r="E87" s="466" t="n">
        <f aca="false">E86+E85</f>
        <v>1208.50394116734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1208.50394116734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1208.50394116734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1208.50394116734</v>
      </c>
      <c r="B128" s="321" t="n">
        <f aca="false">IF(A105="YES", B89, 0)</f>
        <v>0</v>
      </c>
      <c r="C128" s="325"/>
      <c r="D128" s="321" t="n">
        <f aca="false">B91</f>
        <v>1208.50394116734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1208.50394116734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1208.50394116734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1208.50394116734</v>
      </c>
      <c r="B137" s="38" t="n">
        <f aca="false">IF(A105="YES", B89, 0)</f>
        <v>0</v>
      </c>
      <c r="C137" s="317"/>
      <c r="D137" s="38" t="n">
        <f aca="false">B91</f>
        <v>1208.50394116734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1208.50394116734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1208.50394116734</v>
      </c>
      <c r="B177" s="355" t="n">
        <f aca="false">IF(A105="YES", B89, 0)</f>
        <v>0</v>
      </c>
      <c r="C177" s="357"/>
      <c r="D177" s="355" t="n">
        <f aca="false">B91</f>
        <v>1208.50394116734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1208.50394116734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1208.50394116734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1208.50394116734</v>
      </c>
      <c r="B186" s="103" t="n">
        <f aca="false">IF(A105="YES", B89, 0)</f>
        <v>0</v>
      </c>
      <c r="C186" s="353"/>
      <c r="D186" s="103" t="n">
        <f aca="false">B91</f>
        <v>1208.50394116734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9847.47091166667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9847.47091166667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296.498563575003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558.0790842341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20313.0692546498</v>
      </c>
      <c r="C85" s="473"/>
      <c r="D85" s="473"/>
      <c r="E85" s="466" t="n">
        <f aca="false">B85/(B58+B57)</f>
        <v>564.251923740273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172.075213532734</v>
      </c>
      <c r="C86" s="473" t="s">
        <v>230</v>
      </c>
      <c r="D86" s="215"/>
      <c r="E86" s="466" t="n">
        <f aca="false">B86/(B58+B57)</f>
        <v>4.77986704257593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20485.1444681826</v>
      </c>
      <c r="C87" s="473"/>
      <c r="D87" s="475"/>
      <c r="E87" s="466" t="n">
        <f aca="false">E86+E85</f>
        <v>569.031790782849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569.031790782849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634.031790782849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569.031790782849</v>
      </c>
      <c r="B128" s="321" t="n">
        <f aca="false">IF(A105="YES", B89, 0)</f>
        <v>65</v>
      </c>
      <c r="C128" s="325"/>
      <c r="D128" s="321" t="n">
        <f aca="false">B91</f>
        <v>634.031790782849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569.031790782849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634.031790782849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569.031790782849</v>
      </c>
      <c r="B137" s="38" t="n">
        <f aca="false">IF(A105="YES", B89, 0)</f>
        <v>65</v>
      </c>
      <c r="C137" s="317"/>
      <c r="D137" s="38" t="n">
        <f aca="false">B91</f>
        <v>634.031790782849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634.031790782849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569.031790782849</v>
      </c>
      <c r="B177" s="355" t="n">
        <f aca="false">IF(A105="YES", B89, 0)</f>
        <v>65</v>
      </c>
      <c r="C177" s="357"/>
      <c r="D177" s="355" t="n">
        <f aca="false">B91</f>
        <v>634.031790782849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569.031790782849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634.031790782849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569.031790782849</v>
      </c>
      <c r="B186" s="103" t="n">
        <f aca="false">IF(A105="YES", B89, 0)</f>
        <v>65</v>
      </c>
      <c r="C186" s="353"/>
      <c r="D186" s="103" t="n">
        <f aca="false">B91</f>
        <v>634.031790782849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1056.98992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10376.99008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172.075213532734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398</v>
      </c>
      <c r="B44" s="104" t="s">
        <v>400</v>
      </c>
      <c r="C44" s="104"/>
      <c r="D44" s="104" t="s">
        <v>400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401</v>
      </c>
      <c r="C47" s="429"/>
      <c r="D47" s="104" t="s">
        <v>401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387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387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398</v>
      </c>
      <c r="B44" s="104" t="s">
        <v>400</v>
      </c>
      <c r="C44" s="104"/>
      <c r="D44" s="104" t="s">
        <v>401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401</v>
      </c>
      <c r="C47" s="429"/>
      <c r="D47" s="104" t="s">
        <v>401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393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395</v>
      </c>
      <c r="C35" s="223"/>
      <c r="D35" s="223" t="s">
        <v>396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397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453.33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409.612726015542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391.223837126653</v>
      </c>
      <c r="B36" s="232" t="n">
        <f aca="false">IF(B26="YES", K42, "0.00")</f>
        <v>18.3888888888889</v>
      </c>
      <c r="C36" s="232"/>
      <c r="D36" s="232"/>
      <c r="E36" s="232" t="n">
        <f aca="false">K31</f>
        <v>7350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30517.3564339889</v>
      </c>
      <c r="N39" s="1" t="n">
        <f aca="false">K39-L39</f>
        <v>-12737.3564339889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18.3888888888889</v>
      </c>
      <c r="C40" s="107"/>
      <c r="D40" s="107"/>
      <c r="E40" s="182" t="n">
        <f aca="false">K32</f>
        <v>662</v>
      </c>
      <c r="F40" s="186"/>
      <c r="G40" s="186"/>
      <c r="H40" s="47"/>
      <c r="J40" s="2" t="s">
        <v>106</v>
      </c>
      <c r="K40" s="2" t="n">
        <f aca="false">(A40)/1.2</f>
        <v>6125</v>
      </c>
      <c r="L40" s="2" t="n">
        <f aca="false">K39-L39</f>
        <v>-12737.3564339889</v>
      </c>
      <c r="N40" s="1" t="n">
        <f aca="false">N38-N39</f>
        <v>15649.0364339889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18.3888888888889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5015.34861140638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12764.6513885936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391.223837126653</v>
      </c>
      <c r="L47" s="2" t="n">
        <f aca="false">L49-K42</f>
        <v>781.611111111111</v>
      </c>
      <c r="M47" s="1" t="n">
        <f aca="false">K47-L47</f>
        <v>-390.387273984458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409.612726015542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409.612726015542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2441.89068838885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36062.0063967045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735.872112944575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735.872112944575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177.233333333333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1569.6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209.28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172.345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391.223837126653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391.223837126653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409.612726015542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409.612726015542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21268</v>
      </c>
      <c r="C81" s="93"/>
      <c r="D81" s="93"/>
      <c r="E81" s="113"/>
      <c r="F81" s="25" t="s">
        <v>105</v>
      </c>
      <c r="G81" s="27" t="n">
        <f aca="false">G158</f>
        <v>21268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8820</v>
      </c>
      <c r="C82" s="93"/>
      <c r="D82" s="93"/>
      <c r="E82" s="113"/>
      <c r="F82" s="31" t="s">
        <v>106</v>
      </c>
      <c r="G82" s="33" t="n">
        <f aca="false">IF(A111="YES",A40,0)</f>
        <v>8820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6759.89343901925</v>
      </c>
      <c r="C86" s="93"/>
      <c r="D86" s="93"/>
      <c r="E86" s="113"/>
      <c r="F86" s="31" t="s">
        <v>110</v>
      </c>
      <c r="G86" s="33" t="n">
        <f aca="false">(G82/((1+G84)^(G85+1)))</f>
        <v>7261.22171959416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4972.03868006374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4972.03868006374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14508.1065609807</v>
      </c>
      <c r="C88" s="93"/>
      <c r="D88" s="93"/>
      <c r="E88" s="113"/>
      <c r="F88" s="31" t="s">
        <v>112</v>
      </c>
      <c r="G88" s="33" t="n">
        <f aca="false">G81-G86</f>
        <v>14006.7782804058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12262.4613199363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12262.4613199363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472.169966427096</v>
      </c>
      <c r="C89" s="93"/>
      <c r="D89" s="93"/>
      <c r="E89" s="113"/>
      <c r="F89" s="31" t="s">
        <v>113</v>
      </c>
      <c r="G89" s="33" t="n">
        <f aca="false">(G88/G87)</f>
        <v>440.406266799606</v>
      </c>
      <c r="H89" s="33"/>
      <c r="J89" s="31" t="s">
        <v>113</v>
      </c>
      <c r="K89" s="33" t="n">
        <f aca="false">(K88/K87)</f>
        <v>1432.7447009504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423.42657855726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423.42657855726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16525.9488249484</v>
      </c>
      <c r="C90" s="93"/>
      <c r="D90" s="93"/>
      <c r="E90" s="113"/>
      <c r="F90" s="31" t="s">
        <v>114</v>
      </c>
      <c r="G90" s="33" t="n">
        <f aca="false">((G89*(G85))+G77)</f>
        <v>15414.2193379862</v>
      </c>
      <c r="H90" s="33"/>
      <c r="J90" s="31" t="s">
        <v>114</v>
      </c>
      <c r="K90" s="33" t="n">
        <f aca="false">((K89*(K85))+K77)</f>
        <v>51578.8092342144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14819.9302495041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14819.9302495041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16525.9488249484</v>
      </c>
      <c r="C92" s="93"/>
      <c r="D92" s="93"/>
      <c r="E92" s="113"/>
      <c r="F92" s="56" t="s">
        <v>116</v>
      </c>
      <c r="G92" s="65" t="n">
        <f aca="false">(G90+G91)</f>
        <v>15414.2193379862</v>
      </c>
      <c r="H92" s="33"/>
      <c r="J92" s="56" t="s">
        <v>116</v>
      </c>
      <c r="K92" s="65" t="n">
        <f aca="false">(K90+K91)</f>
        <v>51578.8092342144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14819.9302495041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14819.9302495041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22.6971428571429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22.6971428571429</v>
      </c>
      <c r="H94" s="33"/>
      <c r="J94" s="88" t="s">
        <v>117</v>
      </c>
      <c r="K94" s="89" t="n">
        <f aca="false">((E40/K85)*(1+J108))*1.2</f>
        <v>28.6866666666667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22.6971428571429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27.2365714285714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472.169966427096</v>
      </c>
      <c r="C95" s="93"/>
      <c r="D95" s="93"/>
      <c r="E95" s="113"/>
      <c r="F95" s="95" t="s">
        <v>118</v>
      </c>
      <c r="G95" s="96" t="n">
        <f aca="false">G92/(G85)</f>
        <v>440.406266799606</v>
      </c>
      <c r="H95" s="33"/>
      <c r="J95" s="95" t="s">
        <v>118</v>
      </c>
      <c r="K95" s="96" t="n">
        <f aca="false">K92/(K85)</f>
        <v>1432.7447009504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423.42657855726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423.42657855726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494.867109284239</v>
      </c>
      <c r="C96" s="93"/>
      <c r="D96" s="93"/>
      <c r="E96" s="113"/>
      <c r="F96" s="97" t="s">
        <v>119</v>
      </c>
      <c r="G96" s="98" t="n">
        <f aca="false">G94+G95</f>
        <v>463.103409656749</v>
      </c>
      <c r="H96" s="33"/>
      <c r="J96" s="97" t="s">
        <v>119</v>
      </c>
      <c r="K96" s="98" t="n">
        <f aca="false">(K94+K95)</f>
        <v>1461.43136761707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446.123721414403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450.663149985831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387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472.169966427096</v>
      </c>
      <c r="B167" s="177" t="n">
        <f aca="false">B94</f>
        <v>22.6971428571429</v>
      </c>
      <c r="C167" s="174"/>
      <c r="D167" s="174"/>
      <c r="E167" s="177" t="n">
        <f aca="false">B96</f>
        <v>494.867109284239</v>
      </c>
      <c r="F167" s="23"/>
      <c r="G167" s="23" t="n">
        <f aca="false">ROUND(G95, 2)</f>
        <v>440.41</v>
      </c>
      <c r="H167" s="33"/>
      <c r="J167" s="176" t="n">
        <f aca="false">K95</f>
        <v>1432.7447009504</v>
      </c>
      <c r="K167" s="177" t="n">
        <f aca="false">K94</f>
        <v>28.6866666666667</v>
      </c>
      <c r="L167" s="174"/>
      <c r="M167" s="174"/>
      <c r="N167" s="177" t="n">
        <f aca="false">K96</f>
        <v>1461.43136761707</v>
      </c>
      <c r="O167" s="23"/>
      <c r="P167" s="23"/>
      <c r="Q167" s="33"/>
      <c r="S167" s="176" t="n">
        <f aca="false">T95</f>
        <v>423.42657855726</v>
      </c>
      <c r="T167" s="177" t="n">
        <f aca="false">T94</f>
        <v>22.6971428571429</v>
      </c>
      <c r="U167" s="174"/>
      <c r="V167" s="174"/>
      <c r="W167" s="177" t="n">
        <f aca="false">T96</f>
        <v>446.123721414403</v>
      </c>
      <c r="X167" s="23"/>
      <c r="Y167" s="23"/>
      <c r="Z167" s="33"/>
      <c r="AB167" s="176" t="n">
        <f aca="false">AC95</f>
        <v>423.42657855726</v>
      </c>
      <c r="AC167" s="177" t="n">
        <f aca="false">AC94</f>
        <v>27.2365714285714</v>
      </c>
      <c r="AD167" s="174"/>
      <c r="AE167" s="174"/>
      <c r="AF167" s="177" t="n">
        <f aca="false">AC96</f>
        <v>450.663149985831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7350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7350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7350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7350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2607.94882494837</v>
      </c>
      <c r="B182" s="103" t="str">
        <f aca="false">B114</f>
        <v>199.99</v>
      </c>
      <c r="C182" s="103"/>
      <c r="D182" s="23"/>
      <c r="E182" s="103" t="n">
        <f aca="false">E179+A182+(B182*1.2)+A185</f>
        <v>24125.9368249484</v>
      </c>
      <c r="F182" s="23"/>
      <c r="G182" s="23"/>
      <c r="H182" s="105"/>
      <c r="J182" s="111" t="n">
        <f aca="false">(J167*K59)+N185-N179-J185</f>
        <v>20977.060533264</v>
      </c>
      <c r="K182" s="103" t="n">
        <f aca="false">K114</f>
        <v>239.99</v>
      </c>
      <c r="L182" s="103"/>
      <c r="M182" s="23"/>
      <c r="N182" s="103" t="n">
        <f aca="false">N179+J182+K182+J185</f>
        <v>57756.054533264</v>
      </c>
      <c r="O182" s="23"/>
      <c r="P182" s="23"/>
      <c r="Q182" s="105"/>
      <c r="S182" s="111" t="n">
        <f aca="false">(S167*T59)+W185-W179-S185</f>
        <v>4935.43024950409</v>
      </c>
      <c r="T182" s="103" t="n">
        <f aca="false">T114</f>
        <v>199.99</v>
      </c>
      <c r="U182" s="103"/>
      <c r="V182" s="23"/>
      <c r="W182" s="103" t="n">
        <f aca="false">W179+S182+T182+S185</f>
        <v>22379.9202495041</v>
      </c>
      <c r="X182" s="23"/>
      <c r="Y182" s="23"/>
      <c r="Z182" s="105"/>
      <c r="AB182" s="111" t="n">
        <f aca="false">(AB167*AC59)+AF185-AF179-AB185</f>
        <v>4935.43024950409</v>
      </c>
      <c r="AC182" s="103" t="n">
        <f aca="false">AC114</f>
        <v>239.99</v>
      </c>
      <c r="AD182" s="103"/>
      <c r="AE182" s="23"/>
      <c r="AF182" s="103" t="n">
        <f aca="false">AF179+AB182+AC182+AB185</f>
        <v>22419.9202495041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7360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177.233333333333</v>
      </c>
      <c r="C188" s="93"/>
      <c r="D188" s="93"/>
      <c r="E188" s="103" t="n">
        <f aca="false">(E40*A108)*0.1*(C45/100)</f>
        <v>13.24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2282.43775</v>
      </c>
      <c r="L188" s="93"/>
      <c r="M188" s="93"/>
      <c r="N188" s="103" t="n">
        <f aca="false">(E40*J108)*0.1</f>
        <v>19.86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143.620833333333</v>
      </c>
      <c r="U188" s="93"/>
      <c r="V188" s="93"/>
      <c r="W188" s="103" t="n">
        <f aca="false">(E40*S108)*0.1</f>
        <v>13.24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143.620833333333</v>
      </c>
      <c r="AD188" s="93"/>
      <c r="AE188" s="93"/>
      <c r="AF188" s="103" t="n">
        <f aca="false">(E40*AB108)*0.1</f>
        <v>13.24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290.463333333333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3442.28775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1256.85083333333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1296.85083333333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494.867109284239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1461.43136761707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446.123721414403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450.663149985831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1496.35</v>
      </c>
      <c r="B201" s="186" t="n">
        <f aca="false">E179+A201+(B182*1.2)+A185</f>
        <v>23014.338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472.169966427096</v>
      </c>
      <c r="B212" s="177" t="n">
        <f aca="false">B167</f>
        <v>22.6971428571429</v>
      </c>
      <c r="C212" s="174"/>
      <c r="D212" s="174"/>
      <c r="E212" s="177" t="n">
        <f aca="false">E167</f>
        <v>494.867109284239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2607.94882494837</v>
      </c>
      <c r="B224" s="103" t="str">
        <f aca="false">B182</f>
        <v>199.99</v>
      </c>
      <c r="C224" s="103"/>
      <c r="D224" s="113"/>
      <c r="E224" s="103" t="n">
        <f aca="false">E182</f>
        <v>24125.9368249484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472.169966427096</v>
      </c>
      <c r="B230" s="103" t="n">
        <f aca="false">B167</f>
        <v>22.6971428571429</v>
      </c>
      <c r="C230" s="186"/>
      <c r="D230" s="186"/>
      <c r="E230" s="103" t="n">
        <f aca="false">E167</f>
        <v>494.867109284239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7350</v>
      </c>
      <c r="B233" s="103" t="n">
        <f aca="false">E185</f>
        <v>7360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177.233333333333</v>
      </c>
      <c r="C240" s="93"/>
      <c r="D240" s="93"/>
      <c r="E240" s="103" t="n">
        <f aca="false">E188</f>
        <v>13.24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290.463333333333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1121.59882494837</v>
      </c>
      <c r="C254" s="197"/>
      <c r="D254" s="198" t="s">
        <v>216</v>
      </c>
      <c r="E254" s="198"/>
      <c r="F254" s="200" t="n">
        <f aca="false">F261+F267+F269+B270+B271</f>
        <v>212.68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232.39</v>
      </c>
      <c r="C255" s="197"/>
      <c r="D255" s="198" t="s">
        <v>218</v>
      </c>
      <c r="E255" s="198"/>
      <c r="F255" s="200" t="n">
        <f aca="false">(B254-F254)+B255</f>
        <v>1141.30882494837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1121.59882494837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212.68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132.4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1141.30882494837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ROUND(G95, 2)</f>
        <v>605.88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1888.40308516348</v>
      </c>
      <c r="B201" s="186" t="n">
        <f aca="false">E179+A201+B182+A185</f>
        <v>20906.3930851635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692.231222159619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781.462888826285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692.231222159619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781.462888826285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ROUND(G95, 2)</f>
        <v>739.14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</v>
      </c>
      <c r="B201" s="186" t="n">
        <f aca="false">E179+A201+B182+A185</f>
        <v>27516.75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1002.40610533989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1338.64610533989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1002.40610533989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1338.64610533989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ROUND(G95, 2)</f>
        <v>683.62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2971.476</v>
      </c>
      <c r="B201" s="186" t="n">
        <f aca="false">E179+A201+(B182*1.2)+A185</f>
        <v>28743.068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1134.42676657742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1335.42772741076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1134.42676657742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1335.42772741076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50</v>
      </c>
      <c r="D45" s="463"/>
      <c r="E45" s="216"/>
      <c r="F45" s="63"/>
      <c r="G45" s="63" t="s">
        <v>374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386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s">
        <v>401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387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387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2023-10-13T15:14:13Z</dcterms:modified>
  <cp:revision>891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