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5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<sst xmlns="http://schemas.openxmlformats.org/spreadsheetml/2006/main" count="32296" uniqueCount="394">
  <si>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</si>
  <si>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</si>
  <si>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</si>
  <si>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</si>
  <si>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</si>
  <si>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</si>
  <si>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</si>
  <si>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</si>
  <si>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</si>
  <si>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</si>
  <si>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</si>
  <si>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</si>
  <si>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</si>
  <si>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</si>
  <si>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</si>
  <si>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</si>
  <si>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</si>
  <si>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</si>
  <si>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</si>
  <si>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</si>
  <si>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</si>
  <si>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</si>
  <si>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</si>
  <si>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</si>
  <si>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</si>
  <si>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</si>
  <si>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</si>
  <si>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</si>
  <si>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</si>
  <si>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</si>
  <si>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</si>
  <si>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</si>
  <si>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</si>
  <si>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</si>
  <si>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</si>
  <si>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</si>
  <si>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</si>
  <si>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</si>
  <si>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</si>
  <si>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</si>
  <si>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</si>
  <si>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</si>
  <si>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</si>
  <si>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</si>
  <si>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</si>
  <si>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</si>
  <si>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</si>
  <si>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</si>
  <si>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</si>
  <si>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</si>
  <si>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</si>
  <si>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</si>
  <si>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</si>
  <si>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</si>
  <si>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</si>
  <si>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</si>
  <si>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</si>
  <si>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</si>
  <si>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</si>
  <si>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</si>
  <si>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</si>
  <si>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</si>
  <si>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</si>
  <si>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</si>
  <si>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</si>
  <si>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</si>
  <si>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</si>
  <si>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</si>
  <si>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</si>
  <si>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</si>
  <si>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</si>
  <si>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</si>
  <si>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</si>
  <si>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</si>
  <si>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</si>
  <si>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</si>
  <si>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</si>
  <si>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</si>
  <si>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</si>
  <si>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</si>
  <si>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</si>
  <si>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</si>
  <si>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</si>
  <si>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</si>
  <si>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</si>
  <si>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</si>
  <si>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</si>
  <si>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</si>
  <si>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</si>
  <si>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</si>
  <si>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</si>
  <si>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</si>
  <si>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</si>
  <si>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</si>
  <si>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</si>
  <si>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</si>
  <si>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</si>
  <si>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</si>
  <si>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</si>
  <si>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</si>
  <si>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</si>
  <si>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</si>
  <si>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</si>
  <si>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</si>
  <si>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</si>
  <si>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</si>
  <si>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</si>
  <si>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</si>
  <si>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</si>
  <si>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</si>
  <si>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</si>
  <si>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</si>
  <si>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</si>
  <si>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</si>
  <si>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</si>
  <si>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</si>
  <si>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</si>
  <si>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</si>
  <si>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</si>
  <si>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</si>
  <si>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</si>
  <si>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</si>
  <si>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</si>
  <si>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</si>
  <si>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</si>
  <si>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</si>
  <si>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</si>
  <si>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</si>
  <si>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</si>
  <si>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</si>
  <si>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</si>
  <si>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</si>
  <si>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</si>
  <si>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</si>
  <si>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</si>
  <si>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</si>
  <si>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</si>
  <si>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</si>
  <si>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</si>
  <si>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</si>
  <si>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</si>
  <si>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</si>
  <si>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</si>
  <si>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</si>
  <si>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</si>
  <si>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</si>
  <si>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</si>
  <si>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</si>
  <si>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</si>
  <si>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</si>
  <si>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</si>
  <si>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</si>
  <si>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</si>
  <si>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</si>
  <si>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</si>
  <si>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</si>
  <si>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</si>
  <si>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</si>
  <si>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</si>
  <si>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</si>
  <si>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</si>
  <si>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</si>
  <si>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</si>
  <si>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</si>
  <si>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</si>
  <si>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</si>
  <si>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</si>
  <si>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</si>
  <si>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</si>
  <si>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</si>
  <si>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</si>
  <si>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</si>
  <si>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</si>
  <si>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</si>
  <si>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</si>
  <si>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</si>
  <si>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</si>
  <si>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</si>
  <si>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</si>
  <si>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</si>
  <si>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</si>
  <si>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</si>
  <si>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</si>
  <si>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</si>
  <si>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</si>
  <si>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</si>
  <si>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</si>
  <si>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</si>
  <si>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</si>
  <si>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</si>
  <si>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</si>
  <si>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</si>
  <si>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</si>
  <si>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</si>
  <si>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</si>
  <si>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</si>
  <si>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</si>
  <si>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</si>
  <si>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</si>
  <si>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</si>
  <si>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</si>
  <si>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</si>
  <si>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</si>
  <si>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</si>
  <si>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</si>
  <si>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</si>
  <si>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</si>
  <si>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</si>
  <si>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</si>
  <si>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</si>
  <si>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</si>
  <si>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</si>
  <si>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</si>
  <si>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</si>
  <si>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</si>
  <si>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</si>
  <si>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</si>
  <si>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</si>
  <si>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</si>
  <si>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</si>
  <si>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</si>
  <si>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</si>
  <si>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</si>
  <si>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</si>
  <si>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</si>
  <si>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</si>
  <si>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</si>
  <si>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</si>
  <si>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</si>
  <si>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</si>
  <si>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</si>
  <si>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</si>
  <si>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</si>
  <si>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</si>
  <si>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</si>
  <si>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</si>
  <si>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</si>
  <si>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</si>
  <si>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</si>
  <si>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</si>
  <si>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</si>
  <si>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</si>
  <si>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</si>
  <si>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</si>
  <si>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</si>
  <si>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</si>
  <si>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</si>
  <si>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</si>
  <si>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</si>
  <si>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</si>
  <si>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</si>
  <si>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</si>
  <si>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</si>
  <si>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</si>
  <si>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</si>
  <si>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</si>
  <si>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</si>
  <si>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</si>
  <si>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</si>
  <si>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</si>
  <si>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</si>
  <si>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</si>
  <si>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</si>
  <si>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</si>
  <si>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</si>
  <si>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</si>
  <si>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</si>
  <si>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</si>
  <si>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</si>
  <si>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</si>
  <si>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</si>
  <si>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</si>
  <si>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</si>
  <si>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</si>
  <si>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</si>
  <si>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</si>
  <si>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</si>
  <si>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</si>
  <si>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</si>
  <si>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</si>
  <si>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</si>
  <si>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</si>
  <si>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</si>
  <si>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</si>
  <si>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</si>
  <si>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</si>
  <si>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</si>
  <si>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</si>
  <si>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</si>
  <si>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</si>
  <si>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</si>
  <si>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</si>
  <si>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</si>
  <si>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</si>
  <si>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</si>
  <si>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</si>
  <si>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</si>
  <si>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</si>
  <si>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</si>
  <si>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</si>
  <si>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</si>
  <si>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</si>
  <si>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</si>
  <si>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</si>
  <si>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</si>
  <si>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</si>
  <si>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</si>
  <si>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</si>
  <si>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</si>
  <si>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</si>
  <si>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</si>
  <si>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</si>
  <si>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</si>
  <si>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</si>
  <si>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</si>
  <si>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</si>
  <si>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</si>
  <si>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</si>
  <si>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</si>
  <si>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</si>
  <si>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</si>
  <si>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</si>
  <si>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</si>
  <si>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</si>
  <si>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</si>
  <si>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</si>
  <si>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</si>
  <si>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</si>
  <si>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</si>
  <si>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</si>
  <si>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</si>
  <si>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</si>
  <si>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</si>
  <si>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</si>
  <si>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</si>
  <si>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</si>
  <si>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</si>
  <si>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</si>
  <si>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</si>
  <si>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</si>
  <si>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</si>
  <si>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</si>
  <si>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</si>
  <si>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</si>
  <si>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</si>
  <si>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</si>
  <si>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</si>
  <si>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</si>
  <si>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</si>
  <si>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</si>
  <si>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</si>
  <si>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</si>
  <si>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</si>
  <si>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</si>
  <si>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</si>
  <si>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</si>
  <si>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</si>
  <si>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</si>
  <si>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</si>
  <si>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</si>
  <si>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</si>
  <si>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</si>
  <si>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</si>
  <si>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</si>
  <si>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</si>
  <si>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</si>
  <si>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</si>
  <si>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</si>
  <si>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</si>
  <si>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</si>
  <si>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</si>
  <si>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</si>
  <si>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</si>
  <si>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</si>
  <si>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</si>
  <si>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</si>
  <si>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</si>
  <si>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</si>
  <si>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</si>
  <si>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</si>
  <si>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</si>
  <si>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</si>
  <si>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</si>
  <si>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</si>
  <si>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Yes</t>
  </si>
  <si>
    <t xml:space="preserve">60</t>
  </si>
  <si>
    <t xml:space="preserve">2</t>
  </si>
  <si>
    <t xml:space="preserve">58535.00</t>
  </si>
  <si>
    <t xml:space="preserve">RFL included?</t>
  </si>
  <si>
    <t xml:space="preserve">70</t>
  </si>
  <si>
    <t>NO</t>
  </si>
  <si>
    <t>100</t>
  </si>
  <si>
    <t>0</t>
  </si>
  <si>
    <t>Yes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</si>
</sst>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Spread rentals initial payment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Spread rentals initial payment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Spread rentals with 6 down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Spread rentals with 6 down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Terminal pause with 9 down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Terminal pause with 9 down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n">
        <f aca="false">IF(B26="YES", K42, "0.00")</f>
        <v>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n">
        <f aca="false">IF(B26="YES", K42, "0.00")</f>
        <v>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6571.79668340877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219.5833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26349.996</v>
      </c>
      <c r="C81" s="93"/>
      <c r="D81" s="93"/>
      <c r="E81" s="113"/>
      <c r="F81" s="25" t="s">
        <v>105</v>
      </c>
      <c r="G81" s="27" t="n">
        <f aca="false">G158</f>
        <v>26349.996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14066.3900103009</v>
      </c>
      <c r="C88" s="93"/>
      <c r="D88" s="93"/>
      <c r="E88" s="113"/>
      <c r="F88" s="31" t="s">
        <v>112</v>
      </c>
      <c r="G88" s="33" t="n">
        <f aca="false">G81-G86</f>
        <v>12095.2833243018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478.309050228833</v>
      </c>
      <c r="C89" s="93"/>
      <c r="D89" s="93"/>
      <c r="E89" s="113"/>
      <c r="F89" s="31" t="s">
        <v>113</v>
      </c>
      <c r="G89" s="33" t="n">
        <f aca="false">(G88/G87)</f>
        <v>383.060511691856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16740.8167580091</v>
      </c>
      <c r="C90" s="93"/>
      <c r="D90" s="93"/>
      <c r="E90" s="113"/>
      <c r="F90" s="31" t="s">
        <v>114</v>
      </c>
      <c r="G90" s="33" t="n">
        <f aca="false">((G89*(G85))+G77)</f>
        <v>13407.117909215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16740.8167580091</v>
      </c>
      <c r="C92" s="93"/>
      <c r="D92" s="93"/>
      <c r="E92" s="113"/>
      <c r="F92" s="56" t="s">
        <v>116</v>
      </c>
      <c r="G92" s="65" t="n">
        <f aca="false">(G90+G91)</f>
        <v>13407.117909215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0</v>
      </c>
      <c r="C94" s="93"/>
      <c r="D94" s="93"/>
      <c r="E94" s="113"/>
      <c r="F94" s="88" t="s">
        <v>117</v>
      </c>
      <c r="G94" s="94" t="n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478.309050228833</v>
      </c>
      <c r="C95" s="93"/>
      <c r="D95" s="93"/>
      <c r="E95" s="113"/>
      <c r="F95" s="95" t="s">
        <v>118</v>
      </c>
      <c r="G95" s="96" t="n">
        <f aca="false">G92/(G85)</f>
        <v>383.060511691856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478.309050228833</v>
      </c>
      <c r="C96" s="93"/>
      <c r="D96" s="93"/>
      <c r="E96" s="113"/>
      <c r="F96" s="97" t="s">
        <v>119</v>
      </c>
      <c r="G96" s="98" t="n">
        <f aca="false">G94+G95</f>
        <v>383.060511691856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-20499.9966666667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26349.996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478.309050228833</v>
      </c>
      <c r="B167" s="177" t="n">
        <f aca="false">B94</f>
        <v>0</v>
      </c>
      <c r="C167" s="174"/>
      <c r="D167" s="174"/>
      <c r="E167" s="177" t="n">
        <f aca="false">B96</f>
        <v>478.309050228833</v>
      </c>
      <c r="F167" s="23"/>
      <c r="G167" s="23" t="n">
        <f aca="false">ROUND(G95, 2)</f>
        <v>383.06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26349.996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7965.82075800914</v>
      </c>
      <c r="B182" s="103" t="str">
        <f aca="false">B114</f>
        <v>239.99</v>
      </c>
      <c r="C182" s="103"/>
      <c r="D182" s="23"/>
      <c r="E182" s="103" t="n">
        <f aca="false">E179+A182+B182+A185</f>
        <v>34565.8067580091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219.5833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319.574966666667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478.309050228833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4632.104</v>
      </c>
      <c r="B201" s="186" t="n">
        <f aca="false">E179+A201+B182+A185</f>
        <v>31232.09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478.309050228833</v>
      </c>
      <c r="B212" s="177" t="n">
        <f aca="false">B167</f>
        <v>0</v>
      </c>
      <c r="C212" s="174"/>
      <c r="D212" s="174"/>
      <c r="E212" s="177" t="n">
        <f aca="false">E167</f>
        <v>478.309050228833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26349.996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7965.82075800914</v>
      </c>
      <c r="B224" s="103" t="str">
        <f aca="false">B182</f>
        <v>239.99</v>
      </c>
      <c r="C224" s="103"/>
      <c r="D224" s="113"/>
      <c r="E224" s="103" t="n">
        <f aca="false">E182</f>
        <v>34565.8067580091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478.309050228833</v>
      </c>
      <c r="B230" s="103" t="n">
        <f aca="false">B167</f>
        <v>0</v>
      </c>
      <c r="C230" s="186"/>
      <c r="D230" s="186"/>
      <c r="E230" s="103" t="n">
        <f aca="false">E167</f>
        <v>478.309050228833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219.5833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2069.57496666667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3343.71675800914</v>
      </c>
      <c r="C254" s="197"/>
      <c r="D254" s="198" t="s">
        <v>216</v>
      </c>
      <c r="E254" s="198"/>
      <c r="F254" s="200" t="n">
        <f aca="false">F261+F267+F269+B270+B271</f>
        <v>263.49996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3180.20846467581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3343.71675800914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263.49996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3180.20846467581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20083.33</v>
      </c>
      <c r="C2" s="4" t="s">
        <v>2</v>
      </c>
      <c r="D2" s="5" t="n">
        <f aca="false">C9</f>
        <v>4016.666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24099.996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23150</v>
      </c>
      <c r="C9" s="14" t="n">
        <f aca="false">B9*0.2</f>
        <v>4016.666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20083.33</v>
      </c>
      <c r="C15" s="14" t="n">
        <f aca="false">SUM(C9:C13)</f>
        <v>4016.666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24099.996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255.45532009281</v>
      </c>
      <c r="F33" s="232"/>
      <c r="G33" s="232"/>
      <c r="H33" s="47"/>
      <c r="I33" s="2"/>
      <c r="J33" s="34" t="s">
        <v>356</v>
      </c>
      <c r="K33" s="48" t="n">
        <f aca="false">E21</f>
        <v>20083.33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255.45532009281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20083.33</v>
      </c>
      <c r="L39" s="2" t="n">
        <f aca="false">(L47*K46)+K44</f>
        <v>37719.2069181402</v>
      </c>
      <c r="N39" s="1" t="n">
        <f aca="false">K39-L39</f>
        <v>-17635.8769181402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-17635.8769181402</v>
      </c>
      <c r="N40" s="1" t="n">
        <f aca="false">N38-N39</f>
        <v>20547.5569181402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8273.29464316638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255.45532009281</v>
      </c>
      <c r="L47" s="2" t="n">
        <f aca="false">L49-K42</f>
        <v>800</v>
      </c>
      <c r="M47" s="1" t="n">
        <f aca="false">K47-L47</f>
        <v>-544.54467990719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255.45532009281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255.45532009281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5640.21905289714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255.45532009281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255.45532009281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255.45532009281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255.45532009281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20083.33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24099.996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24099.996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24099.996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20083.33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20083.33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4016.666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24099.996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24099.996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2625</v>
      </c>
      <c r="I148" s="1" t="n">
        <f aca="false">(H148-G81)/1.2</f>
        <v>-18437.4966666667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2625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2625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2931.23996666667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Terminal pause with 9 down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Terminal pause with 9 down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45281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tru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384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5.28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C70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264</v>
      </c>
      <c r="C105" s="312"/>
      <c r="D105" s="421" t="n">
        <v>6300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384</v>
      </c>
      <c r="B111" s="312" t="n">
        <v>20</v>
      </c>
      <c r="C111" s="312"/>
      <c r="D111" s="107" t="n">
        <v>440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385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386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703.333333333333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355</v>
      </c>
      <c r="C81" s="215"/>
      <c r="D81" s="215"/>
      <c r="E81" s="216" t="n">
        <f aca="false">E80/12</f>
        <v>58.6111111111111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5421.95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451.829166666667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1151.46656615571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0</v>
      </c>
      <c r="C134" s="326"/>
      <c r="D134" s="321" t="n">
        <f aca="false">B97</f>
        <v>1151.46656615571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1151.46656615571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1151.46656615571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0</v>
      </c>
      <c r="C143" s="317"/>
      <c r="D143" s="38" t="n">
        <f aca="false">B97</f>
        <v>1151.46656615571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1151.46656615571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0</v>
      </c>
      <c r="C177" s="358"/>
      <c r="D177" s="355" t="n">
        <f aca="false">B97</f>
        <v>1151.46656615571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1151.46656615571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1151.46656615571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0</v>
      </c>
      <c r="C186" s="353"/>
      <c r="D186" s="103" t="n">
        <f aca="false">B97</f>
        <v>1151.46656615571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3813.09166666667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3813.09166666667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901.232855990319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901.232855990319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901.232855990319</v>
      </c>
      <c r="B134" s="321" t="n">
        <f aca="false">IF(A111="YES", B95, 0)</f>
        <v>0</v>
      </c>
      <c r="C134" s="326"/>
      <c r="D134" s="321" t="n">
        <f aca="false">B97</f>
        <v>901.232855990319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Monthly in advance</v>
      </c>
      <c r="B137" s="38" t="n">
        <f aca="false">B96*B63</f>
        <v>901.232855990319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901.232855990319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901.232855990319</v>
      </c>
      <c r="B143" s="38" t="n">
        <f aca="false">IF(A111="YES", B95, 0)</f>
        <v>0</v>
      </c>
      <c r="C143" s="317"/>
      <c r="D143" s="38" t="n">
        <f aca="false">B97</f>
        <v>901.232855990319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901.232855990319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901.232855990319</v>
      </c>
      <c r="B177" s="355" t="n">
        <f aca="false">IF(A111="YES", B95, 0)</f>
        <v>0</v>
      </c>
      <c r="C177" s="358"/>
      <c r="D177" s="355" t="n">
        <f aca="false">B91</f>
        <v>10723.95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Monthly in advance</v>
      </c>
      <c r="B180" s="103" t="n">
        <f aca="false">B96*B63</f>
        <v>901.232855990319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901.232855990319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901.232855990319</v>
      </c>
      <c r="B186" s="103" t="n">
        <f aca="false">IF(A111="YES", B95, 0)</f>
        <v>0</v>
      </c>
      <c r="C186" s="353"/>
      <c r="D186" s="103" t="n">
        <f aca="false">B97</f>
        <v>901.232855990319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3573.09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3573.09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90.8442718838241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13.7372727272727</v>
      </c>
      <c r="E32" s="226"/>
      <c r="F32" s="63"/>
      <c r="G32" s="227" t="s">
        <v>244</v>
      </c>
      <c r="H32" s="225" t="n">
        <f aca="false">A41</f>
        <v>13.7372727272727</v>
      </c>
      <c r="I32" s="0"/>
      <c r="J32" s="44" t="s">
        <v>37</v>
      </c>
      <c r="K32" s="263" t="s">
        <v>387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513.737272727273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0.07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469.92</v>
      </c>
      <c r="I36" s="0"/>
      <c r="J36" s="44" t="s">
        <v>51</v>
      </c>
      <c r="K36" s="52" t="n">
        <f aca="false">K32-K34</f>
        <v>47887.5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384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13.7372727272727</v>
      </c>
      <c r="B41" s="241" t="n">
        <f aca="false">IF(B38="YES", D38+A41, D38)</f>
        <v>513.737272727273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13.7372727272727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514.100909090909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514.100909090909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48158.2001745424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526.265625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47887.5</v>
      </c>
      <c r="C81" s="93"/>
      <c r="D81" s="93"/>
      <c r="E81" s="113"/>
      <c r="F81" s="25" t="s">
        <v>105</v>
      </c>
      <c r="G81" s="27" t="n">
        <f aca="false">B81</f>
        <v>47887.5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4701.64581571928</v>
      </c>
      <c r="C86" s="93" t="n">
        <f aca="false">(B82/((1+B84)^(B85+1)))</f>
        <v>4701.64581571928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28.392890887209</v>
      </c>
      <c r="C87" s="93" t="n">
        <f aca="false">((1-(1/((1+B84)^B85)))/B84)</f>
        <v>28.392890887209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43185.8541842807</v>
      </c>
      <c r="C88" s="93" t="n">
        <f aca="false">B81-B86</f>
        <v>43185.8541842807</v>
      </c>
      <c r="D88" s="93"/>
      <c r="E88" s="113"/>
      <c r="F88" s="31" t="s">
        <v>112</v>
      </c>
      <c r="G88" s="33" t="n">
        <f aca="false">G81-G86</f>
        <v>42867.189207262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1521.00940886354</v>
      </c>
      <c r="C89" s="93" t="n">
        <f aca="false">(B88/B87)</f>
        <v>1521.00940886354</v>
      </c>
      <c r="D89" s="93"/>
      <c r="E89" s="113"/>
      <c r="F89" s="31" t="s">
        <v>113</v>
      </c>
      <c r="G89" s="33" t="n">
        <f aca="false">(G88/G87)</f>
        <v>1462.666361014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48672.3010836333</v>
      </c>
      <c r="C90" s="93"/>
      <c r="D90" s="93"/>
      <c r="E90" s="113"/>
      <c r="F90" s="31" t="s">
        <v>114</v>
      </c>
      <c r="G90" s="33" t="n">
        <f aca="false">((G89*(G85))+G77)</f>
        <v>46805.323552448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48672.3010836333</v>
      </c>
      <c r="C92" s="93"/>
      <c r="D92" s="93"/>
      <c r="E92" s="113"/>
      <c r="F92" s="56" t="s">
        <v>116</v>
      </c>
      <c r="G92" s="65" t="n">
        <f aca="false">(G90+G91)</f>
        <v>46805.323552448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16.999875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1521.00940886354</v>
      </c>
      <c r="C95" s="93"/>
      <c r="D95" s="93"/>
      <c r="E95" s="113"/>
      <c r="F95" s="95" t="s">
        <v>118</v>
      </c>
      <c r="G95" s="96" t="n">
        <f aca="false">G92/(G85)</f>
        <v>1462.666361014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1538.00928386354</v>
      </c>
      <c r="C96" s="93"/>
      <c r="D96" s="93"/>
      <c r="E96" s="113"/>
      <c r="F96" s="97" t="s">
        <v>119</v>
      </c>
      <c r="G96" s="98" t="n">
        <f aca="false">G94+G95</f>
        <v>1462.666361014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0.089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44854.17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45687.5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9247.5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56135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56135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-39906.25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56135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1521.00940886354</v>
      </c>
      <c r="B167" s="177" t="n">
        <f aca="false">B94</f>
        <v>16.999875</v>
      </c>
      <c r="C167" s="174"/>
      <c r="D167" s="174"/>
      <c r="E167" s="177" t="n">
        <f aca="false">B96</f>
        <v>1538.00928386354</v>
      </c>
      <c r="F167" s="23"/>
      <c r="G167" s="23" t="n">
        <f aca="false">ROUND(G95, 2)</f>
        <v>1462.67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46237.5</v>
      </c>
      <c r="B173" s="103" t="n">
        <f aca="false">H137</f>
        <v>9247.5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56135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56135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-262.698916366688</v>
      </c>
      <c r="B182" s="103" t="str">
        <f aca="false">B114</f>
        <v>199.99</v>
      </c>
      <c r="C182" s="103"/>
      <c r="D182" s="23"/>
      <c r="E182" s="103" t="n">
        <f aca="false">E179+A182+(B182*1.2)+A185</f>
        <v>56122.2890836333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11.097</v>
      </c>
      <c r="B188" s="103" t="n">
        <f aca="false">(G158*B67)/1.2</f>
        <v>438.5546875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538.5446875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1538.00928386354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-2129.56</v>
      </c>
      <c r="B201" s="186" t="n">
        <f aca="false">E179+A201+(B182*1.2)+A185</f>
        <v>54255.428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1521.00940886354</v>
      </c>
      <c r="B212" s="177" t="n">
        <f aca="false">B167</f>
        <v>16.999875</v>
      </c>
      <c r="C212" s="174"/>
      <c r="D212" s="174"/>
      <c r="E212" s="177" t="n">
        <f aca="false">E167</f>
        <v>1538.00928386354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46237.5</v>
      </c>
      <c r="B215" s="103" t="n">
        <f aca="false">B173</f>
        <v>9247.5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56135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56135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-262.698916366688</v>
      </c>
      <c r="B224" s="103" t="str">
        <f aca="false">B182</f>
        <v>199.99</v>
      </c>
      <c r="C224" s="103"/>
      <c r="D224" s="113"/>
      <c r="E224" s="103" t="n">
        <f aca="false">E182</f>
        <v>56122.2890836333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1521.00940886354</v>
      </c>
      <c r="B230" s="103" t="n">
        <f aca="false">B167</f>
        <v>16.999875</v>
      </c>
      <c r="C230" s="186"/>
      <c r="D230" s="186"/>
      <c r="E230" s="103" t="n">
        <f aca="false">E167</f>
        <v>1538.00928386354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11.097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438.5546875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538.5446875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1876.86108363331</v>
      </c>
      <c r="C254" s="197"/>
      <c r="D254" s="198" t="s">
        <v>216</v>
      </c>
      <c r="E254" s="198"/>
      <c r="F254" s="200" t="n">
        <f aca="false">F261+F267+F269+B270+B271</f>
        <v>526.265625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1450.58545863331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1876.86108363331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526.265625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1450.58545863331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86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46854.17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44854.17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44854.17</v>
      </c>
      <c r="F9" s="152"/>
      <c r="G9" s="136"/>
      <c r="H9" s="443" t="n">
        <f aca="false">B7+D7+F7+H3</f>
        <v>45687.5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550</v>
      </c>
      <c r="I10" s="2"/>
      <c r="J10" s="2"/>
      <c r="K10" s="1" t="s">
        <v>19</v>
      </c>
      <c r="L10" s="16" t="s">
        <v>1</v>
      </c>
      <c r="M10" s="14" t="n">
        <f aca="false">H15-H11-M8</f>
        <v>46237.5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9247.5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56135</v>
      </c>
      <c r="I15" s="2"/>
      <c r="J15" s="17" t="n">
        <f aca="false">H15</f>
        <v>56135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55485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56135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384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1030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1018.7818325283</v>
      </c>
      <c r="F33" s="232"/>
      <c r="G33" s="232"/>
      <c r="H33" s="47"/>
      <c r="I33" s="2"/>
      <c r="J33" s="34" t="s">
        <v>356</v>
      </c>
      <c r="K33" s="48" t="n">
        <f aca="false">H21-H11+(H16*20%)</f>
        <v>46887.5</v>
      </c>
      <c r="L33" s="1" t="n">
        <f aca="false">H21-H11+(H16*20%)</f>
        <v>46887.5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1018.7818325283</v>
      </c>
      <c r="B36" s="232" t="str">
        <f aca="false">IF(B26="YES", K42, "0.00")</f>
        <v>0.00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46887.5</v>
      </c>
      <c r="L39" s="2" t="n">
        <f aca="false">(L47*K46)+K44</f>
        <v>39749.1981958661</v>
      </c>
      <c r="N39" s="1" t="n">
        <f aca="false">K39-L39</f>
        <v>7138.30180413388</v>
      </c>
      <c r="P39" s="212"/>
    </row>
    <row r="40" customFormat="false" ht="17.35" hidden="false" customHeight="false" outlineLevel="0" collapsed="false">
      <c r="A40" s="107" t="n">
        <f aca="false">E36*A45/100</f>
        <v>28575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7138.30180413388</v>
      </c>
      <c r="N40" s="1" t="n">
        <f aca="false">N38-N39</f>
        <v>-4226.62180413388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33240.2928941323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1018.7818325283</v>
      </c>
      <c r="L47" s="2" t="n">
        <f aca="false">L49-K42</f>
        <v>800</v>
      </c>
      <c r="M47" s="1" t="n">
        <f aca="false">K47-L47</f>
        <v>218.781832528296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1018.7818325283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1018.7818325283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55485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55485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55485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55485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19746.5913459492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15029.8112889344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-250.857747730377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-250.857747730377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540.516633333333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4161.375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554.85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436.68749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1018.7818325283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1018.7818325283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1018.7818325283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1018.7818325283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64861.996</v>
      </c>
      <c r="C81" s="93"/>
      <c r="D81" s="93"/>
      <c r="E81" s="113"/>
      <c r="F81" s="25" t="s">
        <v>105</v>
      </c>
      <c r="G81" s="27" t="n">
        <f aca="false">G158</f>
        <v>64861.996</v>
      </c>
      <c r="H81" s="33"/>
      <c r="J81" s="25" t="s">
        <v>105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43668.749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43668.749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20000</v>
      </c>
      <c r="C82" s="93"/>
      <c r="D82" s="93"/>
      <c r="E82" s="113"/>
      <c r="F82" s="31" t="s">
        <v>106</v>
      </c>
      <c r="G82" s="33" t="n">
        <f aca="false">IF(A111="YES",A40,0)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15328.5565510641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49533.4394489359</v>
      </c>
      <c r="C88" s="93"/>
      <c r="D88" s="93"/>
      <c r="E88" s="113"/>
      <c r="F88" s="31" t="s">
        <v>112</v>
      </c>
      <c r="G88" s="33" t="n">
        <f aca="false">G81-G86</f>
        <v>48396.6406267706</v>
      </c>
      <c r="H88" s="33"/>
      <c r="J88" s="31" t="s">
        <v>112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30139.3920474456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30139.3920474456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1612.07820905622</v>
      </c>
      <c r="C89" s="93"/>
      <c r="D89" s="93"/>
      <c r="E89" s="113"/>
      <c r="F89" s="31" t="s">
        <v>113</v>
      </c>
      <c r="G89" s="33" t="n">
        <f aca="false">(G88/G87)</f>
        <v>1521.70494866009</v>
      </c>
      <c r="H89" s="33"/>
      <c r="J89" s="31" t="s">
        <v>113</v>
      </c>
      <c r="K89" s="33" t="n">
        <f aca="false">(K88/K87)</f>
        <v>1477.31306457009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1040.72252066538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1040.72252066538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56422.7373169678</v>
      </c>
      <c r="C90" s="93"/>
      <c r="D90" s="93"/>
      <c r="E90" s="113"/>
      <c r="F90" s="31" t="s">
        <v>114</v>
      </c>
      <c r="G90" s="33" t="n">
        <f aca="false">((G89*(G85))+G77)</f>
        <v>53259.6732031031</v>
      </c>
      <c r="H90" s="33"/>
      <c r="J90" s="31" t="s">
        <v>114</v>
      </c>
      <c r="K90" s="33" t="n">
        <f aca="false">((K89*(K85))+K77)</f>
        <v>53183.2703245232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36425.2882232883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36425.2882232883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56422.7373169678</v>
      </c>
      <c r="C92" s="93"/>
      <c r="D92" s="93"/>
      <c r="E92" s="113"/>
      <c r="F92" s="56" t="s">
        <v>116</v>
      </c>
      <c r="G92" s="65" t="n">
        <f aca="false">(G90+G91)</f>
        <v>53259.6732031031</v>
      </c>
      <c r="H92" s="33"/>
      <c r="J92" s="56" t="s">
        <v>116</v>
      </c>
      <c r="K92" s="65" t="n">
        <f aca="false">(K90+K91)</f>
        <v>53183.2703245232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36425.2882232883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36425.2882232883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1612.07820905622</v>
      </c>
      <c r="C95" s="93"/>
      <c r="D95" s="93"/>
      <c r="E95" s="113"/>
      <c r="F95" s="95" t="s">
        <v>118</v>
      </c>
      <c r="G95" s="96" t="n">
        <f aca="false">G92/(G85)</f>
        <v>1521.70494866009</v>
      </c>
      <c r="H95" s="33"/>
      <c r="J95" s="95" t="s">
        <v>118</v>
      </c>
      <c r="K95" s="96" t="n">
        <f aca="false">K92/(K85)</f>
        <v>1477.31306457009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1040.72252066538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1040.72252066538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1612.07820905622</v>
      </c>
      <c r="C96" s="93"/>
      <c r="D96" s="93"/>
      <c r="E96" s="113"/>
      <c r="F96" s="97" t="s">
        <v>119</v>
      </c>
      <c r="G96" s="98" t="n">
        <f aca="false">G94+G95</f>
        <v>1521.70494866009</v>
      </c>
      <c r="H96" s="33"/>
      <c r="J96" s="97" t="s">
        <v>119</v>
      </c>
      <c r="K96" s="98" t="n">
        <f aca="false">(K94+K95)</f>
        <v>1477.31306457009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1040.72252066538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1040.72252066538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384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5000</v>
      </c>
      <c r="C111" s="107"/>
      <c r="D111" s="107"/>
      <c r="E111" s="107" t="n">
        <v>4000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44854.17</v>
      </c>
      <c r="C121" s="121" t="n">
        <f aca="false">B121</f>
        <v>44854.17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149</v>
      </c>
      <c r="K121" s="120" t="n">
        <f aca="false">B3</f>
        <v>44854.17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149</v>
      </c>
      <c r="T121" s="120" t="n">
        <f aca="false">B3</f>
        <v>44854.17</v>
      </c>
      <c r="U121" s="121" t="n">
        <f aca="false">T121</f>
        <v>44854.17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149</v>
      </c>
      <c r="AC121" s="120" t="n">
        <f aca="false">B3</f>
        <v>44854.17</v>
      </c>
      <c r="AD121" s="121" t="n">
        <f aca="false">AC121</f>
        <v>44854.17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-9355.83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11213.5425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11213.5425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44854.17</v>
      </c>
      <c r="C125" s="133" t="n">
        <f aca="false">C121-C124</f>
        <v>54210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153</v>
      </c>
      <c r="K125" s="132" t="n">
        <f aca="false">K121-K124</f>
        <v>44854.17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153</v>
      </c>
      <c r="T125" s="132" t="n">
        <f aca="false">T121-T124</f>
        <v>44854.17</v>
      </c>
      <c r="U125" s="133" t="n">
        <f aca="false">U121-U124</f>
        <v>33640.6275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153</v>
      </c>
      <c r="AC125" s="132" t="n">
        <f aca="false">AC121-AC124</f>
        <v>44854.17</v>
      </c>
      <c r="AD125" s="133" t="n">
        <f aca="false">AD121-AD124</f>
        <v>33640.6275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45687.5</v>
      </c>
      <c r="H135" s="153" t="n">
        <f aca="false">C125+E125+G125+H128</f>
        <v>55043.33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45687.5</v>
      </c>
      <c r="Q135" s="153" t="n">
        <f aca="false">L125+N125+P125+Q128</f>
        <v>29462.5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45687.5</v>
      </c>
      <c r="Z135" s="153" t="n">
        <f aca="false">U125+W125+Y125+Z128</f>
        <v>34473.9575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45687.5</v>
      </c>
      <c r="AI135" s="153" t="n">
        <f aca="false">AD125+AF125+AH125+AI128</f>
        <v>34473.9575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9247.5</v>
      </c>
      <c r="H137" s="33" t="n">
        <f aca="false">(H135+H136)*20%</f>
        <v>11118.666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9247.5</v>
      </c>
      <c r="Q137" s="33" t="n">
        <f aca="false">(Q135+Q136)*20%</f>
        <v>6002.5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9247.5</v>
      </c>
      <c r="Z137" s="33" t="n">
        <f aca="false">(Z135+Z136)*20%</f>
        <v>7004.7915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9247.5</v>
      </c>
      <c r="AI137" s="33" t="n">
        <f aca="false">(AI135+AI136)*20%</f>
        <v>7004.7915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56135</v>
      </c>
      <c r="H141" s="157" t="n">
        <f aca="false">(H135+H136+H139+H140+H137)-H138</f>
        <v>67361.996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56135</v>
      </c>
      <c r="Q141" s="157" t="n">
        <f aca="false">(Q135+Q136+Q139+Q140+Q137)-Q138</f>
        <v>36655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56135</v>
      </c>
      <c r="Z141" s="157" t="n">
        <f aca="false">(Z135+Z136+Z139+Z140+Z137)-Z138</f>
        <v>42668.749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56135</v>
      </c>
      <c r="AI141" s="157" t="n">
        <f aca="false">(AI135+AI136+AI139+AI140+AI137)-AI138</f>
        <v>42668.749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56135</v>
      </c>
      <c r="H147" s="164" t="n">
        <f aca="false">H141-((H144*1.2)+(H145*1.2)+(H146*1.2)+(H142*1.2))</f>
        <v>67361.996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56135</v>
      </c>
      <c r="Q147" s="164" t="n">
        <f aca="false">Q141-((Q144*1.2)+(Q145*1.2)+(Q146*1.2)+(Q142*1.2))</f>
        <v>36655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56135</v>
      </c>
      <c r="Z147" s="164" t="n">
        <f aca="false">Z141-((Z144*1.2)+(Z145*1.2)+(Z146*1.2)+(Z142*1.2))</f>
        <v>42668.749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56135</v>
      </c>
      <c r="AI147" s="164" t="n">
        <f aca="false">AI141-((AI144*1.2)+(AI145*1.2)+(AI146*1.2)+(AI142*1.2))</f>
        <v>42668.749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9355.83</v>
      </c>
      <c r="I148" s="1" t="n">
        <f aca="false">(H148-G81)/1.2</f>
        <v>-46255.1383333333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-19480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-13466.251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-13466.251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64861.996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43668.749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43668.749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1612.07820905622</v>
      </c>
      <c r="B167" s="177" t="str">
        <f aca="false">B94</f>
        <v>0</v>
      </c>
      <c r="C167" s="174"/>
      <c r="D167" s="174"/>
      <c r="E167" s="177" t="n">
        <f aca="false">B96</f>
        <v>1612.07820905622</v>
      </c>
      <c r="F167" s="23"/>
      <c r="G167" s="23" t="n">
        <f aca="false">G95</f>
        <v>1521.70494866009</v>
      </c>
      <c r="H167" s="33"/>
      <c r="J167" s="176" t="n">
        <f aca="false">K95</f>
        <v>1477.31306457009</v>
      </c>
      <c r="K167" s="177" t="n">
        <f aca="false">K94</f>
        <v>0</v>
      </c>
      <c r="L167" s="174"/>
      <c r="M167" s="174"/>
      <c r="N167" s="177" t="n">
        <f aca="false">K96</f>
        <v>1477.31306457009</v>
      </c>
      <c r="O167" s="23"/>
      <c r="P167" s="23"/>
      <c r="Q167" s="33"/>
      <c r="S167" s="176" t="n">
        <f aca="false">T95</f>
        <v>1040.72252066538</v>
      </c>
      <c r="T167" s="177" t="n">
        <f aca="false">T94</f>
        <v>0</v>
      </c>
      <c r="U167" s="174"/>
      <c r="V167" s="174"/>
      <c r="W167" s="177" t="n">
        <f aca="false">T96</f>
        <v>1040.72252066538</v>
      </c>
      <c r="X167" s="23"/>
      <c r="Y167" s="23"/>
      <c r="Z167" s="33"/>
      <c r="AB167" s="176" t="n">
        <f aca="false">AC95</f>
        <v>1040.72252066538</v>
      </c>
      <c r="AC167" s="177" t="n">
        <f aca="false">AC94</f>
        <v>0</v>
      </c>
      <c r="AD167" s="174"/>
      <c r="AE167" s="174"/>
      <c r="AF167" s="177" t="n">
        <f aca="false">AC96</f>
        <v>1040.72252066538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55593.33</v>
      </c>
      <c r="B173" s="103" t="n">
        <f aca="false">H137</f>
        <v>11118.666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35023.9575</v>
      </c>
      <c r="T173" s="103" t="n">
        <f aca="false">Z137</f>
        <v>7004.7915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35023.9575</v>
      </c>
      <c r="AC173" s="103" t="n">
        <f aca="false">AI137</f>
        <v>7004.7915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67361.996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42668.749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42668.749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64861.996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43668.749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43668.749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11560.7413169678</v>
      </c>
      <c r="B182" s="103" t="str">
        <f aca="false">B114</f>
        <v>199.99</v>
      </c>
      <c r="C182" s="103"/>
      <c r="D182" s="23"/>
      <c r="E182" s="103" t="n">
        <f aca="false">E179+A182+(B182*1.2)+A185</f>
        <v>76672.7253169678</v>
      </c>
      <c r="F182" s="23"/>
      <c r="G182" s="23"/>
      <c r="H182" s="105"/>
      <c r="J182" s="111" t="n">
        <f aca="false">(J167*K59)+N185-N179-J185</f>
        <v>34050.9572599531</v>
      </c>
      <c r="K182" s="103" t="n">
        <f aca="false">K114</f>
        <v>239.99</v>
      </c>
      <c r="L182" s="103"/>
      <c r="M182" s="23"/>
      <c r="N182" s="103" t="n">
        <f aca="false">N179+J182+K182+J185</f>
        <v>71965.9472599531</v>
      </c>
      <c r="O182" s="23"/>
      <c r="P182" s="23"/>
      <c r="Q182" s="105"/>
      <c r="S182" s="111" t="n">
        <f aca="false">(S167*T59)+W185-W179-S185</f>
        <v>12756.5392232883</v>
      </c>
      <c r="T182" s="103" t="n">
        <f aca="false">T114</f>
        <v>199.99</v>
      </c>
      <c r="U182" s="103"/>
      <c r="V182" s="23"/>
      <c r="W182" s="103" t="n">
        <f aca="false">W179+S182+T182+S185</f>
        <v>56635.2782232883</v>
      </c>
      <c r="X182" s="23"/>
      <c r="Y182" s="23"/>
      <c r="Z182" s="105"/>
      <c r="AB182" s="111" t="n">
        <f aca="false">(AB167*AC59)+AF185-AF179-AB185</f>
        <v>12756.5392232883</v>
      </c>
      <c r="AC182" s="103" t="n">
        <f aca="false">AC114</f>
        <v>239.99</v>
      </c>
      <c r="AD182" s="103"/>
      <c r="AE182" s="23"/>
      <c r="AF182" s="103" t="n">
        <f aca="false">AF179+AB182+AC182+AB185</f>
        <v>56675.2782232883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540.516633333333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0.11227</v>
      </c>
      <c r="K188" s="103" t="n">
        <f aca="false">(P158*K67)/1.2</f>
        <v>2353.4375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363.906241666667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363.906241666667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640.506633333333</v>
      </c>
      <c r="C191" s="93"/>
      <c r="D191" s="93"/>
      <c r="E191" s="103" t="n">
        <f aca="false">H148</f>
        <v>9355.83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3493.4275</v>
      </c>
      <c r="L191" s="93"/>
      <c r="M191" s="93"/>
      <c r="N191" s="103" t="n">
        <f aca="false">Q148</f>
        <v>-19480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1463.89624166667</v>
      </c>
      <c r="U191" s="93"/>
      <c r="V191" s="93"/>
      <c r="W191" s="103" t="n">
        <f aca="false">Z148</f>
        <v>-13466.251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1503.89624166667</v>
      </c>
      <c r="AD191" s="93"/>
      <c r="AE191" s="93"/>
      <c r="AF191" s="103" t="n">
        <f aca="false">AI148</f>
        <v>-13466.251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1612.07820905622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n">
        <f aca="false">K96</f>
        <v>1477.31306457009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n">
        <f aca="false">T96</f>
        <v>1040.72252066538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n">
        <f aca="false">AC96</f>
        <v>1040.72252066538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8397.67720310304</v>
      </c>
      <c r="B201" s="186" t="n">
        <f aca="false">E179+A201+(B182*1.2)+A185</f>
        <v>73509.661203103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1612.07820905622</v>
      </c>
      <c r="B212" s="177" t="str">
        <f aca="false">B167</f>
        <v>0</v>
      </c>
      <c r="C212" s="174"/>
      <c r="D212" s="174"/>
      <c r="E212" s="177" t="n">
        <f aca="false">E167</f>
        <v>1612.07820905622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55593.33</v>
      </c>
      <c r="B215" s="103" t="n">
        <f aca="false">B173</f>
        <v>11118.666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67361.996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64861.996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11560.7413169678</v>
      </c>
      <c r="B224" s="103" t="str">
        <f aca="false">B182</f>
        <v>199.99</v>
      </c>
      <c r="C224" s="103"/>
      <c r="D224" s="113"/>
      <c r="E224" s="103" t="n">
        <f aca="false">E182</f>
        <v>76672.7253169678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1612.07820905622</v>
      </c>
      <c r="B230" s="103" t="str">
        <f aca="false">B167</f>
        <v>0</v>
      </c>
      <c r="C230" s="186"/>
      <c r="D230" s="186"/>
      <c r="E230" s="103" t="n">
        <f aca="false">E167</f>
        <v>1612.07820905622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9355.83</v>
      </c>
      <c r="B240" s="103" t="n">
        <f aca="false">B68</f>
        <v>540.516633333333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9996.33663333333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3173.06411386476</v>
      </c>
      <c r="C254" s="197"/>
      <c r="D254" s="198" t="s">
        <v>216</v>
      </c>
      <c r="E254" s="198"/>
      <c r="F254" s="200" t="n">
        <f aca="false">F261+F267+F269+B270+B271</f>
        <v>648.61996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2624.43415386476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3173.06411386476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648.61996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2624.43415386476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5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G95</f>
        <v>605.87876811977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1888.36243311588</v>
      </c>
      <c r="B201" s="186" t="n">
        <f aca="false">E179+A201+B182+A185</f>
        <v>20906.3524331159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692.271874207218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781.503540873884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692.271874207218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781.503540873884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G95</f>
        <v>739.140293573232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2602.7699814899</v>
      </c>
      <c r="B201" s="186" t="n">
        <f aca="false">E179+A201+B182+A185</f>
        <v>27516.7599814899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1002.39612384999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1338.63612384999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1002.39612384999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1338.63612384999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7" colorId="64" zoomScale="85" zoomScaleNormal="85" zoomScalePageLayoutView="100" workbookViewId="0">
      <selection pane="topLeft" activeCell="G168" activeCellId="0" sqref="G168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44854.17</v>
      </c>
      <c r="C3" s="441" t="n">
        <v>0</v>
      </c>
      <c r="D3" s="441" t="n">
        <v>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550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585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5250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G95</f>
        <v>683.616311323128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2971.35058498636</v>
      </c>
      <c r="B201" s="186" t="n">
        <f aca="false">E179+A201+(B182*1.2)+A185</f>
        <v>28742.9425849864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1134.55218159106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1335.5531424244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1134.55218159106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1335.5531424244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44854.17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-237.055254097148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45687.5</v>
      </c>
      <c r="F9" s="63"/>
      <c r="G9" s="454" t="n">
        <f aca="false">E9-G11</f>
        <v>-106329.166666667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46237.5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9247.5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56135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456" t="n">
        <f aca="false">(B3+C3+E10)*1.2</f>
        <v>54485.004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55485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100.0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56135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393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392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4689.17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1422.68741721329</v>
      </c>
      <c r="E33" s="216"/>
      <c r="F33" s="63"/>
      <c r="G33" s="219" t="s">
        <v>356</v>
      </c>
      <c r="H33" s="460" t="n">
        <f aca="false">E21-E11+((E16*20%)+(E19*20%)+(E20*20%))</f>
        <v>46887.5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1372.55741721329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46887.5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716.363944378892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374</v>
      </c>
      <c r="H45" s="238" t="n">
        <f aca="false">(H39-H44)</f>
        <v>43339.0295615261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1372.55741721329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1422.68741721329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1422.68741721329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55485</v>
      </c>
      <c r="C61" s="215"/>
      <c r="D61" s="215"/>
      <c r="E61" s="216"/>
      <c r="F61" s="63"/>
      <c r="G61" s="214" t="s">
        <v>14</v>
      </c>
      <c r="H61" s="291" t="n">
        <f aca="false">G18</f>
        <v>55485</v>
      </c>
      <c r="I61" s="215"/>
      <c r="J61" s="215"/>
      <c r="K61" s="216"/>
      <c r="L61" s="63"/>
      <c r="M61" s="214" t="s">
        <v>14</v>
      </c>
      <c r="N61" s="291" t="n">
        <f aca="false">G18</f>
        <v>55485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5745.009375</v>
      </c>
      <c r="I64" s="215"/>
      <c r="J64" s="291" t="n">
        <f aca="false">H64-G145</f>
        <v>5745.009375</v>
      </c>
      <c r="K64" s="216"/>
      <c r="L64" s="63"/>
      <c r="M64" s="285" t="s">
        <v>90</v>
      </c>
      <c r="N64" s="133" t="n">
        <f aca="false">N61*N63</f>
        <v>5745.009375</v>
      </c>
      <c r="O64" s="215"/>
      <c r="P64" s="291" t="n">
        <f aca="false">N64-M145</f>
        <v>5745.009375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1086.58125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905.484375</v>
      </c>
      <c r="I67" s="215"/>
      <c r="J67" s="291"/>
      <c r="K67" s="216"/>
      <c r="L67" s="63"/>
      <c r="M67" s="285" t="s">
        <v>93</v>
      </c>
      <c r="N67" s="133" t="n">
        <f aca="false">(N61*N66)/1.2</f>
        <v>905.484375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165.0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355.0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6792.509375</v>
      </c>
      <c r="I81" s="215"/>
      <c r="J81" s="215"/>
      <c r="K81" s="216"/>
      <c r="L81" s="63"/>
      <c r="M81" s="303" t="s">
        <v>102</v>
      </c>
      <c r="N81" s="304" t="n">
        <f aca="false">SUM(P64:P80)</f>
        <v>6462.509375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194.071696428571</v>
      </c>
      <c r="I82" s="215"/>
      <c r="J82" s="215"/>
      <c r="K82" s="216"/>
      <c r="L82" s="63"/>
      <c r="M82" s="214" t="s">
        <v>103</v>
      </c>
      <c r="N82" s="300" t="n">
        <f aca="false">N81/H29</f>
        <v>184.643125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1372.55741721329</v>
      </c>
      <c r="C83" s="473"/>
      <c r="D83" s="215"/>
      <c r="E83" s="466" t="n">
        <f aca="false">B83+E80+E77+E64</f>
        <v>1680.41456007043</v>
      </c>
      <c r="F83" s="63"/>
      <c r="G83" s="305" t="s">
        <v>104</v>
      </c>
      <c r="H83" s="306" t="n">
        <f aca="false">H47</f>
        <v>1372.55741721329</v>
      </c>
      <c r="I83" s="215"/>
      <c r="J83" s="215"/>
      <c r="K83" s="216"/>
      <c r="L83" s="63"/>
      <c r="M83" s="305" t="s">
        <v>104</v>
      </c>
      <c r="N83" s="306" t="n">
        <f aca="false">H47</f>
        <v>1372.55741721329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58814.5096024651</v>
      </c>
      <c r="C85" s="473"/>
      <c r="D85" s="473"/>
      <c r="E85" s="466" t="n">
        <f aca="false">B85/(B58+B57)</f>
        <v>1680.41456007043</v>
      </c>
      <c r="F85" s="63"/>
      <c r="G85" s="288" t="s">
        <v>114</v>
      </c>
      <c r="H85" s="131" t="n">
        <f aca="false">((H83*H29)+H81)*1.2</f>
        <v>65798.4227729582</v>
      </c>
      <c r="I85" s="215"/>
      <c r="J85" s="215"/>
      <c r="K85" s="216"/>
      <c r="L85" s="63"/>
      <c r="M85" s="288" t="s">
        <v>114</v>
      </c>
      <c r="N85" s="131" t="n">
        <f aca="false">((N83*H29)+N81)</f>
        <v>54502.0189774651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498.226987354485</v>
      </c>
      <c r="C86" s="473" t="s">
        <v>230</v>
      </c>
      <c r="D86" s="215"/>
      <c r="E86" s="466" t="n">
        <f aca="false">B86/(B58+B57)</f>
        <v>14.2350567815567</v>
      </c>
      <c r="F86" s="63"/>
      <c r="G86" s="214" t="s">
        <v>115</v>
      </c>
      <c r="H86" s="300" t="n">
        <f aca="false">((((H83*H29)+H81))/(1-H70))*H70</f>
        <v>464.490681132218</v>
      </c>
      <c r="I86" s="215"/>
      <c r="J86" s="215"/>
      <c r="K86" s="216"/>
      <c r="L86" s="63"/>
      <c r="M86" s="214" t="s">
        <v>115</v>
      </c>
      <c r="N86" s="300" t="n">
        <f aca="false">(N85/(1-N70))*N70</f>
        <v>461.695199083004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59312.7365898196</v>
      </c>
      <c r="C87" s="473"/>
      <c r="D87" s="475"/>
      <c r="E87" s="466" t="n">
        <f aca="false">E86+E85</f>
        <v>1694.64961685199</v>
      </c>
      <c r="F87" s="63"/>
      <c r="G87" s="285" t="s">
        <v>116</v>
      </c>
      <c r="H87" s="133" t="n">
        <f aca="false">IF(H110="YES",((H85+H86)-K114),(H85+H86))</f>
        <v>66262.9134540904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54963.7141765481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1694.64961685199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1656.57283635226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1374.0928544137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1759.81861685199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1782.90043635226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1479.3658544137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5000.0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393</v>
      </c>
      <c r="B105" s="314" t="n">
        <v>0.2</v>
      </c>
      <c r="C105" s="314"/>
      <c r="D105" s="107" t="n">
        <v>500.0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390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0.0</v>
      </c>
      <c r="E112" s="107" t="n">
        <v>6000.0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1656.57283635226</v>
      </c>
      <c r="H127" s="177" t="n">
        <f aca="false">IF(G105="YES", H89*H57, 0)</f>
        <v>757.9656</v>
      </c>
      <c r="I127" s="177"/>
      <c r="J127" s="334" t="n">
        <f aca="false">H91</f>
        <v>1782.90043635226</v>
      </c>
      <c r="K127" s="216"/>
      <c r="L127" s="63"/>
      <c r="M127" s="333" t="n">
        <f aca="false">N90</f>
        <v>1374.0928544137</v>
      </c>
      <c r="N127" s="177" t="n">
        <f aca="false">IF(M105="YES", N89*N57, 0)</f>
        <v>631.638</v>
      </c>
      <c r="O127" s="177"/>
      <c r="P127" s="177" t="n">
        <f aca="false">N91</f>
        <v>1479.3658544137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1694.64961685199</v>
      </c>
      <c r="B128" s="321" t="n">
        <f aca="false">IF(A105="YES", B89, 0)</f>
        <v>65.169</v>
      </c>
      <c r="C128" s="325"/>
      <c r="D128" s="321" t="n">
        <f aca="false">B91</f>
        <v>1759.81861685199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1694.64961685199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9939.43701811355</v>
      </c>
      <c r="H133" s="103" t="n">
        <f aca="false">IF(G105="YES", H89*H57, 0)</f>
        <v>757.9656</v>
      </c>
      <c r="I133" s="221"/>
      <c r="J133" s="184" t="n">
        <f aca="false">H91*H57</f>
        <v>10697.4026181136</v>
      </c>
      <c r="K133" s="216"/>
      <c r="L133" s="63"/>
      <c r="M133" s="185" t="n">
        <f aca="false">N90*N57</f>
        <v>8244.55712648222</v>
      </c>
      <c r="N133" s="103" t="n">
        <f aca="false">IF(M105="YES", N89*N57, 0)</f>
        <v>631.638</v>
      </c>
      <c r="O133" s="221"/>
      <c r="P133" s="184" t="n">
        <f aca="false">N91*N57</f>
        <v>8876.19512648222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1759.81861685199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0.33681</v>
      </c>
      <c r="H136" s="103" t="n">
        <f aca="false">IF(G105="YES", E15*0.000002, 0)</f>
        <v>0.11227</v>
      </c>
      <c r="I136" s="103"/>
      <c r="J136" s="103" t="n">
        <f aca="false">G136+H136</f>
        <v>0.44908</v>
      </c>
      <c r="K136" s="105"/>
      <c r="L136" s="63"/>
      <c r="M136" s="111" t="n">
        <f aca="false">E15*0.000006</f>
        <v>0.33681</v>
      </c>
      <c r="N136" s="103" t="n">
        <f aca="false">IF(M105="YES", E15*0.000002, 0)</f>
        <v>0.11227</v>
      </c>
      <c r="O136" s="103"/>
      <c r="P136" s="103" t="n">
        <f aca="false">M136+N136</f>
        <v>0.44908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1694.64961685199</v>
      </c>
      <c r="B137" s="38" t="n">
        <f aca="false">IF(A105="YES", B89, 0)</f>
        <v>65.169</v>
      </c>
      <c r="C137" s="317"/>
      <c r="D137" s="38" t="n">
        <f aca="false">B91</f>
        <v>1759.81861685199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905.484375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905.484375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39.9492</v>
      </c>
      <c r="B140" s="343" t="n">
        <f aca="false">IF(A105="YES", G18*0.000002, 0)*1.2*100</f>
        <v>13.3164</v>
      </c>
      <c r="C140" s="317"/>
      <c r="D140" s="343" t="n">
        <f aca="false">A140+B140</f>
        <v>53.2656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1040.565375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1040.565375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1086.58125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1239.20775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1782.90043635226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1479.3658544137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1759.81861685199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1694.64961685199</v>
      </c>
      <c r="B177" s="355" t="n">
        <f aca="false">IF(A105="YES", B89, 0)</f>
        <v>65.169</v>
      </c>
      <c r="C177" s="357"/>
      <c r="D177" s="355" t="n">
        <f aca="false">B91</f>
        <v>1759.81861685199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Monthly in advance</v>
      </c>
      <c r="B180" s="103" t="n">
        <f aca="false">B90*B57</f>
        <v>1694.64961685199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1759.81861685199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1694.64961685199</v>
      </c>
      <c r="B186" s="103" t="n">
        <f aca="false">IF(A105="YES", B89, 0)</f>
        <v>65.169</v>
      </c>
      <c r="C186" s="353"/>
      <c r="D186" s="103" t="n">
        <f aca="false">B91</f>
        <v>1759.81861685199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39.9492</v>
      </c>
      <c r="B189" s="365" t="n">
        <f aca="false">IF(A105="YES", G18*0.000002, 0)*1.2*100</f>
        <v>13.3164</v>
      </c>
      <c r="C189" s="353"/>
      <c r="D189" s="365" t="n">
        <f aca="false">A189+B189</f>
        <v>53.2656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1086.58125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1239.20775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1086.58125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9539.77375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1086.58125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9539.77375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498.226987354485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388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45281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str">
        <f aca="false">IF(A32=Z101,A41,IF(A32=Z102,A41,IF(A32=Z103,(A41*3),IF(A32=Z104,(A41*6),IF(A32=Z105,(A41*9),IF(A32=Z106,(A41*12),IF(A32=Z107,A41,IF(A32=Z108,A41,IF(A32=Z109,A41,0)))))))))</f>
        <v>70</v>
      </c>
      <c r="E32" s="226"/>
      <c r="F32" s="63"/>
      <c r="G32" s="227" t="s">
        <v>244</v>
      </c>
      <c r="H32" s="225" t="str">
        <f aca="false">A41</f>
        <v>70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570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389</v>
      </c>
      <c r="B41" s="241" t="n">
        <f aca="false">IF(B38="YES", D38+A41, D38)</f>
        <v>570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s">
        <v>350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70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571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840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571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70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100.8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1272.49258941778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100.8</v>
      </c>
      <c r="I130" s="177"/>
      <c r="J130" s="334" t="n">
        <f aca="false">H91</f>
        <v>1272.49258941778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Monthly in advance</v>
      </c>
      <c r="B131" s="38" t="n">
        <f aca="false">B90*B57</f>
        <v>957.259031419479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100.8</v>
      </c>
      <c r="I133" s="221"/>
      <c r="J133" s="184" t="n">
        <f aca="false">H91*H57</f>
        <v>1272.49258941778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957.259031419479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10.08</v>
      </c>
      <c r="H142" s="103" t="n">
        <f aca="false">G102-100</f>
        <v>139.988</v>
      </c>
      <c r="I142" s="103"/>
      <c r="J142" s="103" t="n">
        <f aca="false">(H139+J139+G142+H142)-H145</f>
        <v>1519.493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1272.49258941778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Monthly in advance</v>
      </c>
      <c r="B174" s="103" t="n">
        <f aca="false">B90*B57</f>
        <v>957.259031419479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957.259031419479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2023-11-24T11:51:20Z</dcterms:modified>
  <cp:revision>895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