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<sst xmlns="http://schemas.openxmlformats.org/spreadsheetml/2006/main" count="34035" uniqueCount="421">
  <si>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</si>
  <si>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</si>
  <si>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</si>
  <si>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</si>
  <si>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</si>
  <si>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</si>
  <si>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</si>
  <si>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</si>
  <si>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</si>
  <si>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</si>
  <si>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</si>
  <si>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</si>
  <si>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</si>
  <si>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</si>
  <si>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</si>
  <si>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</si>
  <si>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</si>
  <si>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</si>
  <si>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</si>
  <si>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</si>
  <si>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</si>
  <si>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</si>
  <si>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</si>
  <si>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</si>
  <si>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</si>
  <si>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</si>
  <si>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</si>
  <si>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</si>
  <si>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</si>
  <si>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</si>
  <si>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</si>
  <si>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</si>
  <si>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</si>
  <si>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</si>
  <si>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</si>
  <si>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</si>
  <si>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</si>
  <si>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</si>
  <si>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</si>
  <si>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</si>
  <si>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</si>
  <si>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</si>
  <si>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</si>
  <si>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</si>
  <si>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</si>
  <si>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</si>
  <si>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</si>
  <si>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</si>
  <si>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</si>
  <si>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</si>
  <si>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</si>
  <si>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</si>
  <si>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</si>
  <si>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</si>
  <si>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</si>
  <si>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</si>
  <si>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</si>
  <si>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</si>
  <si>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</si>
  <si>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</si>
  <si>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</si>
  <si>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</si>
  <si>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</si>
  <si>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</si>
  <si>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</si>
  <si>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</si>
  <si>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</si>
  <si>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</si>
  <si>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</si>
  <si>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</si>
  <si>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</si>
  <si>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</si>
  <si>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</si>
  <si>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</si>
  <si>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</si>
  <si>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</si>
  <si>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</si>
  <si>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</si>
  <si>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</si>
  <si>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</si>
  <si>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</si>
  <si>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</si>
  <si>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</si>
  <si>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</si>
  <si>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</si>
  <si>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</si>
  <si>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</si>
  <si>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</si>
  <si>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</si>
  <si>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</si>
  <si>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</si>
  <si>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</si>
  <si>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</si>
  <si>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</si>
  <si>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</si>
  <si>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</si>
  <si>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</si>
  <si>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</si>
  <si>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</si>
  <si>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</si>
  <si>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</si>
  <si>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</si>
  <si>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</si>
  <si>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</si>
  <si>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</si>
  <si>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</si>
  <si>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</si>
  <si>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</si>
  <si>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</si>
  <si>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</si>
  <si>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</si>
  <si>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</si>
  <si>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</si>
  <si>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</si>
  <si>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</si>
  <si>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</si>
  <si>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</si>
  <si>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</si>
  <si>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</si>
  <si>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</si>
  <si>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</si>
  <si>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</si>
  <si>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</si>
  <si>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</si>
  <si>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</si>
  <si>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</si>
  <si>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</si>
  <si>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</si>
  <si>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</si>
  <si>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</si>
  <si>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</si>
  <si>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</si>
  <si>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</si>
  <si>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</si>
  <si>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</si>
  <si>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</si>
  <si>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</si>
  <si>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</si>
  <si>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</si>
  <si>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</si>
  <si>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</si>
  <si>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</si>
  <si>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</si>
  <si>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</si>
  <si>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</si>
  <si>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</si>
  <si>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</si>
  <si>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</si>
  <si>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</si>
  <si>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</si>
  <si>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</si>
  <si>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</si>
  <si>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</si>
  <si>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</si>
  <si>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</si>
  <si>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</si>
  <si>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</si>
  <si>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</si>
  <si>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</si>
  <si>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</si>
  <si>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</si>
  <si>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</si>
  <si>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</si>
  <si>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</si>
  <si>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</si>
  <si>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</si>
  <si>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</si>
  <si>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</si>
  <si>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</si>
  <si>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</si>
  <si>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</si>
  <si>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</si>
  <si>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</si>
  <si>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</si>
  <si>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</si>
  <si>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</si>
  <si>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</si>
  <si>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</si>
  <si>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</si>
  <si>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</si>
  <si>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</si>
  <si>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</si>
  <si>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</si>
  <si>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</si>
  <si>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</si>
  <si>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</si>
  <si>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</si>
  <si>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</si>
  <si>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</si>
  <si>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</si>
  <si>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</si>
  <si>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</si>
  <si>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</si>
  <si>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</si>
  <si>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</si>
  <si>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</si>
  <si>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</si>
  <si>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</si>
  <si>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</si>
  <si>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</si>
  <si>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</si>
  <si>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</si>
  <si>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</si>
  <si>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</si>
  <si>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</si>
  <si>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</si>
  <si>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</si>
  <si>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</si>
  <si>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</si>
  <si>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</si>
  <si>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</si>
  <si>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</si>
  <si>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</si>
  <si>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</si>
  <si>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</si>
  <si>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</si>
  <si>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</si>
  <si>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</si>
  <si>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</si>
  <si>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</si>
  <si>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</si>
  <si>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</si>
  <si>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</si>
  <si>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</si>
  <si>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</si>
  <si>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</si>
  <si>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</si>
  <si>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</si>
  <si>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</si>
  <si>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</si>
  <si>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</si>
  <si>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</si>
  <si>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</si>
  <si>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</si>
  <si>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</si>
  <si>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</si>
  <si>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</si>
  <si>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</si>
  <si>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</si>
  <si>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</si>
  <si>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</si>
  <si>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</si>
  <si>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</si>
  <si>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</si>
  <si>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</si>
  <si>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</si>
  <si>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</si>
  <si>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</si>
  <si>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</si>
  <si>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</si>
  <si>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</si>
  <si>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</si>
  <si>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</si>
  <si>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</si>
  <si>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</si>
  <si>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</si>
  <si>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</si>
  <si>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</si>
  <si>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</si>
  <si>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</si>
  <si>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</si>
  <si>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</si>
  <si>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</si>
  <si>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</si>
  <si>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</si>
  <si>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</si>
  <si>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</si>
  <si>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</si>
  <si>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</si>
  <si>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</si>
  <si>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</si>
  <si>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</si>
  <si>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</si>
  <si>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</si>
  <si>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</si>
  <si>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</si>
  <si>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</si>
  <si>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</si>
  <si>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</si>
  <si>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</si>
  <si>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</si>
  <si>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</si>
  <si>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</si>
  <si>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</si>
  <si>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</si>
  <si>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</si>
  <si>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</si>
  <si>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</si>
  <si>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</si>
  <si>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</si>
  <si>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</si>
  <si>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</si>
  <si>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</si>
  <si>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</si>
  <si>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</si>
  <si>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</si>
  <si>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</si>
  <si>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</si>
  <si>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</si>
  <si>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</si>
  <si>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</si>
  <si>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</si>
  <si>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</si>
  <si>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</si>
  <si>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</si>
  <si>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</si>
  <si>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</si>
  <si>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</si>
  <si>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</si>
  <si>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</si>
  <si>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</si>
  <si>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</si>
  <si>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</si>
  <si>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</si>
  <si>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</si>
  <si>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</si>
  <si>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</si>
  <si>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</si>
  <si>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</si>
  <si>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</si>
  <si>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</si>
  <si>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</si>
  <si>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</si>
  <si>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</si>
  <si>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</si>
  <si>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</si>
  <si>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</si>
  <si>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</si>
  <si>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</si>
  <si>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</si>
  <si>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</si>
  <si>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</si>
  <si>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</si>
  <si>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</si>
  <si>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</si>
  <si>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</si>
  <si>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</si>
  <si>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</si>
  <si>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</si>
  <si>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</si>
  <si>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</si>
  <si>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</si>
  <si>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</si>
  <si>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</si>
  <si>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</si>
  <si>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</si>
  <si>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</si>
  <si>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</si>
  <si>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</si>
  <si>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</si>
  <si>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</si>
  <si>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</si>
  <si>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</si>
  <si>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</si>
  <si>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</si>
  <si>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</si>
  <si>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</si>
  <si>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</si>
  <si>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</si>
  <si>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</si>
  <si>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</si>
  <si>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</si>
  <si>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</si>
  <si>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</si>
  <si>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</si>
  <si>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</si>
  <si>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</si>
  <si>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</si>
  <si>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</si>
  <si>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</si>
  <si>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</si>
  <si>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</si>
  <si>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</si>
  <si>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</si>
  <si>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</si>
  <si>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</si>
  <si>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</si>
  <si>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</si>
  <si>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</si>
  <si>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</si>
  <si>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</si>
  <si>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</si>
  <si>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</si>
  <si>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</si>
  <si>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</si>
  <si>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5.28</t>
  </si>
  <si>
    <t xml:space="preserve">48887.50</t>
  </si>
  <si>
    <t xml:space="preserve">470.00</t>
  </si>
  <si>
    <t xml:space="preserve">RFL included?</t>
  </si>
  <si>
    <t>YES</t>
  </si>
  <si>
    <t>500</t>
  </si>
  <si>
    <t>5.28</t>
  </si>
  <si>
    <t>12</t>
  </si>
  <si>
    <t>NO</t>
  </si>
  <si>
    <t>48887.50</t>
  </si>
  <si>
    <t>1000</t>
  </si>
  <si>
    <t>33</t>
  </si>
  <si>
    <t>5000</t>
  </si>
  <si>
    <t>470.00</t>
  </si>
  <si>
    <t>239.99</t>
  </si>
  <si>
    <t>Limited Credit</t>
  </si>
  <si>
    <t>200</t>
  </si>
  <si>
    <t xml:space="preserve"> Terminal pause with 6 down </t>
  </si>
  <si>
    <t>0</t>
  </si>
  <si>
    <t>50</t>
  </si>
  <si>
    <t>A1 Credit</t>
  </si>
  <si>
    <t>199.99</t>
  </si>
  <si>
    <t>60</t>
  </si>
  <si>
    <t>100</t>
  </si>
  <si>
    <t>6000</t>
  </si>
  <si>
    <t>10</t>
  </si>
  <si>
    <t>1</t>
  </si>
  <si>
    <t>20</t>
  </si>
  <si>
    <t>40</t>
  </si>
  <si>
    <t>70</t>
  </si>
  <si>
    <t>30</t>
  </si>
  <si>
    <t>2</t>
  </si>
  <si>
    <t>107.00</t>
  </si>
  <si>
    <t>8.92</t>
  </si>
  <si>
    <t>Yes</t>
  </si>
  <si>
    <t>43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</si>
</sst>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392</v>
      </c>
      <c r="B34" s="32"/>
      <c r="C34" s="41" t="s">
        <v>397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395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11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404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389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389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404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403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418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10875.0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16950.0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943.9200000000001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48887.5</v>
      </c>
      <c r="B35" s="223" t="s">
        <v>395</v>
      </c>
      <c r="C35" s="223"/>
      <c r="D35" s="279" t="n">
        <f aca="false">A35-B35</f>
        <v>47887.5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410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-167.958333333333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5421.95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451.829166666667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360.626156716418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393</v>
      </c>
      <c r="B111" s="312" t="n">
        <v>0.0</v>
      </c>
      <c r="C111" s="312"/>
      <c r="D111" s="107" t="s">
        <v>401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78</v>
      </c>
      <c r="C134" s="325"/>
      <c r="D134" s="321" t="n">
        <f aca="false">B97</f>
        <v>360.626156716418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2543.63541044776</v>
      </c>
      <c r="C137" s="317"/>
      <c r="D137" s="38" t="n">
        <f aca="false">IF(A111="YES", B95*B63, 0)</f>
        <v>702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3245.63541044776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78</v>
      </c>
      <c r="C143" s="317"/>
      <c r="D143" s="38" t="n">
        <f aca="false">B97</f>
        <v>360.626156716418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360.626156716418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78</v>
      </c>
      <c r="C177" s="357"/>
      <c r="D177" s="355" t="n">
        <f aca="false">A177+B177</f>
        <v>360.626156716418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2543.63541044776</v>
      </c>
      <c r="C180" s="353"/>
      <c r="D180" s="103" t="n">
        <f aca="false">IF(A111="YES", B95*B63, 0)</f>
        <v>702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3245.63541044776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78</v>
      </c>
      <c r="C186" s="353"/>
      <c r="D186" s="103" t="n">
        <f aca="false">B97</f>
        <v>360.626156716418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1096.84166666667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3993.09166666667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3993.09166666667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13.0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395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404</v>
      </c>
      <c r="B41" s="104" t="s">
        <v>409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412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20.0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396</v>
      </c>
      <c r="B34" s="32"/>
      <c r="C34" s="41" t="s">
        <v>397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32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393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396</v>
      </c>
      <c r="B34" s="32"/>
      <c r="C34" s="41" t="s">
        <v>397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395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32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s">
        <v>404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601.138846655038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601.138846655038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601.138846655038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601.138846655038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601.138846655038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601.138846655038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407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416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4" t="n">
        <v>30.0</v>
      </c>
      <c r="C111" s="314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500.0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15.0</v>
      </c>
      <c r="C4" s="500" t="n">
        <v>15.0</v>
      </c>
      <c r="D4" s="50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403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404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14.2424242424242</v>
      </c>
      <c r="E32" s="226"/>
      <c r="F32" s="63"/>
      <c r="G32" s="227" t="s">
        <v>243</v>
      </c>
      <c r="H32" s="225" t="n">
        <f aca="false">A41</f>
        <v>14.2424242424242</v>
      </c>
      <c r="I32" s="0"/>
      <c r="J32" s="44" t="s">
        <v>37</v>
      </c>
      <c r="K32" s="263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514.242424242424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14.2424242424242</v>
      </c>
      <c r="B41" s="241" t="n">
        <f aca="false">IF(B38="YES", D38+A41, D38)</f>
        <v>514.242424242424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14.2424242424242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514.606060606061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514.606060606061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50211.1778333742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43507.6467407538</v>
      </c>
      <c r="C88" s="93" t="n">
        <f aca="false">B81-B86</f>
        <v>43507.6467407538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1585.18074668688</v>
      </c>
      <c r="C89" s="93" t="n">
        <f aca="false">(B88/B87)</f>
        <v>1585.18074668688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50725.7838939803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50725.7838939803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19.09375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1585.18074668688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1604.27449668688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1585.18074668688</v>
      </c>
      <c r="B167" s="177" t="n">
        <f aca="false">B94</f>
        <v>19.09375</v>
      </c>
      <c r="C167" s="174"/>
      <c r="D167" s="174"/>
      <c r="E167" s="177" t="n">
        <f aca="false">B96</f>
        <v>1604.27449668688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-1809.2161060197</v>
      </c>
      <c r="B182" s="103" t="str">
        <f aca="false">B114</f>
        <v>199.99</v>
      </c>
      <c r="C182" s="103"/>
      <c r="D182" s="23"/>
      <c r="E182" s="103" t="n">
        <f aca="false">E179+A182+(B182*1.2)+A185</f>
        <v>56975.7718939803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571.3946875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1604.27449668688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-5729.56</v>
      </c>
      <c r="B201" s="186" t="n">
        <f aca="false">E179+A201+(B182*1.2)+A185</f>
        <v>53055.428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1585.18074668688</v>
      </c>
      <c r="B212" s="177" t="n">
        <f aca="false">B167</f>
        <v>19.09375</v>
      </c>
      <c r="C212" s="174"/>
      <c r="D212" s="174"/>
      <c r="E212" s="177" t="n">
        <f aca="false">E167</f>
        <v>1604.27449668688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-1809.2161060197</v>
      </c>
      <c r="B224" s="103" t="str">
        <f aca="false">B182</f>
        <v>199.99</v>
      </c>
      <c r="C224" s="103"/>
      <c r="D224" s="113"/>
      <c r="E224" s="103" t="n">
        <f aca="false">E182</f>
        <v>56975.7718939803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1585.18074668688</v>
      </c>
      <c r="B230" s="103" t="n">
        <f aca="false">B167</f>
        <v>19.09375</v>
      </c>
      <c r="C230" s="186"/>
      <c r="D230" s="186"/>
      <c r="E230" s="103" t="n">
        <f aca="false">E167</f>
        <v>1604.27449668688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14.1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571.3946875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3930.3438939803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240.99</v>
      </c>
      <c r="C255" s="197"/>
      <c r="D255" s="198" t="s">
        <v>218</v>
      </c>
      <c r="E255" s="198"/>
      <c r="F255" s="200" t="n">
        <f aca="false">(B254-F254)+B255</f>
        <v>3622.5682689803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3930.3438939803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3622.5682689803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37.0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31000.0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8600.0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19200.0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405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99.3028235294118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2813.65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405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3382.5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1369.02804901647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1288.63804901647</v>
      </c>
      <c r="B36" s="232" t="n">
        <f aca="false">IF(B26="YES", K42, "0.00")</f>
        <v>80.39</v>
      </c>
      <c r="C36" s="232"/>
      <c r="D36" s="232"/>
      <c r="E36" s="232" t="n">
        <f aca="false">K31</f>
        <v>11520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30790.0061204858</v>
      </c>
      <c r="N39" s="1" t="n">
        <f aca="false">K39-L39</f>
        <v>18097.4938795142</v>
      </c>
      <c r="P39" s="212"/>
    </row>
    <row r="40" customFormat="false" ht="17.35" hidden="false" customHeight="false" outlineLevel="0" collapsed="false">
      <c r="A40" s="313" t="n">
        <f aca="false">E36*A45/100</f>
        <v>16475.0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106</v>
      </c>
      <c r="K40" s="2" t="n">
        <f aca="false">(A40)/1.2</f>
        <v>9600</v>
      </c>
      <c r="L40" s="2" t="n">
        <f aca="false">K39-L39</f>
        <v>18097.4938795142</v>
      </c>
      <c r="N40" s="1" t="n">
        <f aca="false">N38-N39</f>
        <v>-15185.8138795142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7903.3705791501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40984.1294208499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1288.63804901647</v>
      </c>
      <c r="L47" s="2" t="n">
        <f aca="false">L49-K42</f>
        <v>719.61</v>
      </c>
      <c r="M47" s="1" t="n">
        <f aca="false">K47-L47</f>
        <v>569.028049016467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1369.02804901647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1369.02804901647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-55198.3862458338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6111.29664506531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16830.2724240656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97.7129468273997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6.52777777256771E-005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1288.63804901647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1288.63804901647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1369.02804901647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1369.02804901647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0.00799999999361489</v>
      </c>
      <c r="C81" s="93"/>
      <c r="D81" s="93"/>
      <c r="E81" s="113"/>
      <c r="F81" s="25" t="s">
        <v>105</v>
      </c>
      <c r="G81" s="27" t="n">
        <f aca="false">G158</f>
        <v>0.00799999999361489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93"/>
      <c r="D82" s="93"/>
      <c r="E82" s="113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11520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11520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8894.73216699905</v>
      </c>
      <c r="C86" s="93"/>
      <c r="D86" s="93"/>
      <c r="E86" s="113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7877.982201189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7877.982201189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-8894.72416699905</v>
      </c>
      <c r="C88" s="93"/>
      <c r="D88" s="93"/>
      <c r="E88" s="113"/>
      <c r="F88" s="31" t="s">
        <v>112</v>
      </c>
      <c r="G88" s="33" t="n">
        <f aca="false">G81-G86</f>
        <v>-9535.4086037446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51506.455288811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37590.766798811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-296.942780301691</v>
      </c>
      <c r="C89" s="93"/>
      <c r="D89" s="93"/>
      <c r="E89" s="113"/>
      <c r="F89" s="31" t="s">
        <v>113</v>
      </c>
      <c r="G89" s="33" t="n">
        <f aca="false">(G88/G87)</f>
        <v>-307.82723882968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1821.5471805777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1329.41307830599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-10096.0545302575</v>
      </c>
      <c r="C90" s="93"/>
      <c r="D90" s="93"/>
      <c r="E90" s="113"/>
      <c r="F90" s="31" t="s">
        <v>114</v>
      </c>
      <c r="G90" s="33" t="n">
        <f aca="false">((G89*(G85))+G77)</f>
        <v>-10466.1261202091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61932.604139642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45200.0446624037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-10096.0545302575</v>
      </c>
      <c r="C92" s="93"/>
      <c r="D92" s="93"/>
      <c r="E92" s="113"/>
      <c r="F92" s="56" t="s">
        <v>116</v>
      </c>
      <c r="G92" s="65" t="n">
        <f aca="false">(G90+G91)</f>
        <v>-10466.1261202091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61932.604139642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45200.0446624037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99.3052941176471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99.3052941176471</v>
      </c>
      <c r="H94" s="33"/>
      <c r="J94" s="88" t="s">
        <v>117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-296.942780301691</v>
      </c>
      <c r="C95" s="93"/>
      <c r="D95" s="93"/>
      <c r="E95" s="113"/>
      <c r="F95" s="95" t="s">
        <v>118</v>
      </c>
      <c r="G95" s="96" t="n">
        <f aca="false">G92/(G85)</f>
        <v>-307.82723882968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1821.5471805777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1329.41307830599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-197.637486184043</v>
      </c>
      <c r="C96" s="93"/>
      <c r="D96" s="93"/>
      <c r="E96" s="113"/>
      <c r="F96" s="97" t="s">
        <v>119</v>
      </c>
      <c r="G96" s="98" t="n">
        <f aca="false">G94+G95</f>
        <v>-208.521944712033</v>
      </c>
      <c r="H96" s="33"/>
      <c r="J96" s="97" t="s">
        <v>119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1920.85247469535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1448.57943124717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14.0</v>
      </c>
      <c r="D122" s="123" t="n">
        <f aca="false">D4</f>
        <v>0</v>
      </c>
      <c r="E122" s="124" t="n">
        <v>14.0</v>
      </c>
      <c r="F122" s="123" t="n">
        <f aca="false">F4</f>
        <v>0</v>
      </c>
      <c r="G122" s="452" t="n">
        <v>14.0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6.0</v>
      </c>
      <c r="D123" s="130" t="n">
        <f aca="false">D5</f>
        <v>0</v>
      </c>
      <c r="E123" s="121" t="n">
        <v>6.0</v>
      </c>
      <c r="F123" s="130" t="n">
        <f aca="false">F5</f>
        <v>0</v>
      </c>
      <c r="G123" s="121" t="n">
        <v>9.0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48779.16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-1924.99000000001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-1091.66000000001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-108.332000000001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0.00799999999361489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0.00799999999361489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-48779.16</v>
      </c>
      <c r="I148" s="1" t="n">
        <f aca="false">(H148-G81)/1.2</f>
        <v>-40649.3066666667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0.00799999999361489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-296.942780301691</v>
      </c>
      <c r="B167" s="177" t="n">
        <f aca="false">B94</f>
        <v>99.3052941176471</v>
      </c>
      <c r="C167" s="174"/>
      <c r="D167" s="174"/>
      <c r="E167" s="177" t="n">
        <f aca="false">B96</f>
        <v>-197.637486184043</v>
      </c>
      <c r="F167" s="23"/>
      <c r="G167" s="23" t="n">
        <f aca="false">ROUND(G95, 2)</f>
        <v>-307.83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1821.5471805777</v>
      </c>
      <c r="T167" s="177" t="n">
        <f aca="false">T94</f>
        <v>99.3052941176471</v>
      </c>
      <c r="U167" s="174"/>
      <c r="V167" s="174"/>
      <c r="W167" s="177" t="n">
        <f aca="false">T96</f>
        <v>1920.85247469535</v>
      </c>
      <c r="X167" s="23"/>
      <c r="Y167" s="23"/>
      <c r="Z167" s="33"/>
      <c r="AB167" s="176" t="n">
        <f aca="false">AC95</f>
        <v>1329.41307830599</v>
      </c>
      <c r="AC167" s="177" t="n">
        <f aca="false">AC94</f>
        <v>119.166352941176</v>
      </c>
      <c r="AD167" s="174"/>
      <c r="AE167" s="174"/>
      <c r="AF167" s="177" t="n">
        <f aca="false">AC96</f>
        <v>1448.57943124717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11520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11520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11520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-541.660000000005</v>
      </c>
      <c r="B173" s="103" t="n">
        <f aca="false">H137</f>
        <v>-108.332000000001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0.00799999999361489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0.00799999999361489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1423.93746974253</v>
      </c>
      <c r="B182" s="103" t="str">
        <f aca="false">B114</f>
        <v>199.99</v>
      </c>
      <c r="C182" s="103"/>
      <c r="D182" s="23"/>
      <c r="E182" s="103" t="n">
        <f aca="false">E179+A182+(B182*1.2)+A185</f>
        <v>1673.93346974252</v>
      </c>
      <c r="F182" s="23"/>
      <c r="G182" s="23"/>
      <c r="H182" s="105"/>
      <c r="J182" s="111" t="n">
        <f aca="false">(J167*K59)+N185-N179-J185</f>
        <v>25078.6283606416</v>
      </c>
      <c r="K182" s="103" t="n">
        <f aca="false">K114</f>
        <v>239.99</v>
      </c>
      <c r="L182" s="103"/>
      <c r="M182" s="23"/>
      <c r="N182" s="103" t="n">
        <f aca="false">N179+J182+K182+J185</f>
        <v>62993.6183606416</v>
      </c>
      <c r="O182" s="23"/>
      <c r="P182" s="23"/>
      <c r="Q182" s="105"/>
      <c r="S182" s="111" t="n">
        <f aca="false">(S167*T59)+W185-W179-S185</f>
        <v>14068.166649642</v>
      </c>
      <c r="T182" s="103" t="n">
        <f aca="false">T114</f>
        <v>199.99</v>
      </c>
      <c r="U182" s="103"/>
      <c r="V182" s="23"/>
      <c r="W182" s="103" t="n">
        <f aca="false">W179+S182+T182+S185</f>
        <v>73662.594139642</v>
      </c>
      <c r="X182" s="23"/>
      <c r="Y182" s="23"/>
      <c r="Z182" s="105"/>
      <c r="AB182" s="111" t="n">
        <f aca="false">(AB167*AC59)+AF185-AF179-AB185</f>
        <v>11251.2956624037</v>
      </c>
      <c r="AC182" s="103" t="n">
        <f aca="false">AC114</f>
        <v>239.99</v>
      </c>
      <c r="AD182" s="103"/>
      <c r="AE182" s="23"/>
      <c r="AF182" s="103" t="n">
        <f aca="false">AF179+AB182+AC182+AB185</f>
        <v>56970.0346624037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11530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11540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11530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11530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6.52777777256771E-005</v>
      </c>
      <c r="C188" s="93"/>
      <c r="D188" s="93"/>
      <c r="E188" s="103" t="n">
        <f aca="false">(E40*A108)*0.1*(C45/100)</f>
        <v>56.273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156.263065277778</v>
      </c>
      <c r="C191" s="93"/>
      <c r="D191" s="93"/>
      <c r="E191" s="103" t="n">
        <f aca="false">H148</f>
        <v>-48779.16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-197.637486184043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1920.85247469535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1448.57943124717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1053.77200000001</v>
      </c>
      <c r="B201" s="186" t="n">
        <f aca="false">E179+A201+(B182*1.2)+A185</f>
        <v>1303.768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-296.942780301691</v>
      </c>
      <c r="B212" s="177" t="n">
        <f aca="false">B167</f>
        <v>99.3052941176471</v>
      </c>
      <c r="C212" s="174"/>
      <c r="D212" s="174"/>
      <c r="E212" s="177" t="n">
        <f aca="false">E167</f>
        <v>-197.637486184043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-541.660000000005</v>
      </c>
      <c r="B215" s="103" t="n">
        <f aca="false">B173</f>
        <v>-108.332000000001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0.00799999999361489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0.00799999999361489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1423.93746974253</v>
      </c>
      <c r="B224" s="103" t="str">
        <f aca="false">B182</f>
        <v>199.99</v>
      </c>
      <c r="C224" s="103"/>
      <c r="D224" s="113"/>
      <c r="E224" s="103" t="n">
        <f aca="false">E182</f>
        <v>1673.93346974252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-296.942780301691</v>
      </c>
      <c r="B230" s="103" t="n">
        <f aca="false">B167</f>
        <v>99.3052941176471</v>
      </c>
      <c r="C230" s="186"/>
      <c r="D230" s="186"/>
      <c r="E230" s="103" t="n">
        <f aca="false">E167</f>
        <v>-197.637486184043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11520</v>
      </c>
      <c r="B233" s="103" t="n">
        <f aca="false">E185</f>
        <v>11530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-48779.16</v>
      </c>
      <c r="B240" s="103" t="n">
        <f aca="false">B68</f>
        <v>6.52777777256771E-005</v>
      </c>
      <c r="C240" s="93"/>
      <c r="D240" s="93"/>
      <c r="E240" s="103" t="n">
        <f aca="false">E188</f>
        <v>56.273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-48622.8969347222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380.16546974252</v>
      </c>
      <c r="C254" s="197"/>
      <c r="D254" s="198" t="s">
        <v>216</v>
      </c>
      <c r="E254" s="198"/>
      <c r="F254" s="200" t="n">
        <f aca="false">F261+F267+F269+B270+B271</f>
        <v>7.83333332708125E-005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662.72</v>
      </c>
      <c r="C255" s="197"/>
      <c r="D255" s="198" t="s">
        <v>218</v>
      </c>
      <c r="E255" s="198"/>
      <c r="F255" s="200" t="n">
        <f aca="false">(B254-F254)+B255</f>
        <v>1042.88539140919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380.16546974252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7.83333332708125E-005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562.73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1042.88539140919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19837.5</v>
      </c>
      <c r="C3" s="498" t="n">
        <v>479.17</v>
      </c>
      <c r="D3" s="263" t="n">
        <v>500.0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15.0</v>
      </c>
      <c r="C4" s="0" t="n">
        <v>15.0</v>
      </c>
      <c r="D4" s="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11275.0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3491.6000000000004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-4549.56428780247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212.433601190476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215"/>
      <c r="D83" s="215"/>
      <c r="E83" s="216"/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174.174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1520.89095238771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389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174.174</v>
      </c>
      <c r="C128" s="325"/>
      <c r="D128" s="321" t="n">
        <f aca="false">B91</f>
        <v>1520.89095238771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12120.4525714894</v>
      </c>
      <c r="C131" s="317"/>
      <c r="D131" s="38" t="n">
        <f aca="false">IF(A105="YES", B89*B57, 0)</f>
        <v>1567.566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13688.0185714894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174.174</v>
      </c>
      <c r="C137" s="317"/>
      <c r="D137" s="38" t="n">
        <f aca="false">B91</f>
        <v>1520.89095238771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1520.89095238771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174.174</v>
      </c>
      <c r="C177" s="357"/>
      <c r="D177" s="355" t="n">
        <f aca="false">B91</f>
        <v>1520.89095238771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12120.4525714894</v>
      </c>
      <c r="C180" s="353"/>
      <c r="D180" s="103" t="n">
        <f aca="false">IF(A105="YES", B89*B57, 0)</f>
        <v>1567.566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13688.0185714894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174.174</v>
      </c>
      <c r="C186" s="353"/>
      <c r="D186" s="103" t="n">
        <f aca="false">B91</f>
        <v>1520.89095238771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1774.25025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29500.0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1250.6624553455</v>
      </c>
      <c r="E33" s="216"/>
      <c r="F33" s="63"/>
      <c r="G33" s="219" t="s">
        <v>356</v>
      </c>
      <c r="H33" s="460" t="n">
        <f aca="false">E21-E11+((E16*20%)+(E19*20%)+(E20*20%))</f>
        <v>48687.5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1116.6824553455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-4749.56428780247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35515.2157014165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1116.6824553455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1250.6624553455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1250.6624553455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1116.6824553455</v>
      </c>
      <c r="C83" s="215"/>
      <c r="D83" s="215"/>
      <c r="E83" s="466" t="n">
        <f aca="false">B83+E80+E77+E64</f>
        <v>1352.48113590105</v>
      </c>
      <c r="F83" s="63"/>
      <c r="G83" s="305" t="s">
        <v>104</v>
      </c>
      <c r="H83" s="306" t="n">
        <f aca="false">H47</f>
        <v>1116.6824553455</v>
      </c>
      <c r="I83" s="215"/>
      <c r="J83" s="215"/>
      <c r="K83" s="216"/>
      <c r="L83" s="63"/>
      <c r="M83" s="305" t="s">
        <v>104</v>
      </c>
      <c r="N83" s="306" t="n">
        <f aca="false">H47</f>
        <v>1116.6824553455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57070.8743745109</v>
      </c>
      <c r="C85" s="215"/>
      <c r="D85" s="215"/>
      <c r="E85" s="466" t="n">
        <f aca="false">B85/(B58+B57)</f>
        <v>1630.59641070031</v>
      </c>
      <c r="F85" s="63"/>
      <c r="G85" s="288" t="s">
        <v>114</v>
      </c>
      <c r="H85" s="131" t="n">
        <f aca="false">((H83*H29)+H81)*1.2</f>
        <v>55349.8743745109</v>
      </c>
      <c r="I85" s="215"/>
      <c r="J85" s="215"/>
      <c r="K85" s="216"/>
      <c r="L85" s="63"/>
      <c r="M85" s="288" t="s">
        <v>114</v>
      </c>
      <c r="N85" s="131" t="n">
        <f aca="false">((N83*H29)+N81)</f>
        <v>45794.8953120924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402.880315269843</v>
      </c>
      <c r="C86" s="215"/>
      <c r="D86" s="215"/>
      <c r="E86" s="466" t="n">
        <f aca="false">B86/(B58+B57)</f>
        <v>11.510866150567</v>
      </c>
      <c r="F86" s="63"/>
      <c r="G86" s="214" t="s">
        <v>115</v>
      </c>
      <c r="H86" s="300" t="n">
        <f aca="false">((((H83*H29)+H81))/(1-H70))*H70</f>
        <v>390.731263232732</v>
      </c>
      <c r="I86" s="215"/>
      <c r="J86" s="215"/>
      <c r="K86" s="216"/>
      <c r="L86" s="63"/>
      <c r="M86" s="214" t="s">
        <v>115</v>
      </c>
      <c r="N86" s="300" t="n">
        <f aca="false">(N85/(1-N70))*N70</f>
        <v>387.935781183518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57473.7546897808</v>
      </c>
      <c r="C87" s="215"/>
      <c r="D87" s="215"/>
      <c r="E87" s="466" t="n">
        <f aca="false">E86+E85</f>
        <v>1642.10727685088</v>
      </c>
      <c r="F87" s="63"/>
      <c r="G87" s="285" t="s">
        <v>116</v>
      </c>
      <c r="H87" s="133" t="n">
        <f aca="false">IF(H110="YES",((H85+H86)-K114),(H85+H86))</f>
        <v>55740.6056377437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46182.831093276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209.0088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1642.10727685088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1393.51514094359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1154.5707773319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1851.11607685088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1562.32994094359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1295.2497773319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1393.51514094359</v>
      </c>
      <c r="H127" s="177" t="n">
        <f aca="false">IF(G105="YES", H89*H57, 0)</f>
        <v>1012.8888</v>
      </c>
      <c r="I127" s="177"/>
      <c r="J127" s="334" t="n">
        <f aca="false">H91</f>
        <v>1562.32994094359</v>
      </c>
      <c r="K127" s="216"/>
      <c r="L127" s="63"/>
      <c r="M127" s="333" t="n">
        <f aca="false">N90</f>
        <v>1154.5707773319</v>
      </c>
      <c r="N127" s="177" t="n">
        <f aca="false">IF(M105="YES", N89*N57, 0)</f>
        <v>844.074</v>
      </c>
      <c r="O127" s="177"/>
      <c r="P127" s="177" t="n">
        <f aca="false">N91</f>
        <v>1295.2497773319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1642.10727685088</v>
      </c>
      <c r="B128" s="321" t="n">
        <f aca="false">IF(A105="YES", B89, 0)</f>
        <v>209.0088</v>
      </c>
      <c r="C128" s="325"/>
      <c r="D128" s="321" t="n">
        <f aca="false">B91</f>
        <v>1851.11607685088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14778.9654916579</v>
      </c>
      <c r="C131" s="317"/>
      <c r="D131" s="38" t="n">
        <f aca="false">IF(A105="YES", B89*B57, 0)</f>
        <v>1881.0792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8361.09084566155</v>
      </c>
      <c r="H133" s="103" t="n">
        <f aca="false">IF(G105="YES", H89*H57, 0)</f>
        <v>1012.8888</v>
      </c>
      <c r="I133" s="221"/>
      <c r="J133" s="184" t="n">
        <f aca="false">H91*H57</f>
        <v>9373.97964566155</v>
      </c>
      <c r="K133" s="216"/>
      <c r="L133" s="63"/>
      <c r="M133" s="185" t="n">
        <f aca="false">N90*N57</f>
        <v>6927.42466399139</v>
      </c>
      <c r="N133" s="103" t="n">
        <f aca="false">IF(M105="YES", N89*N57, 0)</f>
        <v>844.074</v>
      </c>
      <c r="O133" s="221"/>
      <c r="P133" s="184" t="n">
        <f aca="false">N91*N57</f>
        <v>7771.4986639914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16660.0446916579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1642.10727685088</v>
      </c>
      <c r="B137" s="38" t="n">
        <f aca="false">IF(A105="YES", B89, 0)</f>
        <v>209.0088</v>
      </c>
      <c r="C137" s="317"/>
      <c r="D137" s="38" t="n">
        <f aca="false">B91</f>
        <v>1851.11607685088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1774.25191666667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1562.32994094359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1295.2497773319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1851.11607685088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1642.10727685088</v>
      </c>
      <c r="B177" s="355" t="n">
        <f aca="false">IF(A105="YES", B89, 0)</f>
        <v>209.0088</v>
      </c>
      <c r="C177" s="357"/>
      <c r="D177" s="355" t="n">
        <f aca="false">B91</f>
        <v>1851.11607685088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14778.9654916579</v>
      </c>
      <c r="C180" s="353"/>
      <c r="D180" s="103" t="n">
        <f aca="false">IF(A105="YES", B89*B57, 0)</f>
        <v>1881.0792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16660.0446916579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1642.10727685088</v>
      </c>
      <c r="B186" s="103" t="n">
        <f aca="false">IF(A105="YES", B89, 0)</f>
        <v>209.0088</v>
      </c>
      <c r="C186" s="353"/>
      <c r="D186" s="103" t="n">
        <f aca="false">B91</f>
        <v>1851.11607685088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1774.25191666667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402.880315269843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1189.96092879718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66.99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55567.6290588786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66.99</v>
      </c>
      <c r="C40" s="107"/>
      <c r="D40" s="184" t="n">
        <f aca="false">I32</f>
        <v>2344.65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-6680.12905887858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66.99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1189.96092879718</v>
      </c>
      <c r="I48" s="238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1189.96092879718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5993.509375</v>
      </c>
      <c r="C64" s="465" t="n">
        <v>10000.0</v>
      </c>
      <c r="D64" s="291" t="n">
        <f aca="false">B64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7808.509375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223.100267857143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473"/>
      <c r="D83" s="215"/>
      <c r="E83" s="466" t="n">
        <f aca="false">B83+E80+E77+E64</f>
        <v>1346.07119665432</v>
      </c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47112.4918829013</v>
      </c>
      <c r="C85" s="473"/>
      <c r="D85" s="473"/>
      <c r="E85" s="466" t="n">
        <f aca="false">B85/(B58+B57)</f>
        <v>1346.07119665432</v>
      </c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399.097349552613</v>
      </c>
      <c r="C86" s="473" t="s">
        <v>230</v>
      </c>
      <c r="D86" s="215"/>
      <c r="E86" s="466" t="n">
        <f aca="false">B86/(B58+B57)</f>
        <v>11.4027814157889</v>
      </c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47511.5892324539</v>
      </c>
      <c r="C87" s="473"/>
      <c r="D87" s="475"/>
      <c r="E87" s="466" t="n">
        <f aca="false">E86+E85</f>
        <v>1357.47397807011</v>
      </c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80.388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84.4074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70.3395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1357.47397807011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1437.86197807011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1484.57204988701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1230.45930342127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393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506.4444</v>
      </c>
      <c r="I127" s="177"/>
      <c r="J127" s="334" t="n">
        <f aca="false">H91</f>
        <v>1484.57204988701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422.037</v>
      </c>
      <c r="O127" s="177"/>
      <c r="P127" s="177" t="n">
        <f aca="false">N91</f>
        <v>1230.45930342127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1357.47397807011</v>
      </c>
      <c r="B128" s="321" t="n">
        <f aca="false">IF(A105="YES", B89, 0)</f>
        <v>80.388</v>
      </c>
      <c r="C128" s="325"/>
      <c r="D128" s="321" t="n">
        <f aca="false">B91</f>
        <v>1437.86197807011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1357.47397807011</v>
      </c>
      <c r="C131" s="317"/>
      <c r="D131" s="38" t="n">
        <f aca="false">IF(A105="YES", B89*B57, 0)</f>
        <v>80.388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506.4444</v>
      </c>
      <c r="I133" s="221"/>
      <c r="J133" s="184" t="n">
        <f aca="false">H91*H57</f>
        <v>8907.43229932205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422.037</v>
      </c>
      <c r="O133" s="221"/>
      <c r="P133" s="184" t="n">
        <f aca="false">N91*N57</f>
        <v>7382.75582052763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1437.86197807011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1357.47397807011</v>
      </c>
      <c r="B137" s="38" t="n">
        <f aca="false">IF(A105="YES", B89, 0)</f>
        <v>80.388</v>
      </c>
      <c r="C137" s="317"/>
      <c r="D137" s="38" t="n">
        <f aca="false">B91</f>
        <v>1437.86197807011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46.893</v>
      </c>
      <c r="H142" s="103" t="n">
        <f aca="false">G102-100</f>
        <v>99.99</v>
      </c>
      <c r="I142" s="103"/>
      <c r="J142" s="103" t="n">
        <f aca="false">(H139+J139+G142+H142)-H145</f>
        <v>1091.53404166667</v>
      </c>
      <c r="K142" s="105"/>
      <c r="L142" s="63"/>
      <c r="M142" s="111" t="n">
        <f aca="false">IF(M105="YES", ((B36*N105)*0.1)*(M130), 0)</f>
        <v>46.893</v>
      </c>
      <c r="N142" s="103" t="n">
        <f aca="false">M102-100</f>
        <v>99.99</v>
      </c>
      <c r="O142" s="103"/>
      <c r="P142" s="103" t="n">
        <f aca="false">(N139+P139+M142+N142)-N145</f>
        <v>1091.53404166667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46.893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1484.57204988701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1230.45930342127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1437.86197807011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1357.47397807011</v>
      </c>
      <c r="B177" s="355" t="n">
        <f aca="false">IF(A105="YES", B89, 0)</f>
        <v>80.388</v>
      </c>
      <c r="C177" s="357"/>
      <c r="D177" s="355" t="n">
        <f aca="false">B91</f>
        <v>1437.86197807011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1357.47397807011</v>
      </c>
      <c r="C180" s="353"/>
      <c r="D180" s="103" t="n">
        <f aca="false">IF(A105="YES", B89*B57, 0)</f>
        <v>80.388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1437.86197807011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1357.47397807011</v>
      </c>
      <c r="B186" s="103" t="n">
        <f aca="false">IF(A105="YES", B89, 0)</f>
        <v>80.388</v>
      </c>
      <c r="C186" s="353"/>
      <c r="D186" s="103" t="n">
        <f aca="false">B91</f>
        <v>1437.86197807011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46.893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1280.46425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568.92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5428.848125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468.93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2023-08-20T12:00:32Z</dcterms:modified>
  <cp:revision>876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