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5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<sst xmlns="http://schemas.openxmlformats.org/spreadsheetml/2006/main" count="32658" uniqueCount="412">
  <si>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</si>
  <si>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</si>
  <si>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</si>
  <si>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</si>
  <si>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</si>
  <si>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</si>
  <si>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</si>
  <si>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</si>
  <si>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</si>
  <si>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</si>
  <si>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</si>
  <si>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</si>
  <si>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</si>
  <si>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</si>
  <si>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</si>
  <si>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</si>
  <si>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</si>
  <si>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</si>
  <si>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</si>
  <si>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</si>
  <si>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</si>
  <si>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</si>
  <si>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</si>
  <si>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</si>
  <si>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</si>
  <si>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</si>
  <si>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</si>
  <si>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</si>
  <si>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</si>
  <si>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</si>
  <si>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</si>
  <si>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</si>
  <si>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</si>
  <si>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</si>
  <si>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</si>
  <si>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</si>
  <si>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</si>
  <si>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</si>
  <si>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</si>
  <si>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</si>
  <si>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</si>
  <si>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</si>
  <si>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</si>
  <si>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</si>
  <si>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</si>
  <si>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</si>
  <si>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</si>
  <si>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</si>
  <si>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</si>
  <si>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</si>
  <si>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</si>
  <si>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</si>
  <si>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</si>
  <si>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</si>
  <si>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</si>
  <si>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</si>
  <si>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</si>
  <si>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</si>
  <si>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</si>
  <si>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</si>
  <si>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</si>
  <si>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</si>
  <si>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</si>
  <si>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</si>
  <si>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</si>
  <si>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</si>
  <si>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</si>
  <si>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</si>
  <si>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</si>
  <si>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</si>
  <si>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</si>
  <si>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</si>
  <si>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</si>
  <si>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</si>
  <si>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</si>
  <si>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</si>
  <si>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</si>
  <si>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</si>
  <si>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</si>
  <si>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</si>
  <si>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</si>
  <si>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</si>
  <si>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</si>
  <si>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</si>
  <si>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</si>
  <si>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</si>
  <si>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</si>
  <si>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</si>
  <si>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</si>
  <si>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</si>
  <si>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</si>
  <si>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</si>
  <si>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</si>
  <si>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</si>
  <si>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</si>
  <si>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</si>
  <si>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</si>
  <si>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</si>
  <si>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</si>
  <si>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</si>
  <si>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</si>
  <si>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</si>
  <si>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</si>
  <si>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</si>
  <si>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</si>
  <si>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</si>
  <si>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</si>
  <si>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</si>
  <si>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</si>
  <si>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</si>
  <si>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</si>
  <si>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</si>
  <si>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</si>
  <si>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</si>
  <si>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</si>
  <si>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</si>
  <si>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</si>
  <si>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</si>
  <si>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</si>
  <si>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</si>
  <si>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</si>
  <si>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</si>
  <si>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</si>
  <si>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</si>
  <si>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</si>
  <si>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</si>
  <si>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</si>
  <si>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</si>
  <si>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</si>
  <si>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</si>
  <si>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</si>
  <si>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</si>
  <si>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</si>
  <si>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</si>
  <si>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</si>
  <si>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</si>
  <si>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</si>
  <si>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</si>
  <si>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</si>
  <si>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</si>
  <si>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</si>
  <si>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</si>
  <si>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</si>
  <si>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</si>
  <si>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</si>
  <si>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</si>
  <si>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</si>
  <si>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</si>
  <si>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</si>
  <si>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</si>
  <si>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</si>
  <si>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</si>
  <si>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</si>
  <si>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</si>
  <si>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</si>
  <si>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</si>
  <si>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</si>
  <si>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</si>
  <si>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</si>
  <si>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</si>
  <si>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</si>
  <si>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</si>
  <si>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</si>
  <si>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</si>
  <si>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</si>
  <si>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</si>
  <si>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</si>
  <si>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</si>
  <si>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</si>
  <si>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</si>
  <si>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</si>
  <si>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</si>
  <si>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</si>
  <si>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</si>
  <si>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</si>
  <si>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</si>
  <si>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</si>
  <si>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</si>
  <si>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</si>
  <si>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</si>
  <si>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</si>
  <si>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</si>
  <si>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</si>
  <si>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</si>
  <si>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</si>
  <si>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</si>
  <si>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</si>
  <si>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</si>
  <si>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</si>
  <si>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</si>
  <si>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</si>
  <si>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</si>
  <si>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</si>
  <si>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</si>
  <si>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</si>
  <si>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</si>
  <si>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</si>
  <si>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</si>
  <si>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</si>
  <si>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</si>
  <si>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</si>
  <si>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</si>
  <si>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</si>
  <si>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</si>
  <si>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</si>
  <si>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</si>
  <si>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</si>
  <si>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</si>
  <si>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</si>
  <si>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</si>
  <si>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</si>
  <si>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</si>
  <si>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</si>
  <si>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</si>
  <si>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</si>
  <si>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</si>
  <si>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</si>
  <si>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</si>
  <si>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</si>
  <si>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</si>
  <si>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</si>
  <si>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</si>
  <si>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</si>
  <si>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</si>
  <si>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</si>
  <si>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</si>
  <si>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</si>
  <si>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</si>
  <si>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</si>
  <si>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</si>
  <si>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</si>
  <si>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</si>
  <si>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</si>
  <si>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</si>
  <si>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162.00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</si>
  <si>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</si>
  <si>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</si>
  <si>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</si>
  <si>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</si>
  <si>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</si>
  <si>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</si>
  <si>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</si>
  <si>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</si>
  <si>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</si>
  <si>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</si>
  <si>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19458.33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</si>
  <si>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</si>
  <si>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</si>
  <si>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</si>
  <si>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</si>
  <si>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</si>
  <si>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</si>
  <si>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</si>
  <si>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</si>
  <si>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</si>
  <si>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</si>
  <si>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</si>
  <si>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</si>
  <si>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</si>
  <si>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</si>
  <si>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</si>
  <si>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</si>
  <si>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</si>
  <si>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</si>
  <si>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</si>
  <si>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</si>
  <si>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</si>
  <si>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</si>
  <si>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</si>
  <si>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</si>
  <si>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</si>
  <si>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</si>
  <si>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</si>
  <si>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</si>
  <si>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</si>
  <si>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</si>
  <si>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</si>
  <si>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</si>
  <si>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</si>
  <si>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</si>
  <si>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</si>
  <si>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</si>
  <si>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</si>
  <si>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</si>
  <si>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</si>
  <si>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</si>
  <si>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</si>
  <si>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</si>
  <si>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</si>
  <si>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</si>
  <si>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</si>
  <si>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</si>
  <si>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</si>
  <si>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</si>
  <si>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</si>
  <si>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</si>
  <si>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</si>
  <si>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</si>
  <si>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</si>
  <si>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</si>
  <si>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</si>
  <si>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</si>
  <si>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</si>
  <si>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</si>
  <si>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</si>
  <si>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</si>
  <si>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</si>
  <si>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</si>
  <si>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</si>
  <si>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</si>
  <si>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</si>
  <si>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</si>
  <si>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</si>
  <si>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</si>
  <si>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</si>
  <si>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</si>
  <si>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</si>
  <si>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</si>
  <si>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</si>
  <si>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</si>
  <si>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</si>
  <si>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</si>
  <si>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</si>
  <si>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</si>
  <si>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</si>
  <si>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</si>
  <si>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</si>
  <si>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</si>
  <si>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</si>
  <si>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</si>
  <si>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</si>
  <si>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</si>
  <si>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</si>
  <si>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</si>
  <si>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</si>
  <si>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</si>
  <si>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</si>
  <si>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</si>
  <si>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</si>
  <si>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</si>
  <si>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</si>
  <si>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</si>
  <si>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</si>
  <si>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</si>
  <si>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</si>
  <si>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</si>
  <si>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</si>
  <si>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</si>
  <si>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</si>
  <si>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</si>
  <si>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</si>
  <si>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</si>
  <si>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13.50</t>
  </si>
  <si>
    <t xml:space="preserve">8.92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</si>
  <si>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</si>
  <si>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</si>
  <si>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</si>
  <si>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</si>
  <si>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</si>
  <si>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</si>
  <si>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</si>
  <si>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</si>
  <si>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</si>
  <si>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</si>
  <si>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</si>
  <si>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</si>
  <si>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</si>
  <si>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</si>
  <si>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</si>
  <si>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</si>
  <si>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</si>
  <si>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</si>
  <si>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</si>
  <si>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</si>
  <si>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</si>
  <si>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</si>
  <si>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</si>
  <si>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</si>
  <si>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</si>
  <si>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</si>
  <si>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20958.33</t>
  </si>
  <si>
    <t xml:space="preserve">OTR Calculation</t>
  </si>
  <si>
    <t xml:space="preserve">296.00</t>
  </si>
  <si>
    <t xml:space="preserve">17780.00</t>
  </si>
  <si>
    <t xml:space="preserve">Yes</t>
  </si>
  <si>
    <t xml:space="preserve">60</t>
  </si>
  <si>
    <t xml:space="preserve">2</t>
  </si>
  <si>
    <t xml:space="preserve">58535.00</t>
  </si>
  <si>
    <t xml:space="preserve">RFL included?</t>
  </si>
  <si>
    <t xml:space="preserve">70</t>
  </si>
  <si>
    <t>NO</t>
  </si>
  <si>
    <t>100</t>
  </si>
  <si>
    <t>0</t>
  </si>
  <si>
    <t>Yes</t>
  </si>
  <si>
    <t>58535.00</t>
  </si>
  <si>
    <t>1000</t>
  </si>
  <si>
    <t>33</t>
  </si>
  <si>
    <t>5000</t>
  </si>
  <si>
    <t>500</t>
  </si>
  <si>
    <t>12</t>
  </si>
  <si>
    <t>35</t>
  </si>
  <si>
    <t>35000</t>
  </si>
  <si>
    <t>50</t>
  </si>
  <si>
    <t>199.99</t>
  </si>
  <si>
    <t>Limited Credit</t>
  </si>
  <si>
    <t>YES</t>
  </si>
  <si>
    <t>A1 Credit</t>
  </si>
  <si>
    <t>36</t>
  </si>
  <si>
    <t>10000</t>
  </si>
  <si>
    <t>4689.17</t>
  </si>
  <si>
    <t>469.92</t>
  </si>
  <si>
    <t>34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</si>
</sst>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9" activeCellId="0" sqref="H1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19000</v>
      </c>
      <c r="C2" s="4" t="s">
        <v>2</v>
      </c>
      <c r="D2" s="5" t="n">
        <f aca="false">C9</f>
        <v>3800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19000</v>
      </c>
      <c r="C9" s="14" t="n">
        <f aca="false">B9*0.2</f>
        <v>3800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19000</v>
      </c>
      <c r="C15" s="14" t="n">
        <f aca="false">SUM(C9:C13)</f>
        <v>3800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19000</v>
      </c>
      <c r="B37" s="32"/>
      <c r="C37" s="41" t="s">
        <v>45</v>
      </c>
      <c r="D37" s="41"/>
      <c r="E37" s="32"/>
      <c r="F37" s="43" t="n">
        <f aca="false">A37-C37</f>
        <v>18000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3800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233.333333333333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12376.4536557787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126.25002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18000</v>
      </c>
      <c r="C90" s="32"/>
      <c r="D90" s="32"/>
      <c r="E90" s="23"/>
      <c r="F90" s="25" t="s">
        <v>105</v>
      </c>
      <c r="G90" s="27" t="n">
        <f aca="false">F37</f>
        <v>18000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6354.94179987962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11645.0582001204</v>
      </c>
      <c r="C97" s="32"/>
      <c r="D97" s="32"/>
      <c r="E97" s="23"/>
      <c r="F97" s="31" t="s">
        <v>112</v>
      </c>
      <c r="G97" s="33" t="n">
        <f aca="false">G90-G95</f>
        <v>11251.930698559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1126.22305961624</v>
      </c>
      <c r="C98" s="32"/>
      <c r="D98" s="32"/>
      <c r="E98" s="23"/>
      <c r="F98" s="31" t="s">
        <v>113</v>
      </c>
      <c r="G98" s="33" t="n">
        <f aca="false">(G97/G96)</f>
        <v>1056.4464263313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12388.4536557787</v>
      </c>
      <c r="C99" s="32"/>
      <c r="D99" s="32"/>
      <c r="E99" s="23"/>
      <c r="F99" s="31" t="s">
        <v>114</v>
      </c>
      <c r="G99" s="33" t="n">
        <f aca="false">((G98*(G94))+G86)</f>
        <v>11620.9106896443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12388.4536557787</v>
      </c>
      <c r="C101" s="32"/>
      <c r="D101" s="32"/>
      <c r="E101" s="23"/>
      <c r="F101" s="56" t="s">
        <v>116</v>
      </c>
      <c r="G101" s="65" t="n">
        <f aca="false">(G99+G100)</f>
        <v>11620.9106896443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1126.22305961624</v>
      </c>
      <c r="C104" s="32"/>
      <c r="D104" s="32"/>
      <c r="E104" s="23"/>
      <c r="F104" s="95" t="s">
        <v>118</v>
      </c>
      <c r="G104" s="96" t="n">
        <f aca="false">G101/(G94)</f>
        <v>1056.4464263313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1126.22305961624</v>
      </c>
      <c r="C105" s="32"/>
      <c r="D105" s="32"/>
      <c r="E105" s="23" t="s">
        <v>19</v>
      </c>
      <c r="F105" s="97" t="s">
        <v>119</v>
      </c>
      <c r="G105" s="98" t="n">
        <f aca="false">G103+G104</f>
        <v>1056.4464263313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22800</v>
      </c>
      <c r="C130" s="121" t="n">
        <v>21041.67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22800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22800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22800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22800</v>
      </c>
      <c r="C134" s="133" t="n">
        <f aca="false">C130-C133</f>
        <v>21041.67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19000</v>
      </c>
      <c r="H144" s="153" t="n">
        <f aca="false">C134+E134+G134+H137</f>
        <v>21041.67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3800</v>
      </c>
      <c r="H146" s="33" t="n">
        <f aca="false">(H144+H145)*20%</f>
        <v>4208.334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22800</v>
      </c>
      <c r="H150" s="157" t="n">
        <f aca="false">(H144+H145+H148+H149+H146)-H147</f>
        <v>25250.004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22800</v>
      </c>
      <c r="H156" s="164" t="n">
        <f aca="false">H150-((H153*1.2)+(H154*1.2)+(H155*1.2)+(H151*1.2))</f>
        <v>25250.004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2041.67</v>
      </c>
      <c r="I157" s="1" t="n">
        <f aca="false">(H157-G90)/1.2</f>
        <v>-13298.6083333333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25250.004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1126.22305961624</v>
      </c>
      <c r="B176" s="177" t="n">
        <f aca="false">B103</f>
        <v>0</v>
      </c>
      <c r="C176" s="174"/>
      <c r="D176" s="174"/>
      <c r="E176" s="177" t="n">
        <f aca="false">B105</f>
        <v>1126.22305961624</v>
      </c>
      <c r="F176" s="23"/>
      <c r="G176" s="23" t="n">
        <f aca="false">ROUND(G104, 2)</f>
        <v>1056.45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21041.67</v>
      </c>
      <c r="B182" s="103" t="n">
        <f aca="false">H146</f>
        <v>4208.334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25250.004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25250.004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-6861.55034422132</v>
      </c>
      <c r="B191" s="103" t="str">
        <f aca="false">B123</f>
        <v>239.99</v>
      </c>
      <c r="C191" s="103"/>
      <c r="D191" s="23"/>
      <c r="E191" s="103" t="n">
        <f aca="false">E188+A191+B191+A194</f>
        <v>18638.4436557787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105.20835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205.200016666667</v>
      </c>
      <c r="C200" s="93"/>
      <c r="D200" s="93"/>
      <c r="E200" s="103" t="n">
        <f aca="false">H157</f>
        <v>2041.67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1126.22305961624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-7629.054</v>
      </c>
      <c r="B210" s="186" t="n">
        <f aca="false">E188+A210+B191+A194</f>
        <v>17870.94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1126.22305961624</v>
      </c>
      <c r="B221" s="177" t="n">
        <f aca="false">B176</f>
        <v>0</v>
      </c>
      <c r="C221" s="174"/>
      <c r="D221" s="174"/>
      <c r="E221" s="177" t="n">
        <f aca="false">E176</f>
        <v>1126.22305961624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21041.67</v>
      </c>
      <c r="B224" s="103" t="n">
        <f aca="false">B182</f>
        <v>4208.334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25250.004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25250.004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-6861.55034422132</v>
      </c>
      <c r="B233" s="103" t="str">
        <f aca="false">B191</f>
        <v>239.99</v>
      </c>
      <c r="C233" s="103"/>
      <c r="D233" s="113"/>
      <c r="E233" s="103" t="n">
        <f aca="false">E191</f>
        <v>18638.4436557787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1126.22305961624</v>
      </c>
      <c r="B239" s="103" t="n">
        <f aca="false">B176</f>
        <v>0</v>
      </c>
      <c r="C239" s="186"/>
      <c r="D239" s="186"/>
      <c r="E239" s="103" t="n">
        <f aca="false">E176</f>
        <v>1126.22305961624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2041.67</v>
      </c>
      <c r="B249" s="103" t="n">
        <f aca="false">B197</f>
        <v>105.20835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2246.87001666666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777.503655778677</v>
      </c>
      <c r="C263" s="197"/>
      <c r="D263" s="198" t="s">
        <v>216</v>
      </c>
      <c r="E263" s="198"/>
      <c r="F263" s="200" t="n">
        <f aca="false">F270+F276+F278+B279+B280</f>
        <v>126.25002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751.245302445344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(B98*B68)-(C98*B68)</f>
        <v>12388.4536557787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126.25002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751.245302445344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19083.33</v>
      </c>
      <c r="B37" s="32"/>
      <c r="C37" s="41" t="s">
        <v>45</v>
      </c>
      <c r="D37" s="41"/>
      <c r="E37" s="32"/>
      <c r="F37" s="43" t="n">
        <f aca="false">A37-C37</f>
        <v>18083.33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3816.666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234.722166666667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315.277833333333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317.9445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267.9445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234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317.9445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12331.1999445488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126.25002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317.9445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317.9445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317.9445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18083.33</v>
      </c>
      <c r="C90" s="32"/>
      <c r="D90" s="32"/>
      <c r="E90" s="23"/>
      <c r="F90" s="25" t="s">
        <v>105</v>
      </c>
      <c r="G90" s="27" t="n">
        <f aca="false">F37</f>
        <v>18083.33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11661.9787395771</v>
      </c>
      <c r="C97" s="32"/>
      <c r="D97" s="32"/>
      <c r="E97" s="23"/>
      <c r="F97" s="31" t="s">
        <v>112</v>
      </c>
      <c r="G97" s="33" t="n">
        <f aca="false">G90-G95</f>
        <v>11335.260698559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1122.10908586807</v>
      </c>
      <c r="C98" s="32"/>
      <c r="D98" s="32"/>
      <c r="E98" s="23"/>
      <c r="F98" s="31" t="s">
        <v>113</v>
      </c>
      <c r="G98" s="33" t="n">
        <f aca="false">(G97/G96)</f>
        <v>1064.27029967932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12343.1999445488</v>
      </c>
      <c r="C99" s="32"/>
      <c r="D99" s="32"/>
      <c r="E99" s="23"/>
      <c r="F99" s="31" t="s">
        <v>114</v>
      </c>
      <c r="G99" s="33" t="n">
        <f aca="false">((G98*(G94))+G86)</f>
        <v>11706.9732964725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12343.1999445488</v>
      </c>
      <c r="C101" s="32"/>
      <c r="D101" s="32"/>
      <c r="E101" s="23"/>
      <c r="F101" s="56" t="s">
        <v>116</v>
      </c>
      <c r="G101" s="65" t="n">
        <f aca="false">(G99+G100)</f>
        <v>11706.9732964725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1122.10908586807</v>
      </c>
      <c r="C104" s="32"/>
      <c r="D104" s="32"/>
      <c r="E104" s="23"/>
      <c r="F104" s="95" t="s">
        <v>118</v>
      </c>
      <c r="G104" s="96" t="n">
        <f aca="false">G101/(G94)</f>
        <v>1064.27029967932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1193.01817677716</v>
      </c>
      <c r="C105" s="32"/>
      <c r="D105" s="32"/>
      <c r="E105" s="23" t="s">
        <v>18</v>
      </c>
      <c r="F105" s="97" t="s">
        <v>119</v>
      </c>
      <c r="G105" s="98" t="n">
        <f aca="false">G103+G104</f>
        <v>1064.27029967932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22899.996</v>
      </c>
      <c r="C130" s="121" t="n">
        <v>21041.67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22899.996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22899.996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22899.996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22899.996</v>
      </c>
      <c r="C134" s="133" t="n">
        <f aca="false">C130-C133</f>
        <v>21041.67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19083.33</v>
      </c>
      <c r="H144" s="153" t="n">
        <f aca="false">C134+E134+G134+H137</f>
        <v>21041.67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3816.666</v>
      </c>
      <c r="H146" s="33" t="n">
        <f aca="false">(H144+H145)*20%</f>
        <v>4208.334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22899.996</v>
      </c>
      <c r="H150" s="157" t="n">
        <f aca="false">(H144+H145+H148+H149+H146)-H147</f>
        <v>25250.004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22899.996</v>
      </c>
      <c r="H156" s="164" t="n">
        <f aca="false">H150-((H153*1.2)+(H154*1.2)+(H155*1.2)+(H151*1.2))</f>
        <v>25250.004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1958.34</v>
      </c>
      <c r="I157" s="1" t="n">
        <f aca="false">(H157-G90)/1.2</f>
        <v>-13437.4916666667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25250.004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1122.10908586807</v>
      </c>
      <c r="B176" s="177" t="n">
        <f aca="false">B103</f>
        <v>70.9090909090909</v>
      </c>
      <c r="C176" s="174"/>
      <c r="D176" s="174"/>
      <c r="E176" s="177" t="n">
        <f aca="false">B105</f>
        <v>1193.01817677716</v>
      </c>
      <c r="F176" s="23"/>
      <c r="G176" s="23" t="n">
        <f aca="false">ROUND(G104, 2)</f>
        <v>1064.27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21041.67</v>
      </c>
      <c r="B182" s="103" t="n">
        <f aca="false">H146</f>
        <v>4208.334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25250.004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25250.004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-6906.80405545124</v>
      </c>
      <c r="B191" s="103" t="str">
        <f aca="false">B123</f>
        <v>199.99</v>
      </c>
      <c r="C191" s="103"/>
      <c r="D191" s="23"/>
      <c r="E191" s="103" t="n">
        <f aca="false">E188+A191+(B191*1.2)+A194</f>
        <v>18593.1879445488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105.20835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205.19835</v>
      </c>
      <c r="C200" s="93"/>
      <c r="D200" s="93"/>
      <c r="E200" s="103" t="n">
        <f aca="false">H157</f>
        <v>1958.34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1193.01817677716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-7543.034</v>
      </c>
      <c r="B210" s="186" t="n">
        <f aca="false">E188+A210+(B191*1.2)+A194</f>
        <v>17956.958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1122.10908586807</v>
      </c>
      <c r="B221" s="177" t="n">
        <f aca="false">B176</f>
        <v>70.9090909090909</v>
      </c>
      <c r="C221" s="174"/>
      <c r="D221" s="174"/>
      <c r="E221" s="177" t="n">
        <f aca="false">E176</f>
        <v>1193.01817677716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21041.67</v>
      </c>
      <c r="B224" s="103" t="n">
        <f aca="false">B182</f>
        <v>4208.334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25250.004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25250.004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-6906.80405545124</v>
      </c>
      <c r="B233" s="103" t="str">
        <f aca="false">B191</f>
        <v>199.99</v>
      </c>
      <c r="C233" s="103"/>
      <c r="D233" s="113"/>
      <c r="E233" s="103" t="n">
        <f aca="false">E191</f>
        <v>18593.1879445488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1122.10908586807</v>
      </c>
      <c r="B239" s="103" t="n">
        <f aca="false">B176</f>
        <v>70.9090909090909</v>
      </c>
      <c r="C239" s="186"/>
      <c r="D239" s="186"/>
      <c r="E239" s="103" t="n">
        <f aca="false">E176</f>
        <v>1193.01817677716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1958.34</v>
      </c>
      <c r="B249" s="103" t="n">
        <f aca="false">B197</f>
        <v>105.20835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2163.53835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646.229944548759</v>
      </c>
      <c r="C263" s="197"/>
      <c r="D263" s="198" t="s">
        <v>216</v>
      </c>
      <c r="E263" s="198"/>
      <c r="F263" s="200" t="n">
        <f aca="false">F270+F276+F278+B279+B280</f>
        <v>126.25002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619.969924548759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12343.1999445488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126.25002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619.969924548759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14892.5045349552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241.4062125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13202.5060889046</v>
      </c>
      <c r="C88" s="93" t="n">
        <f aca="false">B81-B86</f>
        <v>13202.5060889046</v>
      </c>
      <c r="D88" s="93"/>
      <c r="E88" s="113"/>
      <c r="F88" s="31" t="s">
        <v>112</v>
      </c>
      <c r="G88" s="33" t="n">
        <f aca="false">G81-G86</f>
        <v>12433.9570487144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481.027130353713</v>
      </c>
      <c r="C89" s="93" t="n">
        <f aca="false">(B88/B87)</f>
        <v>481.027130353713</v>
      </c>
      <c r="D89" s="93"/>
      <c r="E89" s="113"/>
      <c r="F89" s="31" t="s">
        <v>113</v>
      </c>
      <c r="G89" s="33" t="n">
        <f aca="false">(G88/G87)</f>
        <v>424.257597611893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15392.8681713188</v>
      </c>
      <c r="C90" s="93"/>
      <c r="D90" s="93"/>
      <c r="E90" s="113"/>
      <c r="F90" s="31" t="s">
        <v>114</v>
      </c>
      <c r="G90" s="33" t="n">
        <f aca="false">((G89*(G85))+G77)</f>
        <v>13576.2431235806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15392.8681713188</v>
      </c>
      <c r="C92" s="93"/>
      <c r="D92" s="93"/>
      <c r="E92" s="113"/>
      <c r="F92" s="56" t="s">
        <v>116</v>
      </c>
      <c r="G92" s="65" t="n">
        <f aca="false">(G90+G91)</f>
        <v>13576.2431235806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481.027130353713</v>
      </c>
      <c r="C95" s="93"/>
      <c r="D95" s="93"/>
      <c r="E95" s="113"/>
      <c r="F95" s="95" t="s">
        <v>118</v>
      </c>
      <c r="G95" s="96" t="n">
        <f aca="false">G92/(G85)</f>
        <v>424.257597611893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481.027130353713</v>
      </c>
      <c r="C96" s="93"/>
      <c r="D96" s="93"/>
      <c r="E96" s="113"/>
      <c r="F96" s="97" t="s">
        <v>119</v>
      </c>
      <c r="G96" s="98" t="n">
        <f aca="false">G94+G95</f>
        <v>424.257597611893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481.027130353713</v>
      </c>
      <c r="B167" s="177" t="n">
        <f aca="false">B94</f>
        <v>0</v>
      </c>
      <c r="C167" s="174"/>
      <c r="D167" s="174"/>
      <c r="E167" s="177" t="n">
        <f aca="false">B96</f>
        <v>481.027130353713</v>
      </c>
      <c r="F167" s="23"/>
      <c r="G167" s="23" t="n">
        <f aca="false">ROUND(G95, 2)</f>
        <v>424.26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-3157.12782868118</v>
      </c>
      <c r="B182" s="103" t="str">
        <f aca="false">B114</f>
        <v>239.99</v>
      </c>
      <c r="C182" s="103"/>
      <c r="D182" s="23"/>
      <c r="E182" s="103" t="n">
        <f aca="false">E179+A182+B182+A185</f>
        <v>22842.8581713188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201.17184375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301.163510416667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481.027130353713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-4973.676</v>
      </c>
      <c r="B201" s="186" t="n">
        <f aca="false">E179+A201+B182+A185</f>
        <v>21026.31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481.027130353713</v>
      </c>
      <c r="B212" s="177" t="n">
        <f aca="false">B167</f>
        <v>0</v>
      </c>
      <c r="C212" s="174"/>
      <c r="D212" s="174"/>
      <c r="E212" s="177" t="n">
        <f aca="false">E167</f>
        <v>481.027130353713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-3157.12782868118</v>
      </c>
      <c r="B224" s="103" t="str">
        <f aca="false">B182</f>
        <v>239.99</v>
      </c>
      <c r="C224" s="103"/>
      <c r="D224" s="113"/>
      <c r="E224" s="103" t="n">
        <f aca="false">E182</f>
        <v>22842.8581713188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481.027130353713</v>
      </c>
      <c r="B230" s="103" t="n">
        <f aca="false">B167</f>
        <v>0</v>
      </c>
      <c r="C230" s="186"/>
      <c r="D230" s="186"/>
      <c r="E230" s="103" t="n">
        <f aca="false">E167</f>
        <v>481.027130353713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201.17184375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2301.16351041667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1826.54817131882</v>
      </c>
      <c r="C254" s="197"/>
      <c r="D254" s="198" t="s">
        <v>216</v>
      </c>
      <c r="E254" s="198"/>
      <c r="F254" s="200" t="n">
        <f aca="false">F261+F267+F269+B270+B271</f>
        <v>241.4062125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1685.13362548549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241.4062125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1685.13362548549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12834.9389154658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1205.07544106728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13255.8298517401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13255.8298517401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1205.07544106728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1205.07544106728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1205.08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199.99</v>
      </c>
      <c r="C182" s="103"/>
      <c r="D182" s="23"/>
      <c r="E182" s="103" t="n">
        <f aca="false">E179+A182+(B182*1.2)+A185</f>
        <v>20326.0304566654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107.29165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207.28165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-5294.11600000001</v>
      </c>
      <c r="B201" s="186" t="n">
        <f aca="false">E179+A201+(B182*1.2)+A185</f>
        <v>20705.868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199.99</v>
      </c>
      <c r="C224" s="103"/>
      <c r="D224" s="113"/>
      <c r="E224" s="103" t="n">
        <f aca="false">E182</f>
        <v>20326.0304566654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2207.28165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-369.837543334572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-398.597523334572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-398.597523334572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11710.260698559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1099.47913809893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12094.2705190883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12094.2705190883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1099.47913809893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1099.47913809893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273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1099.48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239.99</v>
      </c>
      <c r="C182" s="103"/>
      <c r="D182" s="23"/>
      <c r="E182" s="103" t="n">
        <f aca="false">E179+A182+B182+A185</f>
        <v>20326.0324566654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107.29165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207.283316666667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-6455.716</v>
      </c>
      <c r="B201" s="186" t="n">
        <f aca="false">E179+A201+B182+A185</f>
        <v>19544.27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239.99</v>
      </c>
      <c r="C224" s="103"/>
      <c r="D224" s="113"/>
      <c r="E224" s="103" t="n">
        <f aca="false">E182</f>
        <v>20326.0324566654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2207.28331666667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791.762456665427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763.004143332093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763.004143332093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11710.260698559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1099.47913809893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12094.2705190883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12094.2705190883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1099.47913809893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1099.47913809893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1099.48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199.99</v>
      </c>
      <c r="C182" s="103"/>
      <c r="D182" s="23"/>
      <c r="E182" s="103" t="n">
        <f aca="false">E179+A182+(B182*1.2)+A185</f>
        <v>20326.0304566654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107.29165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207.28165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-6455.716</v>
      </c>
      <c r="B201" s="186" t="n">
        <f aca="false">E179+A201+(B182*1.2)+A185</f>
        <v>19544.268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199.99</v>
      </c>
      <c r="C224" s="103"/>
      <c r="D224" s="113"/>
      <c r="E224" s="103" t="n">
        <f aca="false">E182</f>
        <v>20326.0304566654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2207.28165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791.762456665427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763.002476665427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763.002476665427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23349.996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1634.49972</v>
      </c>
      <c r="C64" s="215" t="n">
        <v>10000</v>
      </c>
      <c r="D64" s="291" t="n">
        <f aca="false">B64</f>
        <v>1634.49972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233.49996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2961.16638666667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246.763865555556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10767.799664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76.0131077531263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10843.8127717531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78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903.65106431276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981.651064312761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903.65106431276</v>
      </c>
      <c r="B128" s="321" t="n">
        <f aca="false">IF(A105="YES", B89, 0)</f>
        <v>78</v>
      </c>
      <c r="C128" s="326"/>
      <c r="D128" s="321" t="n">
        <f aca="false">B91</f>
        <v>981.651064312761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8132.85957881485</v>
      </c>
      <c r="C131" s="317"/>
      <c r="D131" s="38" t="n">
        <f aca="false">IF(A105="YES", B89*B57, 0)</f>
        <v>702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8834.85957881485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903.65106431276</v>
      </c>
      <c r="B137" s="38" t="n">
        <f aca="false">IF(A105="YES", B89, 0)</f>
        <v>78</v>
      </c>
      <c r="C137" s="317"/>
      <c r="D137" s="38" t="n">
        <f aca="false">B91</f>
        <v>981.651064312761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233.49996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751.48996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981.651064312761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903.65106431276</v>
      </c>
      <c r="B171" s="355" t="n">
        <f aca="false">IF(A105="YES", B89, 0)</f>
        <v>78</v>
      </c>
      <c r="C171" s="358"/>
      <c r="D171" s="355" t="n">
        <f aca="false">B91</f>
        <v>981.651064312761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8132.85957881485</v>
      </c>
      <c r="C174" s="353"/>
      <c r="D174" s="103" t="n">
        <f aca="false">IF(A105="YES", B89*B57, 0)</f>
        <v>702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8834.85957881485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903.65106431276</v>
      </c>
      <c r="B180" s="103" t="n">
        <f aca="false">IF(A105="YES", B89, 0)</f>
        <v>78</v>
      </c>
      <c r="C180" s="353"/>
      <c r="D180" s="103" t="n">
        <f aca="false">B91</f>
        <v>981.651064312761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233.49996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751.48996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1634.49972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233.49996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1920.98976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1634.49972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233.49996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1920.98976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76.0131077531263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1602.99972</v>
      </c>
      <c r="C64" s="215" t="n">
        <v>10000</v>
      </c>
      <c r="D64" s="291" t="n">
        <f aca="false">B64</f>
        <v>1602.99972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114.49998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2883.66638666667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240.305532222222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8895.66638666667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75.3565930294474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8971.02297969612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65.4545454545455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797.36572542692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862.820270881465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264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797.36572542692</v>
      </c>
      <c r="B128" s="321" t="n">
        <f aca="false">IF(A105="YES", B89, 0)</f>
        <v>65.4545454545455</v>
      </c>
      <c r="C128" s="326"/>
      <c r="D128" s="321" t="n">
        <f aca="false">B91</f>
        <v>862.820270881465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Spread rentals initial payment</v>
      </c>
      <c r="B131" s="38" t="n">
        <f aca="false">B90*B57</f>
        <v>797.36572542692</v>
      </c>
      <c r="C131" s="317"/>
      <c r="D131" s="38" t="n">
        <f aca="false">IF(A105="YES", B89*B57, 0)</f>
        <v>65.4545454545455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862.820270881465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797.36572542692</v>
      </c>
      <c r="B137" s="38" t="n">
        <f aca="false">IF(A105="YES", B89, 0)</f>
        <v>65.4545454545455</v>
      </c>
      <c r="C137" s="317"/>
      <c r="D137" s="38" t="n">
        <f aca="false">B91</f>
        <v>862.820270881465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114.49998</v>
      </c>
      <c r="B148" s="38" t="n">
        <f aca="false">B102</f>
        <v>400</v>
      </c>
      <c r="C148" s="38"/>
      <c r="D148" s="38" t="n">
        <f aca="false">IF(A105="YES", (A41*B105)*B125,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626.48998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862.820270881465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797.36572542692</v>
      </c>
      <c r="B171" s="355" t="n">
        <f aca="false">IF(A105="YES", B89, 0)</f>
        <v>65.4545454545455</v>
      </c>
      <c r="C171" s="358"/>
      <c r="D171" s="355" t="n">
        <f aca="false">B91</f>
        <v>862.820270881465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Spread rentals initial payment</v>
      </c>
      <c r="B174" s="103" t="n">
        <f aca="false">B90*B57</f>
        <v>797.36572542692</v>
      </c>
      <c r="C174" s="353"/>
      <c r="D174" s="103" t="n">
        <f aca="false">IF(A105="YES", B89*B57, 0)</f>
        <v>65.4545454545455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862.820270881465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797.36572542692</v>
      </c>
      <c r="B180" s="103" t="n">
        <f aca="false">IF(A105="YES", B89, 0)</f>
        <v>65.4545454545455</v>
      </c>
      <c r="C180" s="353"/>
      <c r="D180" s="103" t="n">
        <f aca="false">B91</f>
        <v>862.820270881465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114.49998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626.48998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1602.99972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114.49998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1948.48974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1602.99972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114.49998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1948.48974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75.3565930294474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45281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3816.666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234.722166666667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315.277833333333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317.9445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267.9445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317.9445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317.9445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267.9445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9176.3848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64.7788358208955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9241.1636358209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770.096969651741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848.096969651741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770.096969651741</v>
      </c>
      <c r="B134" s="321" t="n">
        <f aca="false">IF(A111="YES", B95, 0)</f>
        <v>78</v>
      </c>
      <c r="C134" s="325"/>
      <c r="D134" s="321" t="n">
        <f aca="false">B97</f>
        <v>848.096969651741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770.096969651741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848.096969651741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770.096969651741</v>
      </c>
      <c r="B143" s="38" t="n">
        <f aca="false">IF(A111="YES", B95, 0)</f>
        <v>78</v>
      </c>
      <c r="C143" s="317"/>
      <c r="D143" s="38" t="n">
        <f aca="false">B97</f>
        <v>848.096969651741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3816.666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632.491646666667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848.096969651741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770.096969651741</v>
      </c>
      <c r="B177" s="355" t="n">
        <f aca="false">IF(A111="YES", B95, 0)</f>
        <v>78</v>
      </c>
      <c r="C177" s="357"/>
      <c r="D177" s="355" t="n">
        <f aca="false">A177+B177</f>
        <v>848.096969651741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770.096969651741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848.096969651741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770.096969651741</v>
      </c>
      <c r="B186" s="103" t="n">
        <f aca="false">IF(A111="YES", B95, 0)</f>
        <v>78</v>
      </c>
      <c r="C186" s="353"/>
      <c r="D186" s="103" t="n">
        <f aca="false">B97</f>
        <v>848.096969651741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632.491646666667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3242.31168666667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3242.31168666667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64.7788358208955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45281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3891.666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240.972166666667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309.027833333333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261.6945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311.6945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371.783611111111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7601.73733333333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64.3955159338443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7666.13284926718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638.844404105598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703.844404105598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638.844404105598</v>
      </c>
      <c r="B134" s="321" t="n">
        <f aca="false">IF(A111="YES", B95, 0)</f>
        <v>65</v>
      </c>
      <c r="C134" s="326"/>
      <c r="D134" s="321" t="n">
        <f aca="false">B97</f>
        <v>703.844404105598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638.844404105598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703.844404105598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638.844404105598</v>
      </c>
      <c r="B143" s="38" t="n">
        <f aca="false">IF(A111="YES", B95, 0)</f>
        <v>65</v>
      </c>
      <c r="C143" s="317"/>
      <c r="D143" s="38" t="n">
        <f aca="false">B97</f>
        <v>703.844404105598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233.49996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3891.666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703.844404105598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638.844404105598</v>
      </c>
      <c r="B177" s="355" t="n">
        <f aca="false">IF(A111="YES", B95, 0)</f>
        <v>65</v>
      </c>
      <c r="C177" s="358"/>
      <c r="D177" s="355" t="n">
        <f aca="false">B91</f>
        <v>7601.73733333333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638.844404105598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703.844404105598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638.844404105598</v>
      </c>
      <c r="B186" s="103" t="n">
        <f aca="false">IF(A111="YES", B95, 0)</f>
        <v>65</v>
      </c>
      <c r="C186" s="353"/>
      <c r="D186" s="103" t="n">
        <f aca="false">B97</f>
        <v>703.844404105598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3123.31004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3123.31004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64.3955159338443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2961.16638666667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246.763865555556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8973.16638666667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76.0131077531263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9049.17949441979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754.098291201649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754.098291201649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754.098291201649</v>
      </c>
      <c r="B134" s="321" t="n">
        <f aca="false">IF(A111="YES", B95, 0)</f>
        <v>0</v>
      </c>
      <c r="C134" s="326"/>
      <c r="D134" s="321" t="n">
        <f aca="false">B97</f>
        <v>754.098291201649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6786.88462081485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6786.88462081485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754.098291201649</v>
      </c>
      <c r="B143" s="38" t="n">
        <f aca="false">IF(A111="YES", B95, 0)</f>
        <v>0</v>
      </c>
      <c r="C143" s="317"/>
      <c r="D143" s="38" t="n">
        <f aca="false">B97</f>
        <v>754.098291201649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733.48996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754.098291201649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754.098291201649</v>
      </c>
      <c r="B177" s="355" t="n">
        <f aca="false">IF(A111="YES", B95, 0)</f>
        <v>0</v>
      </c>
      <c r="C177" s="358"/>
      <c r="D177" s="355" t="n">
        <f aca="false">B91</f>
        <v>8973.16638666667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6786.88462081485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6786.88462081485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754.098291201649</v>
      </c>
      <c r="B186" s="103" t="n">
        <f aca="false">IF(A111="YES", B95, 0)</f>
        <v>0</v>
      </c>
      <c r="C186" s="353"/>
      <c r="D186" s="103" t="n">
        <f aca="false">B97</f>
        <v>754.098291201649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733.48996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1740.98976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1740.98976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76.0131077531263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2592.41638666667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216.034698888889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10325.299664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72.8893683420734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10398.1890323421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866.515752695173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866.515752695173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866.515752695173</v>
      </c>
      <c r="B134" s="321" t="n">
        <f aca="false">IF(A111="YES", B95, 0)</f>
        <v>0</v>
      </c>
      <c r="C134" s="326"/>
      <c r="D134" s="321" t="n">
        <f aca="false">B97</f>
        <v>866.515752695173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866.515752695173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866.515752695173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866.515752695173</v>
      </c>
      <c r="B143" s="38" t="n">
        <f aca="false">IF(A111="YES", B95, 0)</f>
        <v>0</v>
      </c>
      <c r="C143" s="317"/>
      <c r="D143" s="38" t="n">
        <f aca="false">B97</f>
        <v>866.515752695173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333.491626666667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866.515752695173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866.515752695173</v>
      </c>
      <c r="B177" s="355" t="n">
        <f aca="false">IF(A111="YES", B95, 0)</f>
        <v>0</v>
      </c>
      <c r="C177" s="358"/>
      <c r="D177" s="355" t="n">
        <f aca="false">B97</f>
        <v>866.515752695173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866.515752695173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866.515752695173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866.515752695173</v>
      </c>
      <c r="B186" s="103" t="n">
        <f aca="false">IF(A111="YES", B95, 0)</f>
        <v>0</v>
      </c>
      <c r="C186" s="353"/>
      <c r="D186" s="103" t="n">
        <f aca="false">B97</f>
        <v>866.515752695173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333.491626666667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1500.99142666667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1500.99142666667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72.8893683420734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1602.99972</v>
      </c>
      <c r="C70" s="215" t="n">
        <v>10000</v>
      </c>
      <c r="D70" s="291" t="n">
        <f aca="false">B70-A149</f>
        <v>1602.99972</v>
      </c>
      <c r="E70" s="216" t="n">
        <f aca="false">D70/12</f>
        <v>133.58331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3197.83305333333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266.486087777778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9209.83305333333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78.0179484146833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9287.85100174802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773.987583479001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773.987583479001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773.987583479001</v>
      </c>
      <c r="B134" s="321" t="n">
        <f aca="false">IF(A111="YES", B95, 0)</f>
        <v>0</v>
      </c>
      <c r="C134" s="326"/>
      <c r="D134" s="321" t="n">
        <f aca="false">B97</f>
        <v>773.987583479001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6965.88825131101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6965.88825131101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773.987583479001</v>
      </c>
      <c r="B143" s="38" t="n">
        <f aca="false">IF(A111="YES", B95, 0)</f>
        <v>0</v>
      </c>
      <c r="C143" s="317"/>
      <c r="D143" s="38" t="n">
        <f aca="false">B97</f>
        <v>773.987583479001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614.48998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773.987583479001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773.987583479001</v>
      </c>
      <c r="B177" s="355" t="n">
        <f aca="false">IF(A111="YES", B95, 0)</f>
        <v>0</v>
      </c>
      <c r="C177" s="358"/>
      <c r="D177" s="355" t="n">
        <f aca="false">B91</f>
        <v>9209.83305333333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6965.88825131101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6965.88825131101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773.987583479001</v>
      </c>
      <c r="B186" s="103" t="n">
        <f aca="false">IF(A111="YES", B95, 0)</f>
        <v>0</v>
      </c>
      <c r="C186" s="353"/>
      <c r="D186" s="103" t="n">
        <f aca="false">B97</f>
        <v>773.987583479001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614.48998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1828.48974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1602.99972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1828.48974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78.0179484146833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13.50</v>
      </c>
      <c r="E32" s="226"/>
      <c r="F32" s="63"/>
      <c r="G32" s="227" t="s">
        <v>244</v>
      </c>
      <c r="H32" s="225" t="str">
        <f aca="false">A41</f>
        <v>13.50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513.5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n">
        <f aca="false">IF(B38="YES", D38+A41, D38)</f>
        <v>513.5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13.50</v>
      </c>
      <c r="I44" s="394" t="n">
        <f aca="false">((A41*(B35-1))+D32)/B35</f>
        <v>13.5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514.5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514.5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1602.99972</v>
      </c>
      <c r="C70" s="215" t="n">
        <v>10000</v>
      </c>
      <c r="D70" s="291" t="n">
        <f aca="false">B70-A149</f>
        <v>1602.99972</v>
      </c>
      <c r="E70" s="216" t="n">
        <f aca="false">D70/12</f>
        <v>133.58331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2216.99972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184.749976666667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8228.99972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69.709154546188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8298.70887454619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13.5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691.559072878849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691.559072878849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691.559072878849</v>
      </c>
      <c r="B134" s="321" t="n">
        <f aca="false">IF(A111="YES", B95, 0)</f>
        <v>0</v>
      </c>
      <c r="C134" s="326"/>
      <c r="D134" s="321" t="n">
        <f aca="false">B97</f>
        <v>691.559072878849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6224.03165590964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6224.03165590964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691.559072878849</v>
      </c>
      <c r="B143" s="38" t="n">
        <f aca="false">IF(A111="YES", B95, 0)</f>
        <v>0</v>
      </c>
      <c r="C143" s="317"/>
      <c r="D143" s="38" t="n">
        <f aca="false">B97</f>
        <v>691.559072878849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3.24</v>
      </c>
      <c r="H148" s="103" t="n">
        <f aca="false">G108-100</f>
        <v>139.988</v>
      </c>
      <c r="I148" s="103"/>
      <c r="J148" s="103" t="n">
        <f aca="false">(H145+J145+G148+H148)-H151</f>
        <v>1392.08633333333</v>
      </c>
      <c r="K148" s="105"/>
      <c r="L148" s="63"/>
      <c r="M148" s="111" t="n">
        <f aca="false">IF(M111="YES", ((A41*N111)*0.1)*(M133), 0)</f>
        <v>3.24</v>
      </c>
      <c r="N148" s="103" t="n">
        <f aca="false">M108-100</f>
        <v>99.99</v>
      </c>
      <c r="O148" s="103"/>
      <c r="P148" s="103" t="n">
        <f aca="false">(N145+P145+M148+N148)-N151</f>
        <v>1352.08833333333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214.48998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691.559072878849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691.559072878849</v>
      </c>
      <c r="B177" s="355" t="n">
        <f aca="false">IF(A111="YES", B95, 0)</f>
        <v>0</v>
      </c>
      <c r="C177" s="358"/>
      <c r="D177" s="355" t="n">
        <f aca="false">B91</f>
        <v>8228.99972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6224.03165590964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6224.03165590964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691.559072878849</v>
      </c>
      <c r="B186" s="103" t="n">
        <f aca="false">IF(A111="YES", B95, 0)</f>
        <v>0</v>
      </c>
      <c r="C186" s="353"/>
      <c r="D186" s="103" t="n">
        <f aca="false">B97</f>
        <v>691.559072878849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214.48998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1588.48974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1602.99972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1588.48974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69.709154546188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2592.41638666667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216.034698888889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10325.299664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72.8893683420734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10398.1890323421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866.515752695173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866.515752695173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866.515752695173</v>
      </c>
      <c r="B134" s="321" t="n">
        <f aca="false">IF(A111="YES", B95, 0)</f>
        <v>0</v>
      </c>
      <c r="C134" s="326"/>
      <c r="D134" s="321" t="n">
        <f aca="false">B97</f>
        <v>866.515752695173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866.515752695173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866.515752695173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866.515752695173</v>
      </c>
      <c r="B143" s="38" t="n">
        <f aca="false">IF(A111="YES", B95, 0)</f>
        <v>0</v>
      </c>
      <c r="C143" s="317"/>
      <c r="D143" s="38" t="n">
        <f aca="false">B97</f>
        <v>866.515752695173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333.491626666667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866.515752695173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866.515752695173</v>
      </c>
      <c r="B177" s="355" t="n">
        <f aca="false">IF(A111="YES", B95, 0)</f>
        <v>0</v>
      </c>
      <c r="C177" s="358"/>
      <c r="D177" s="355" t="n">
        <f aca="false">B91</f>
        <v>10325.299664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866.515752695173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866.515752695173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866.515752695173</v>
      </c>
      <c r="B186" s="103" t="n">
        <f aca="false">IF(A111="YES", B95, 0)</f>
        <v>0</v>
      </c>
      <c r="C186" s="353"/>
      <c r="D186" s="103" t="n">
        <f aca="false">B97</f>
        <v>866.515752695173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333.491626666667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1500.99142666667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1500.99142666667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72.8893683420734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8.92</v>
      </c>
      <c r="E32" s="226"/>
      <c r="F32" s="63"/>
      <c r="G32" s="227" t="s">
        <v>244</v>
      </c>
      <c r="H32" s="225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508.92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508.92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8.92</v>
      </c>
      <c r="I44" s="394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509.92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509.92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3259.08305333333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271.590254444444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9271.08305333333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78.5368068253328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9349.61986015867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11.596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779.134988346555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790.730988346555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779.134988346555</v>
      </c>
      <c r="B134" s="321" t="n">
        <f aca="false">IF(A111="YES", B95, 0)</f>
        <v>11.596</v>
      </c>
      <c r="C134" s="326"/>
      <c r="D134" s="321" t="n">
        <f aca="false">B97</f>
        <v>790.730988346555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779.134988346555</v>
      </c>
      <c r="C137" s="317"/>
      <c r="D137" s="38" t="n">
        <f aca="false">IF(A111="YES", B95*B63, 0)</f>
        <v>11.596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790.730988346555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779.134988346555</v>
      </c>
      <c r="B143" s="38" t="n">
        <f aca="false">IF(A111="YES", B95, 0)</f>
        <v>11.596</v>
      </c>
      <c r="C143" s="317"/>
      <c r="D143" s="38" t="n">
        <f aca="false">B97</f>
        <v>790.730988346555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2.1408</v>
      </c>
      <c r="H148" s="103" t="n">
        <f aca="false">G108-100</f>
        <v>139.988</v>
      </c>
      <c r="I148" s="103"/>
      <c r="J148" s="103" t="n">
        <f aca="false">(H145+J145+G148+H148)-H151</f>
        <v>1390.98713333333</v>
      </c>
      <c r="K148" s="105"/>
      <c r="L148" s="63"/>
      <c r="M148" s="111" t="n">
        <f aca="false">IF(M111="YES", ((A41*N111)*0.1)*(M133), 0)</f>
        <v>2.1408</v>
      </c>
      <c r="N148" s="103" t="n">
        <f aca="false">M108-100</f>
        <v>99.99</v>
      </c>
      <c r="O148" s="103"/>
      <c r="P148" s="103" t="n">
        <f aca="false">(N145+P145+M148+N148)-N151</f>
        <v>1350.98913333333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400</v>
      </c>
      <c r="C154" s="38"/>
      <c r="D154" s="38" t="n">
        <f aca="false">IF(A111="YES", (A41/100*B111)*B131, 0)*0.1</f>
        <v>3.2112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736.70116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790.730988346555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779.134988346555</v>
      </c>
      <c r="B177" s="355" t="n">
        <f aca="false">IF(A111="YES", B95, 0)</f>
        <v>11.596</v>
      </c>
      <c r="C177" s="358"/>
      <c r="D177" s="355" t="n">
        <f aca="false">B91</f>
        <v>9271.08305333333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779.134988346555</v>
      </c>
      <c r="C180" s="353"/>
      <c r="D180" s="103" t="n">
        <f aca="false">IF(A111="YES", B95*B63, 0)</f>
        <v>11.596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790.730988346555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779.134988346555</v>
      </c>
      <c r="B186" s="103" t="n">
        <f aca="false">IF(A111="YES", B95, 0)</f>
        <v>11.596</v>
      </c>
      <c r="C186" s="353"/>
      <c r="D186" s="103" t="n">
        <f aca="false">B97</f>
        <v>790.730988346555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3.2112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736.70116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372.102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1773.10176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1773.10176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32.112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78.5368068253328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12690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319.490633657329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319.490633657329</v>
      </c>
      <c r="B36" s="232" t="str">
        <f aca="false">IF(B26="YES", K42, "0.00")</f>
        <v>0.00</v>
      </c>
      <c r="C36" s="232"/>
      <c r="D36" s="232"/>
      <c r="E36" s="232" t="n">
        <f aca="false">K31</f>
        <v>12690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34761.1439986715</v>
      </c>
      <c r="N39" s="1" t="n">
        <f aca="false">K39-L39</f>
        <v>-15677.8139986715</v>
      </c>
      <c r="P39" s="212"/>
    </row>
    <row r="40" customFormat="false" ht="17.35" hidden="false" customHeight="false" outlineLevel="0" collapsed="false">
      <c r="A40" s="107" t="n">
        <f aca="false">E36*A45/100</f>
        <v>12690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10575</v>
      </c>
      <c r="L40" s="2" t="n">
        <f aca="false">K39-L39</f>
        <v>-15677.8139986715</v>
      </c>
      <c r="N40" s="1" t="n">
        <f aca="false">N38-N39</f>
        <v>18589.4939986715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8659.15290867306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10424.1770913269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319.490633657329</v>
      </c>
      <c r="L47" s="2" t="n">
        <f aca="false">L49-K42</f>
        <v>800</v>
      </c>
      <c r="M47" s="1" t="n">
        <f aca="false">K47-L47</f>
        <v>-480.509366342671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319.490633657329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319.490633657329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8993.06438371291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210.4167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319.490633657329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319.490633657329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319.490633657329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319.490633657329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12690</v>
      </c>
      <c r="C82" s="93"/>
      <c r="D82" s="93"/>
      <c r="E82" s="113"/>
      <c r="F82" s="31" t="s">
        <v>106</v>
      </c>
      <c r="G82" s="33" t="n">
        <f aca="false">IF(A111="YES",A40,0)</f>
        <v>12690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12690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12690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8432.91669105517</v>
      </c>
      <c r="C86" s="93"/>
      <c r="D86" s="93"/>
      <c r="E86" s="113"/>
      <c r="F86" s="31" t="s">
        <v>110</v>
      </c>
      <c r="G86" s="33" t="n">
        <f aca="false">(G82/((1+G84)^(G85+1)))</f>
        <v>10447.267984314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8584.37698639577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8584.37698639577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16817.0873089448</v>
      </c>
      <c r="C88" s="93"/>
      <c r="D88" s="93"/>
      <c r="E88" s="113"/>
      <c r="F88" s="31" t="s">
        <v>112</v>
      </c>
      <c r="G88" s="33" t="n">
        <f aca="false">G81-G86</f>
        <v>14802.736015686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585.563634153622</v>
      </c>
      <c r="C89" s="93"/>
      <c r="D89" s="93"/>
      <c r="E89" s="113"/>
      <c r="F89" s="31" t="s">
        <v>113</v>
      </c>
      <c r="G89" s="33" t="n">
        <f aca="false">(G88/G87)</f>
        <v>465.433062234454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20494.7271953768</v>
      </c>
      <c r="C90" s="93"/>
      <c r="D90" s="93"/>
      <c r="E90" s="113"/>
      <c r="F90" s="31" t="s">
        <v>114</v>
      </c>
      <c r="G90" s="33" t="n">
        <f aca="false">((G89*(G85))+G77)</f>
        <v>16290.1571782059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20494.7271953768</v>
      </c>
      <c r="C92" s="93"/>
      <c r="D92" s="93"/>
      <c r="E92" s="113"/>
      <c r="F92" s="56" t="s">
        <v>116</v>
      </c>
      <c r="G92" s="65" t="n">
        <f aca="false">(G90+G91)</f>
        <v>16290.1571782059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585.563634153622</v>
      </c>
      <c r="C95" s="93"/>
      <c r="D95" s="93"/>
      <c r="E95" s="113"/>
      <c r="F95" s="95" t="s">
        <v>118</v>
      </c>
      <c r="G95" s="96" t="n">
        <f aca="false">G92/(G85)</f>
        <v>465.433062234454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585.563634153622</v>
      </c>
      <c r="C96" s="93"/>
      <c r="D96" s="93"/>
      <c r="E96" s="113"/>
      <c r="F96" s="97" t="s">
        <v>119</v>
      </c>
      <c r="G96" s="98" t="n">
        <f aca="false">G94+G95</f>
        <v>465.433062234454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585.563634153622</v>
      </c>
      <c r="B167" s="177" t="str">
        <f aca="false">B94</f>
        <v>0</v>
      </c>
      <c r="C167" s="174"/>
      <c r="D167" s="174"/>
      <c r="E167" s="177" t="n">
        <f aca="false">B96</f>
        <v>585.563634153622</v>
      </c>
      <c r="F167" s="23"/>
      <c r="G167" s="23" t="n">
        <f aca="false">ROUND(G95, 2)</f>
        <v>465.43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12690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12690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12690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12690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7934.72319537677</v>
      </c>
      <c r="B182" s="103" t="str">
        <f aca="false">B114</f>
        <v>239.99</v>
      </c>
      <c r="C182" s="103"/>
      <c r="D182" s="23"/>
      <c r="E182" s="103" t="n">
        <f aca="false">E179+A182+B182+A185</f>
        <v>33434.7171953768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12700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12710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12700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12700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210.4167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310.408366666667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585.563634153622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3730.04600000001</v>
      </c>
      <c r="B201" s="186" t="n">
        <f aca="false">E179+A201+B182+A185</f>
        <v>29230.04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585.563634153622</v>
      </c>
      <c r="B212" s="177" t="str">
        <f aca="false">B167</f>
        <v>0</v>
      </c>
      <c r="C212" s="174"/>
      <c r="D212" s="174"/>
      <c r="E212" s="177" t="n">
        <f aca="false">E167</f>
        <v>585.563634153622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7934.72319537677</v>
      </c>
      <c r="B224" s="103" t="str">
        <f aca="false">B182</f>
        <v>239.99</v>
      </c>
      <c r="C224" s="103"/>
      <c r="D224" s="113"/>
      <c r="E224" s="103" t="n">
        <f aca="false">E182</f>
        <v>33434.7171953768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585.563634153622</v>
      </c>
      <c r="B230" s="103" t="str">
        <f aca="false">B167</f>
        <v>0</v>
      </c>
      <c r="C230" s="186"/>
      <c r="D230" s="186"/>
      <c r="E230" s="103" t="n">
        <f aca="false">E167</f>
        <v>585.563634153622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12690</v>
      </c>
      <c r="B233" s="103" t="n">
        <f aca="false">E185</f>
        <v>12700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210.4167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2268.74836666666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4214.67719537676</v>
      </c>
      <c r="C254" s="197"/>
      <c r="D254" s="198" t="s">
        <v>216</v>
      </c>
      <c r="E254" s="198"/>
      <c r="F254" s="200" t="n">
        <f aca="false">F261+F267+F269+B270+B271</f>
        <v>252.50004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4062.16882204343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4214.67719537676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252.50004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4062.16882204343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18720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201.96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408.726417095459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391.896417095458</v>
      </c>
      <c r="B36" s="232" t="n">
        <f aca="false">IF(B26="YES", K42, "0.00")</f>
        <v>16.83</v>
      </c>
      <c r="C36" s="232"/>
      <c r="D36" s="232"/>
      <c r="E36" s="232" t="n">
        <f aca="false">K31</f>
        <v>18720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23617.3952217881</v>
      </c>
      <c r="N39" s="1" t="n">
        <f aca="false">K39-L39</f>
        <v>-4534.06522178812</v>
      </c>
      <c r="P39" s="212"/>
    </row>
    <row r="40" customFormat="false" ht="17.35" hidden="false" customHeight="false" outlineLevel="0" collapsed="false">
      <c r="A40" s="107" t="n">
        <f aca="false">E36*A45/100</f>
        <v>18720</v>
      </c>
      <c r="B40" s="107" t="n">
        <f aca="false">IF(B26="YES", K42, "0.00")</f>
        <v>16.83</v>
      </c>
      <c r="C40" s="107"/>
      <c r="D40" s="107"/>
      <c r="E40" s="182" t="n">
        <f aca="false">K32</f>
        <v>201.96</v>
      </c>
      <c r="F40" s="186"/>
      <c r="G40" s="186"/>
      <c r="H40" s="47"/>
      <c r="J40" s="2" t="s">
        <v>106</v>
      </c>
      <c r="K40" s="2" t="n">
        <f aca="false">(A40)/1.2</f>
        <v>15600</v>
      </c>
      <c r="L40" s="2" t="n">
        <f aca="false">K39-L39</f>
        <v>-4534.06522178812</v>
      </c>
      <c r="N40" s="1" t="n">
        <f aca="false">N38-N39</f>
        <v>7445.74522178812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16.83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14542.0473963917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4541.28260360831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391.896417095458</v>
      </c>
      <c r="L47" s="2" t="n">
        <f aca="false">L49-K42</f>
        <v>783.17</v>
      </c>
      <c r="M47" s="1" t="n">
        <f aca="false">K47-L47</f>
        <v>-391.273582904541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408.726417095459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408.726417095459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449.861993574134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105.20835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391.896417095458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391.896417095458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408.726417095459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408.726417095459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IF(A111="YES",A40,0)*1.2</f>
        <v>22464</v>
      </c>
      <c r="C82" s="93"/>
      <c r="D82" s="93"/>
      <c r="E82" s="113"/>
      <c r="F82" s="31" t="s">
        <v>106</v>
      </c>
      <c r="G82" s="33" t="n">
        <f aca="false">IF(A111="YES",A40,0)*1.2</f>
        <v>22464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18720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18720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20344.7780500269</v>
      </c>
      <c r="C86" s="93"/>
      <c r="D86" s="93"/>
      <c r="E86" s="113"/>
      <c r="F86" s="31" t="s">
        <v>110</v>
      </c>
      <c r="G86" s="33" t="n">
        <f aca="false">(G82/((1+G84)^(G85+1)))</f>
        <v>21053.9762204959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16263.4495442108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16263.4495442108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4905.22594997312</v>
      </c>
      <c r="C88" s="93"/>
      <c r="D88" s="93"/>
      <c r="E88" s="113"/>
      <c r="F88" s="31" t="s">
        <v>112</v>
      </c>
      <c r="G88" s="33" t="n">
        <f aca="false">G81-G86</f>
        <v>4196.02777950411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468.419908974512</v>
      </c>
      <c r="C89" s="93"/>
      <c r="D89" s="93"/>
      <c r="E89" s="113"/>
      <c r="F89" s="31" t="s">
        <v>113</v>
      </c>
      <c r="G89" s="33" t="n">
        <f aca="false">(G88/G87)</f>
        <v>393.966037580706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5152.61899871964</v>
      </c>
      <c r="C90" s="93"/>
      <c r="D90" s="93"/>
      <c r="E90" s="113"/>
      <c r="F90" s="31" t="s">
        <v>114</v>
      </c>
      <c r="G90" s="33" t="n">
        <f aca="false">((G89*(G85))+G77)</f>
        <v>4333.62641338777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5152.61899871964</v>
      </c>
      <c r="C92" s="93"/>
      <c r="D92" s="93"/>
      <c r="E92" s="113"/>
      <c r="F92" s="56" t="s">
        <v>116</v>
      </c>
      <c r="G92" s="65" t="n">
        <f aca="false">(G90+G91)</f>
        <v>4333.62641338777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22.032</v>
      </c>
      <c r="C94" s="93"/>
      <c r="D94" s="93"/>
      <c r="E94" s="113"/>
      <c r="F94" s="88" t="s">
        <v>117</v>
      </c>
      <c r="G94" s="94" t="n">
        <f aca="false">IF(B26="YES",((E40/B85)*(1+A108)*(C45/100)),"0")</f>
        <v>22.032</v>
      </c>
      <c r="H94" s="33"/>
      <c r="J94" s="88" t="s">
        <v>117</v>
      </c>
      <c r="K94" s="89" t="n">
        <f aca="false">((E40/K85)*(1+J108))*1.2</f>
        <v>26.2548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22.032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26.4384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468.419908974512</v>
      </c>
      <c r="C95" s="93"/>
      <c r="D95" s="93"/>
      <c r="E95" s="113"/>
      <c r="F95" s="95" t="s">
        <v>118</v>
      </c>
      <c r="G95" s="96" t="n">
        <f aca="false">G92/(G85)</f>
        <v>393.966037580706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490.451908974513</v>
      </c>
      <c r="C96" s="93"/>
      <c r="D96" s="93"/>
      <c r="E96" s="113"/>
      <c r="F96" s="97" t="s">
        <v>119</v>
      </c>
      <c r="G96" s="98" t="n">
        <f aca="false">G94+G95</f>
        <v>415.998037580706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468.419908974512</v>
      </c>
      <c r="B167" s="177" t="n">
        <f aca="false">B94</f>
        <v>22.032</v>
      </c>
      <c r="C167" s="174"/>
      <c r="D167" s="174"/>
      <c r="E167" s="177" t="n">
        <f aca="false">B96</f>
        <v>490.451908974513</v>
      </c>
      <c r="F167" s="23"/>
      <c r="G167" s="23" t="n">
        <f aca="false">ROUND(G95, 2)</f>
        <v>393.97</v>
      </c>
      <c r="H167" s="33"/>
      <c r="J167" s="176" t="e">
        <f aca="false">K95</f>
        <v>#VALUE!</v>
      </c>
      <c r="K167" s="177" t="n">
        <f aca="false">K94</f>
        <v>26.2548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22.032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26.4384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180" t="n">
        <f aca="false">K30</f>
        <v>10000</v>
      </c>
      <c r="C170" s="181"/>
      <c r="D170" s="23"/>
      <c r="E170" s="182" t="n">
        <f aca="false">IF(A111="YES",A40, 0)</f>
        <v>18720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18720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18720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18720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-1377.38500128036</v>
      </c>
      <c r="B182" s="103" t="str">
        <f aca="false">B114</f>
        <v>199.99</v>
      </c>
      <c r="C182" s="103"/>
      <c r="D182" s="23"/>
      <c r="E182" s="103" t="n">
        <f aca="false">E179+A182+(B182*1.2)+A185</f>
        <v>24122.6069987196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18730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18740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18730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18730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105.20835</v>
      </c>
      <c r="C188" s="93"/>
      <c r="D188" s="93"/>
      <c r="E188" s="103" t="n">
        <f aca="false">(E40*A108)*0.1*(C45/100)</f>
        <v>4.0392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6.0588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4.0392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4.0392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209.23755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490.451908974513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-2196.334</v>
      </c>
      <c r="B201" s="186" t="n">
        <f aca="false">E179+A201+(B182*1.2)+A185</f>
        <v>23303.658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468.419908974512</v>
      </c>
      <c r="B212" s="177" t="n">
        <f aca="false">B167</f>
        <v>22.032</v>
      </c>
      <c r="C212" s="174"/>
      <c r="D212" s="174"/>
      <c r="E212" s="177" t="n">
        <f aca="false">E167</f>
        <v>490.451908974513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-1377.38500128036</v>
      </c>
      <c r="B224" s="103" t="str">
        <f aca="false">B182</f>
        <v>199.99</v>
      </c>
      <c r="C224" s="103"/>
      <c r="D224" s="113"/>
      <c r="E224" s="103" t="n">
        <f aca="false">E182</f>
        <v>24122.6069987196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468.419908974512</v>
      </c>
      <c r="B230" s="103" t="n">
        <f aca="false">B167</f>
        <v>22.032</v>
      </c>
      <c r="C230" s="186"/>
      <c r="D230" s="186"/>
      <c r="E230" s="103" t="n">
        <f aca="false">E167</f>
        <v>490.451908974513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18720</v>
      </c>
      <c r="B233" s="103" t="n">
        <f aca="false">E185</f>
        <v>18730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105.20835</v>
      </c>
      <c r="C240" s="93"/>
      <c r="D240" s="93"/>
      <c r="E240" s="103" t="n">
        <f aca="false">E188</f>
        <v>4.0392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2167.57754999999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828.948998719639</v>
      </c>
      <c r="C254" s="197"/>
      <c r="D254" s="198" t="s">
        <v>216</v>
      </c>
      <c r="E254" s="198"/>
      <c r="F254" s="200" t="n">
        <f aca="false">F261+F267+F269+B270+B271</f>
        <v>126.25002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140.382</v>
      </c>
      <c r="C255" s="197"/>
      <c r="D255" s="198" t="s">
        <v>218</v>
      </c>
      <c r="E255" s="198"/>
      <c r="F255" s="200" t="n">
        <f aca="false">(B254-F254)+B255</f>
        <v>843.08097871964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828.948998719639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126.25002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40.392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843.08097871964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12" activeCellId="0" sqref="E11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50000</v>
      </c>
      <c r="C2" s="4" t="s">
        <v>2</v>
      </c>
      <c r="D2" s="5" t="n">
        <f aca="false">C9</f>
        <v>10000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60000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50000</v>
      </c>
      <c r="C9" s="14" t="n">
        <f aca="false">B9*0.2</f>
        <v>10000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50000</v>
      </c>
      <c r="C15" s="14" t="n">
        <f aca="false">SUM(C9:C13)</f>
        <v>10000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60000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50000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12690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1267.05574141944</v>
      </c>
      <c r="F33" s="232"/>
      <c r="G33" s="232"/>
      <c r="H33" s="47"/>
      <c r="I33" s="2"/>
      <c r="J33" s="34" t="s">
        <v>356</v>
      </c>
      <c r="K33" s="48" t="n">
        <f aca="false">E21</f>
        <v>50000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1267.05574141944</v>
      </c>
      <c r="B36" s="232" t="str">
        <f aca="false">IF(B26="YES", K42, "0.00")</f>
        <v>0.00</v>
      </c>
      <c r="C36" s="232"/>
      <c r="D36" s="232"/>
      <c r="E36" s="232" t="n">
        <f aca="false">K31</f>
        <v>12690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50000</v>
      </c>
      <c r="L39" s="2" t="n">
        <f aca="false">(L47*K46)+K44</f>
        <v>34761.1439986715</v>
      </c>
      <c r="N39" s="1" t="n">
        <f aca="false">K39-L39</f>
        <v>15238.8560013285</v>
      </c>
      <c r="P39" s="212"/>
    </row>
    <row r="40" customFormat="false" ht="17.35" hidden="false" customHeight="false" outlineLevel="0" collapsed="false">
      <c r="A40" s="107" t="n">
        <f aca="false">E36*A45/100</f>
        <v>12690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10575</v>
      </c>
      <c r="L40" s="2" t="n">
        <f aca="false">K39-L39</f>
        <v>15238.8560013285</v>
      </c>
      <c r="N40" s="1" t="n">
        <f aca="false">N38-N39</f>
        <v>-12327.1760013285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8659.15290867306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40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41340.8470913269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1267.05574141944</v>
      </c>
      <c r="L47" s="2" t="n">
        <f aca="false">L49-K42</f>
        <v>800</v>
      </c>
      <c r="M47" s="1" t="n">
        <f aca="false">K47-L47</f>
        <v>467.05574141944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1267.05574141944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1267.05574141944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17717.4832387736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503.333333333333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1267.05574141944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1267.05574141944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1267.05574141944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1267.05574141944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60400</v>
      </c>
      <c r="C81" s="93"/>
      <c r="D81" s="93"/>
      <c r="E81" s="113"/>
      <c r="F81" s="25" t="s">
        <v>105</v>
      </c>
      <c r="G81" s="27" t="n">
        <f aca="false">G158</f>
        <v>60400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12690</v>
      </c>
      <c r="C82" s="93"/>
      <c r="D82" s="93"/>
      <c r="E82" s="113"/>
      <c r="F82" s="31" t="s">
        <v>106</v>
      </c>
      <c r="G82" s="33" t="n">
        <f aca="false">IF(A111="YES",A40,0)</f>
        <v>12690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12690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12690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8432.91669105517</v>
      </c>
      <c r="C86" s="93"/>
      <c r="D86" s="93"/>
      <c r="E86" s="113"/>
      <c r="F86" s="31" t="s">
        <v>110</v>
      </c>
      <c r="G86" s="33" t="n">
        <f aca="false">(G82/((1+G84)^(G85+1)))</f>
        <v>10447.267984314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8584.37698639577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8584.37698639577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51967.0833089448</v>
      </c>
      <c r="C88" s="93"/>
      <c r="D88" s="93"/>
      <c r="E88" s="113"/>
      <c r="F88" s="31" t="s">
        <v>112</v>
      </c>
      <c r="G88" s="33" t="n">
        <f aca="false">G81-G86</f>
        <v>49952.732015686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1809.47114085353</v>
      </c>
      <c r="C89" s="93"/>
      <c r="D89" s="93"/>
      <c r="E89" s="113"/>
      <c r="F89" s="31" t="s">
        <v>113</v>
      </c>
      <c r="G89" s="33" t="n">
        <f aca="false">(G88/G87)</f>
        <v>1570.63214559801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63331.4899298735</v>
      </c>
      <c r="C90" s="93"/>
      <c r="D90" s="93"/>
      <c r="E90" s="113"/>
      <c r="F90" s="31" t="s">
        <v>114</v>
      </c>
      <c r="G90" s="33" t="n">
        <f aca="false">((G89*(G85))+G77)</f>
        <v>54972.1250959303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63331.4899298735</v>
      </c>
      <c r="C92" s="93"/>
      <c r="D92" s="93"/>
      <c r="E92" s="113"/>
      <c r="F92" s="56" t="s">
        <v>116</v>
      </c>
      <c r="G92" s="65" t="n">
        <f aca="false">(G90+G91)</f>
        <v>54972.1250959303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1809.47114085353</v>
      </c>
      <c r="C95" s="93"/>
      <c r="D95" s="93"/>
      <c r="E95" s="113"/>
      <c r="F95" s="95" t="s">
        <v>118</v>
      </c>
      <c r="G95" s="96" t="n">
        <f aca="false">G92/(G85)</f>
        <v>1570.63214559801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1809.47114085353</v>
      </c>
      <c r="C96" s="93"/>
      <c r="D96" s="93"/>
      <c r="E96" s="113"/>
      <c r="F96" s="97" t="s">
        <v>119</v>
      </c>
      <c r="G96" s="98" t="n">
        <f aca="false">G94+G95</f>
        <v>1570.63214559801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50000</v>
      </c>
      <c r="C121" s="121" t="n">
        <v>50000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60000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60000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60000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50000</v>
      </c>
      <c r="C125" s="133" t="n">
        <f aca="false">C121-C124</f>
        <v>50000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50000</v>
      </c>
      <c r="H135" s="153" t="n">
        <f aca="false">C125+E125+G125+H128</f>
        <v>50000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10000</v>
      </c>
      <c r="H137" s="33" t="n">
        <f aca="false">(H135+H136)*20%</f>
        <v>10000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60000</v>
      </c>
      <c r="H141" s="157" t="n">
        <f aca="false">(H135+H136+H139+H140+H137)-H138</f>
        <v>60000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60000</v>
      </c>
      <c r="H147" s="164" t="n">
        <f aca="false">H141-((H144*1.2)+(H145*1.2)+(H146*1.2)+(H142*1.2))</f>
        <v>60000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-50333.3333333333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1200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3600</v>
      </c>
      <c r="F153" s="166"/>
      <c r="G153" s="107" t="n">
        <v>3600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-3600</v>
      </c>
      <c r="F154" s="166"/>
      <c r="G154" s="167" t="n">
        <f aca="false">G152-G153</f>
        <v>-2400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-1200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60400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1809.47114085353</v>
      </c>
      <c r="B167" s="177" t="str">
        <f aca="false">B94</f>
        <v>0</v>
      </c>
      <c r="C167" s="174"/>
      <c r="D167" s="174"/>
      <c r="E167" s="177" t="n">
        <f aca="false">B96</f>
        <v>1809.47114085353</v>
      </c>
      <c r="F167" s="23"/>
      <c r="G167" s="23" t="n">
        <f aca="false">ROUND(G95, 2)</f>
        <v>1570.63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12690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12690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12690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12690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50000</v>
      </c>
      <c r="B173" s="103" t="n">
        <f aca="false">H137</f>
        <v>10000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60000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-2400</v>
      </c>
      <c r="C179" s="103"/>
      <c r="D179" s="23"/>
      <c r="E179" s="103" t="n">
        <f aca="false">A176-A179-B179</f>
        <v>60400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15621.4899298735</v>
      </c>
      <c r="B182" s="103" t="str">
        <f aca="false">B114</f>
        <v>239.99</v>
      </c>
      <c r="C182" s="103"/>
      <c r="D182" s="23"/>
      <c r="E182" s="103" t="n">
        <f aca="false">E179+A182+B182+A185</f>
        <v>76271.4799298735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12700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12710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12700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12700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0</v>
      </c>
      <c r="B188" s="103" t="n">
        <f aca="false">(G158*B67)</f>
        <v>604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703.991666666667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1809.47114085353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7262.05</v>
      </c>
      <c r="B201" s="186" t="n">
        <f aca="false">E179+A201+B182+A185</f>
        <v>67912.04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1809.47114085353</v>
      </c>
      <c r="B212" s="177" t="str">
        <f aca="false">B167</f>
        <v>0</v>
      </c>
      <c r="C212" s="174"/>
      <c r="D212" s="174"/>
      <c r="E212" s="177" t="n">
        <f aca="false">E167</f>
        <v>1809.47114085353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50000</v>
      </c>
      <c r="B215" s="103" t="n">
        <f aca="false">B173</f>
        <v>10000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60000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-2400</v>
      </c>
      <c r="C221" s="103"/>
      <c r="D221" s="113"/>
      <c r="E221" s="103" t="n">
        <f aca="false">E179</f>
        <v>60400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15621.4899298735</v>
      </c>
      <c r="B224" s="103" t="str">
        <f aca="false">B182</f>
        <v>239.99</v>
      </c>
      <c r="C224" s="103"/>
      <c r="D224" s="113"/>
      <c r="E224" s="103" t="n">
        <f aca="false">E182</f>
        <v>76271.4799298735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1809.47114085353</v>
      </c>
      <c r="B230" s="103" t="str">
        <f aca="false">B167</f>
        <v>0</v>
      </c>
      <c r="C230" s="186"/>
      <c r="D230" s="186"/>
      <c r="E230" s="103" t="n">
        <f aca="false">E167</f>
        <v>1809.47114085353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12690</v>
      </c>
      <c r="B233" s="103" t="n">
        <f aca="false">E185</f>
        <v>12700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503.333333333333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603.325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8369.43992987345</v>
      </c>
      <c r="C254" s="197"/>
      <c r="D254" s="198" t="s">
        <v>216</v>
      </c>
      <c r="E254" s="198"/>
      <c r="F254" s="200" t="n">
        <f aca="false">F261+F267+F269+B270+B271</f>
        <v>604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7865.43159654012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8369.43992987345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604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7865.43159654012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18720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201.96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408.726417095459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391.896417095458</v>
      </c>
      <c r="B36" s="232" t="n">
        <f aca="false">IF(B26="YES", K42, "0.00")</f>
        <v>16.83</v>
      </c>
      <c r="C36" s="232"/>
      <c r="D36" s="232"/>
      <c r="E36" s="232" t="n">
        <f aca="false">K31</f>
        <v>18720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23617.3952217881</v>
      </c>
      <c r="N39" s="1" t="n">
        <f aca="false">K39-L39</f>
        <v>-4534.06522178812</v>
      </c>
      <c r="P39" s="212"/>
    </row>
    <row r="40" customFormat="false" ht="17.35" hidden="false" customHeight="false" outlineLevel="0" collapsed="false">
      <c r="A40" s="107" t="n">
        <f aca="false">E36*A45/100</f>
        <v>18720</v>
      </c>
      <c r="B40" s="107" t="n">
        <f aca="false">IF(B26="YES", K42, "0.00")</f>
        <v>16.83</v>
      </c>
      <c r="C40" s="107"/>
      <c r="D40" s="107"/>
      <c r="E40" s="182" t="n">
        <f aca="false">K32</f>
        <v>201.96</v>
      </c>
      <c r="F40" s="186"/>
      <c r="G40" s="186"/>
      <c r="H40" s="47"/>
      <c r="J40" s="2" t="s">
        <v>106</v>
      </c>
      <c r="K40" s="2" t="n">
        <f aca="false">(A40)/1.2</f>
        <v>15600</v>
      </c>
      <c r="L40" s="2" t="n">
        <f aca="false">K39-L39</f>
        <v>-4534.06522178812</v>
      </c>
      <c r="N40" s="1" t="n">
        <f aca="false">N38-N39</f>
        <v>7445.74522178812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16.83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14542.0473963917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4541.28260360831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391.896417095458</v>
      </c>
      <c r="L47" s="2" t="n">
        <f aca="false">L49-K42</f>
        <v>783.17</v>
      </c>
      <c r="M47" s="1" t="n">
        <f aca="false">K47-L47</f>
        <v>-391.273582904541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408.726417095459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408.726417095459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449.861993574134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105.20835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391.896417095458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391.896417095458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408.726417095459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408.726417095459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IF(A111="YES",A40,0)*1.2</f>
        <v>22464</v>
      </c>
      <c r="C82" s="93"/>
      <c r="D82" s="93"/>
      <c r="E82" s="113"/>
      <c r="F82" s="31" t="s">
        <v>106</v>
      </c>
      <c r="G82" s="33" t="n">
        <f aca="false">IF(A111="YES",A40,0)*1.2</f>
        <v>22464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18720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18720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20344.7780500269</v>
      </c>
      <c r="C86" s="93"/>
      <c r="D86" s="93"/>
      <c r="E86" s="113"/>
      <c r="F86" s="31" t="s">
        <v>110</v>
      </c>
      <c r="G86" s="33" t="n">
        <f aca="false">(G82/((1+G84)^(G85+1)))</f>
        <v>21053.9762204959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16263.4495442108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16263.4495442108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4905.22594997312</v>
      </c>
      <c r="C88" s="93"/>
      <c r="D88" s="93"/>
      <c r="E88" s="113"/>
      <c r="F88" s="31" t="s">
        <v>112</v>
      </c>
      <c r="G88" s="33" t="n">
        <f aca="false">G81-G86</f>
        <v>4196.02777950411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468.419908974512</v>
      </c>
      <c r="C89" s="93"/>
      <c r="D89" s="93"/>
      <c r="E89" s="113"/>
      <c r="F89" s="31" t="s">
        <v>113</v>
      </c>
      <c r="G89" s="33" t="n">
        <f aca="false">(G88/G87)</f>
        <v>393.966037580706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5152.61899871964</v>
      </c>
      <c r="C90" s="93"/>
      <c r="D90" s="93"/>
      <c r="E90" s="113"/>
      <c r="F90" s="31" t="s">
        <v>114</v>
      </c>
      <c r="G90" s="33" t="n">
        <f aca="false">((G89*(G85))+G77)</f>
        <v>4333.62641338777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5152.61899871964</v>
      </c>
      <c r="C92" s="93"/>
      <c r="D92" s="93"/>
      <c r="E92" s="113"/>
      <c r="F92" s="56" t="s">
        <v>116</v>
      </c>
      <c r="G92" s="65" t="n">
        <f aca="false">(G90+G91)</f>
        <v>4333.62641338777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22.032</v>
      </c>
      <c r="C94" s="93"/>
      <c r="D94" s="93"/>
      <c r="E94" s="113"/>
      <c r="F94" s="88" t="s">
        <v>117</v>
      </c>
      <c r="G94" s="94" t="n">
        <f aca="false">IF(B26="YES",((E40/B85)*(1+A108)*(C45/100)),"0")</f>
        <v>22.032</v>
      </c>
      <c r="H94" s="33"/>
      <c r="J94" s="88" t="s">
        <v>117</v>
      </c>
      <c r="K94" s="89" t="n">
        <f aca="false">((E40/K85)*(1+J108))*1.2</f>
        <v>26.2548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22.032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26.4384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468.419908974512</v>
      </c>
      <c r="C95" s="93"/>
      <c r="D95" s="93"/>
      <c r="E95" s="113"/>
      <c r="F95" s="95" t="s">
        <v>118</v>
      </c>
      <c r="G95" s="96" t="n">
        <f aca="false">G92/(G85)</f>
        <v>393.966037580706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490.451908974513</v>
      </c>
      <c r="C96" s="93"/>
      <c r="D96" s="93"/>
      <c r="E96" s="113"/>
      <c r="F96" s="97" t="s">
        <v>119</v>
      </c>
      <c r="G96" s="98" t="n">
        <f aca="false">G94+G95</f>
        <v>415.998037580706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468.419908974512</v>
      </c>
      <c r="B167" s="177" t="n">
        <f aca="false">B94</f>
        <v>22.032</v>
      </c>
      <c r="C167" s="174"/>
      <c r="D167" s="174"/>
      <c r="E167" s="177" t="n">
        <f aca="false">B96</f>
        <v>490.451908974513</v>
      </c>
      <c r="F167" s="23"/>
      <c r="G167" s="23" t="n">
        <f aca="false">ROUND(G95, 2)</f>
        <v>393.97</v>
      </c>
      <c r="H167" s="33"/>
      <c r="J167" s="176" t="e">
        <f aca="false">K95</f>
        <v>#VALUE!</v>
      </c>
      <c r="K167" s="177" t="n">
        <f aca="false">K94</f>
        <v>26.2548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22.032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26.4384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18720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18720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18720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18720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-1377.38500128036</v>
      </c>
      <c r="B182" s="103" t="str">
        <f aca="false">B114</f>
        <v>199.99</v>
      </c>
      <c r="C182" s="103"/>
      <c r="D182" s="23"/>
      <c r="E182" s="103" t="n">
        <f aca="false">E179+A182+(B182*1.2)+A185</f>
        <v>24122.6069987196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18730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18740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18730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18730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105.20835</v>
      </c>
      <c r="C188" s="93"/>
      <c r="D188" s="93"/>
      <c r="E188" s="103" t="n">
        <f aca="false">(E40*A108)*0.1*(C45/100)</f>
        <v>4.0392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6.0588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4.0392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4.0392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209.23755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490.451908974513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-2196.334</v>
      </c>
      <c r="B201" s="186" t="n">
        <f aca="false">E179+A201+(B182*1.2)+A185</f>
        <v>23303.658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468.419908974512</v>
      </c>
      <c r="B212" s="177" t="n">
        <f aca="false">B167</f>
        <v>22.032</v>
      </c>
      <c r="C212" s="174"/>
      <c r="D212" s="174"/>
      <c r="E212" s="177" t="n">
        <f aca="false">E167</f>
        <v>490.451908974513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-1377.38500128036</v>
      </c>
      <c r="B224" s="103" t="str">
        <f aca="false">B182</f>
        <v>199.99</v>
      </c>
      <c r="C224" s="103"/>
      <c r="D224" s="113"/>
      <c r="E224" s="103" t="n">
        <f aca="false">E182</f>
        <v>24122.6069987196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468.419908974512</v>
      </c>
      <c r="B230" s="103" t="n">
        <f aca="false">B167</f>
        <v>22.032</v>
      </c>
      <c r="C230" s="186"/>
      <c r="D230" s="186"/>
      <c r="E230" s="103" t="n">
        <f aca="false">E167</f>
        <v>490.451908974513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18720</v>
      </c>
      <c r="B233" s="103" t="n">
        <f aca="false">E185</f>
        <v>18730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105.20835</v>
      </c>
      <c r="C240" s="93"/>
      <c r="D240" s="93"/>
      <c r="E240" s="103" t="n">
        <f aca="false">E188</f>
        <v>4.0392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2167.57754999999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828.948998719639</v>
      </c>
      <c r="C254" s="197"/>
      <c r="D254" s="198" t="s">
        <v>216</v>
      </c>
      <c r="E254" s="198"/>
      <c r="F254" s="200" t="n">
        <f aca="false">F261+F267+F269+B270+B271</f>
        <v>126.25002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140.382</v>
      </c>
      <c r="C255" s="197"/>
      <c r="D255" s="198" t="s">
        <v>218</v>
      </c>
      <c r="E255" s="198"/>
      <c r="F255" s="200" t="n">
        <f aca="false">(B254-F254)+B255</f>
        <v>843.08097871964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828.948998719639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126.25002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40.392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843.08097871964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5" activeCellId="0" sqref="B65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16740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976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1334.56481288654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1310.16481288654</v>
      </c>
      <c r="B36" s="103" t="n">
        <f aca="false">IF(B26="YES", H42, "")</f>
        <v>24.4</v>
      </c>
      <c r="C36" s="221"/>
      <c r="D36" s="184" t="n">
        <f aca="false">H31</f>
        <v>16740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19841.5907646801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5022</v>
      </c>
      <c r="B40" s="107" t="n">
        <f aca="false">IF(B26="YES",H42,"0")</f>
        <v>24.4</v>
      </c>
      <c r="C40" s="107"/>
      <c r="D40" s="184" t="n">
        <f aca="false">I32</f>
        <v>976</v>
      </c>
      <c r="E40" s="216"/>
      <c r="F40" s="63"/>
      <c r="G40" s="63" t="s">
        <v>106</v>
      </c>
      <c r="H40" s="238" t="n">
        <f aca="false">A40/1.2</f>
        <v>4185</v>
      </c>
      <c r="I40" s="238" t="n">
        <f aca="false">H39-I39</f>
        <v>-758.260764680101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24.4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3901.18386883969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15182.1461311603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11.5879666297182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1310.16481288654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1334.56481288654</v>
      </c>
      <c r="I48" s="238" t="n">
        <f aca="false">I49-H42</f>
        <v>1375.6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1334.56481288654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1602.99972</v>
      </c>
      <c r="C64" s="465" t="n">
        <v>10000</v>
      </c>
      <c r="D64" s="291" t="n">
        <f aca="false">B64</f>
        <v>1602.99972</v>
      </c>
      <c r="E64" s="466" t="n">
        <f aca="false">D64/(B58+B57)</f>
        <v>133.58331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472" t="n">
        <f aca="false">B73+B71</f>
        <v>260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37.037037037037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55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2929.66638666667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244.138865555556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1310.16481288654</v>
      </c>
      <c r="C83" s="473"/>
      <c r="D83" s="215"/>
      <c r="E83" s="466" t="n">
        <f aca="false">B83+E80+E77+E64</f>
        <v>1535.78515992358</v>
      </c>
      <c r="F83" s="63"/>
      <c r="G83" s="305" t="s">
        <v>104</v>
      </c>
      <c r="H83" s="306" t="n">
        <f aca="false">H47</f>
        <v>1310.16481288654</v>
      </c>
      <c r="I83" s="215"/>
      <c r="J83" s="215"/>
      <c r="K83" s="216"/>
      <c r="L83" s="63"/>
      <c r="M83" s="305" t="s">
        <v>104</v>
      </c>
      <c r="N83" s="306" t="n">
        <f aca="false">H47</f>
        <v>1310.16481288654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18651.6441413052</v>
      </c>
      <c r="C85" s="473"/>
      <c r="D85" s="473"/>
      <c r="E85" s="466" t="n">
        <f aca="false">B85/(B58+B57)</f>
        <v>1554.3036784421</v>
      </c>
      <c r="F85" s="63"/>
      <c r="G85" s="288" t="s">
        <v>114</v>
      </c>
      <c r="H85" s="131" t="n">
        <f aca="false">((H83*H29)+H81)*1.2</f>
        <v>19619.6733055662</v>
      </c>
      <c r="I85" s="215"/>
      <c r="J85" s="215"/>
      <c r="K85" s="216"/>
      <c r="L85" s="63"/>
      <c r="M85" s="288" t="s">
        <v>114</v>
      </c>
      <c r="N85" s="131" t="n">
        <f aca="false">((N83*H29)+N81)</f>
        <v>16335.9777546385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158.001019349499</v>
      </c>
      <c r="C86" s="473" t="s">
        <v>230</v>
      </c>
      <c r="D86" s="215"/>
      <c r="E86" s="466" t="n">
        <f aca="false">B86/(B58+B57)</f>
        <v>13.1667516124583</v>
      </c>
      <c r="F86" s="63"/>
      <c r="G86" s="214" t="s">
        <v>115</v>
      </c>
      <c r="H86" s="300" t="n">
        <f aca="false">((((H83*H29)+H81))/(1-H70))*H70</f>
        <v>138.501122568539</v>
      </c>
      <c r="I86" s="215"/>
      <c r="J86" s="215"/>
      <c r="K86" s="216"/>
      <c r="L86" s="63"/>
      <c r="M86" s="214" t="s">
        <v>115</v>
      </c>
      <c r="N86" s="300" t="n">
        <f aca="false">(N85/(1-N70))*N70</f>
        <v>138.384644149822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18809.6451606547</v>
      </c>
      <c r="C87" s="473"/>
      <c r="D87" s="475"/>
      <c r="E87" s="466" t="n">
        <f aca="false">E86+E85</f>
        <v>1567.47043005456</v>
      </c>
      <c r="F87" s="63"/>
      <c r="G87" s="285" t="s">
        <v>116</v>
      </c>
      <c r="H87" s="133" t="n">
        <f aca="false">IF(H110="YES",((H85+H86)-K114),(H85+H86))</f>
        <v>19758.1744281348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16474.3623987883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29.28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82.6729411764706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68.8941176470588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1567.47043005456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1162.24555459616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969.080141105197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1596.75043005456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1244.91849577263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1037.97425875226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1162.24555459616</v>
      </c>
      <c r="H127" s="177" t="n">
        <f aca="false">IF(G105="YES", H89*H57, 0)</f>
        <v>496.037647058824</v>
      </c>
      <c r="I127" s="177"/>
      <c r="J127" s="334" t="n">
        <f aca="false">H91</f>
        <v>1244.91849577263</v>
      </c>
      <c r="K127" s="216"/>
      <c r="L127" s="63"/>
      <c r="M127" s="333" t="n">
        <f aca="false">N90</f>
        <v>969.080141105197</v>
      </c>
      <c r="N127" s="177" t="n">
        <f aca="false">IF(M105="YES", N89*N57, 0)</f>
        <v>413.364705882353</v>
      </c>
      <c r="O127" s="177"/>
      <c r="P127" s="177" t="n">
        <f aca="false">N91</f>
        <v>1037.97425875226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1567.47043005456</v>
      </c>
      <c r="B128" s="321" t="n">
        <f aca="false">IF(A105="YES", B89, 0)</f>
        <v>29.28</v>
      </c>
      <c r="C128" s="325"/>
      <c r="D128" s="321" t="n">
        <f aca="false">B91</f>
        <v>1596.75043005456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1567.47043005456</v>
      </c>
      <c r="C131" s="317"/>
      <c r="D131" s="38" t="n">
        <f aca="false">IF(A105="YES", B89*B57, 0)</f>
        <v>29.28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6973.47332757698</v>
      </c>
      <c r="H133" s="103" t="n">
        <f aca="false">IF(G105="YES", H89*H57, 0)</f>
        <v>496.037647058824</v>
      </c>
      <c r="I133" s="221"/>
      <c r="J133" s="184" t="n">
        <f aca="false">H91*H57</f>
        <v>7469.5109746358</v>
      </c>
      <c r="K133" s="216"/>
      <c r="L133" s="63"/>
      <c r="M133" s="185" t="n">
        <f aca="false">N90*N57</f>
        <v>5814.48084663118</v>
      </c>
      <c r="N133" s="103" t="n">
        <f aca="false">IF(M105="YES", N89*N57, 0)</f>
        <v>413.364705882353</v>
      </c>
      <c r="O133" s="221"/>
      <c r="P133" s="184" t="n">
        <f aca="false">N91*N57</f>
        <v>6227.84555251353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1596.75043005456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1567.47043005456</v>
      </c>
      <c r="B137" s="38" t="n">
        <f aca="false">IF(A105="YES", B89, 0)</f>
        <v>29.28</v>
      </c>
      <c r="C137" s="317"/>
      <c r="D137" s="38" t="n">
        <f aca="false">B91</f>
        <v>1596.75043005456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5.856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5.856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400</v>
      </c>
      <c r="C148" s="38"/>
      <c r="D148" s="38" t="n">
        <f aca="false">IF(A105="YES", (B40*B105)*B125, 0)*0.1</f>
        <v>5.856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734.84596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1244.91849577263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1037.97425875226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1596.75043005456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12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1567.47043005456</v>
      </c>
      <c r="B177" s="355" t="n">
        <f aca="false">IF(A105="YES", B89, 0)</f>
        <v>29.28</v>
      </c>
      <c r="C177" s="357"/>
      <c r="D177" s="355" t="n">
        <f aca="false">B91</f>
        <v>1596.75043005456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1567.47043005456</v>
      </c>
      <c r="C180" s="353"/>
      <c r="D180" s="103" t="n">
        <f aca="false">IF(A105="YES", B89*B57, 0)</f>
        <v>29.28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1596.75043005456</v>
      </c>
      <c r="B183" s="103" t="n">
        <f aca="false">E114</f>
        <v>4000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1567.47043005456</v>
      </c>
      <c r="B186" s="103" t="n">
        <f aca="false">IF(A105="YES", B89, 0)</f>
        <v>29.28</v>
      </c>
      <c r="C186" s="353"/>
      <c r="D186" s="103" t="n">
        <f aca="false">B91</f>
        <v>1596.75043005456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400</v>
      </c>
      <c r="C197" s="103"/>
      <c r="D197" s="103" t="n">
        <f aca="false">IF(A105="YES", (B40*B105)*B125, 0)*0.1</f>
        <v>5.856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734.84596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398.55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1772.54976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1602.99972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1772.54976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58.56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158.001019349499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f aca="false">1.2*10575</f>
        <v>12690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319.490633657329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319.490633657329</v>
      </c>
      <c r="B36" s="103" t="str">
        <f aca="false">IF(B26="YES", H42, "")</f>
        <v/>
      </c>
      <c r="C36" s="221"/>
      <c r="D36" s="184" t="n">
        <f aca="false">H31</f>
        <v>12690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54337.6373161703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12690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10575</v>
      </c>
      <c r="I40" s="238" t="n">
        <f aca="false">H39-I39</f>
        <v>-35254.3073161703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8659.15290867306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10424.1770913269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319.490633657329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319.490633657329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319.490633657329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2404.49958</v>
      </c>
      <c r="C64" s="465" t="n">
        <v>10000</v>
      </c>
      <c r="D64" s="291" t="n">
        <f aca="false">B64</f>
        <v>2404.49958</v>
      </c>
      <c r="E64" s="466" t="n">
        <f aca="false">D64/(B58+B57)</f>
        <v>66.791655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275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847.916666666667</v>
      </c>
      <c r="C76" s="215"/>
      <c r="D76" s="291" t="n">
        <f aca="false">B76</f>
        <v>847.916666666667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45.2199074074074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4032.41624666667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112.011562407407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319.490633657329</v>
      </c>
      <c r="C83" s="473"/>
      <c r="D83" s="215"/>
      <c r="E83" s="466" t="n">
        <f aca="false">B83+E80+E77+E64</f>
        <v>431.502196064737</v>
      </c>
      <c r="F83" s="63"/>
      <c r="G83" s="305" t="s">
        <v>104</v>
      </c>
      <c r="H83" s="306" t="n">
        <f aca="false">H47</f>
        <v>319.490633657329</v>
      </c>
      <c r="I83" s="215"/>
      <c r="J83" s="215"/>
      <c r="K83" s="216"/>
      <c r="L83" s="63"/>
      <c r="M83" s="305" t="s">
        <v>104</v>
      </c>
      <c r="N83" s="306" t="n">
        <f aca="false">H47</f>
        <v>319.490633657329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18640.8948699966</v>
      </c>
      <c r="C85" s="473"/>
      <c r="D85" s="473"/>
      <c r="E85" s="466" t="n">
        <f aca="false">B85/(B58+B57)</f>
        <v>517.802635277684</v>
      </c>
      <c r="F85" s="63"/>
      <c r="G85" s="288" t="s">
        <v>114</v>
      </c>
      <c r="H85" s="131" t="n">
        <f aca="false">((H83*H29)+H81)*1.2</f>
        <v>15080.8953739966</v>
      </c>
      <c r="I85" s="215"/>
      <c r="J85" s="215"/>
      <c r="K85" s="216"/>
      <c r="L85" s="63"/>
      <c r="M85" s="288" t="s">
        <v>114</v>
      </c>
      <c r="N85" s="131" t="n">
        <f aca="false">((N83*H29)+N81)</f>
        <v>12223.6628116639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131.591633814014</v>
      </c>
      <c r="C86" s="473" t="s">
        <v>230</v>
      </c>
      <c r="D86" s="215"/>
      <c r="E86" s="466" t="n">
        <f aca="false">B86/(B58+B57)</f>
        <v>3.65532316150039</v>
      </c>
      <c r="F86" s="63"/>
      <c r="G86" s="214" t="s">
        <v>115</v>
      </c>
      <c r="H86" s="300" t="n">
        <f aca="false">((((H83*H29)+H81))/(1-H70))*H70</f>
        <v>106.460536121396</v>
      </c>
      <c r="I86" s="215"/>
      <c r="J86" s="215"/>
      <c r="K86" s="216"/>
      <c r="L86" s="63"/>
      <c r="M86" s="214" t="s">
        <v>115</v>
      </c>
      <c r="N86" s="300" t="n">
        <f aca="false">(N85/(1-N70))*N70</f>
        <v>103.548575653466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18772.4865038106</v>
      </c>
      <c r="C87" s="473"/>
      <c r="D87" s="475"/>
      <c r="E87" s="466" t="n">
        <f aca="false">E86+E85</f>
        <v>521.457958439184</v>
      </c>
      <c r="F87" s="63"/>
      <c r="G87" s="285" t="s">
        <v>116</v>
      </c>
      <c r="H87" s="133" t="n">
        <f aca="false">IF(H110="YES",((H85+H86)-K114),(H85+H86))</f>
        <v>15187.355910118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12327.2113873173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521.457958439184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370.423314880927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300.663692373593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521.457958439184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370.423314880927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300.663692373593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1200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3600</v>
      </c>
      <c r="E113" s="107" t="n">
        <v>3600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-3600</v>
      </c>
      <c r="E114" s="167" t="n">
        <f aca="false">E112-E113</f>
        <v>-2400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-1200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(E118)+E117-E114</f>
        <v>3639.99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370.423314880927</v>
      </c>
      <c r="H127" s="177" t="n">
        <f aca="false">IF(G105="YES", H89*H57, 0)</f>
        <v>0</v>
      </c>
      <c r="I127" s="177"/>
      <c r="J127" s="334" t="n">
        <f aca="false">H91</f>
        <v>370.423314880927</v>
      </c>
      <c r="K127" s="216"/>
      <c r="L127" s="63"/>
      <c r="M127" s="333" t="n">
        <f aca="false">N90</f>
        <v>300.663692373593</v>
      </c>
      <c r="N127" s="177" t="n">
        <f aca="false">IF(M105="YES", N89*N57, 0)</f>
        <v>0</v>
      </c>
      <c r="O127" s="177"/>
      <c r="P127" s="177" t="n">
        <f aca="false">N91</f>
        <v>300.663692373593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521.457958439184</v>
      </c>
      <c r="B128" s="321" t="n">
        <f aca="false">IF(A105="YES", B89, 0)</f>
        <v>0</v>
      </c>
      <c r="C128" s="325"/>
      <c r="D128" s="321" t="n">
        <f aca="false">B91</f>
        <v>521.457958439184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521.457958439184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2222.53988928556</v>
      </c>
      <c r="H133" s="103" t="n">
        <f aca="false">IF(G105="YES", H89*H57, 0)</f>
        <v>0</v>
      </c>
      <c r="I133" s="221"/>
      <c r="J133" s="184" t="n">
        <f aca="false">H91*H57</f>
        <v>2222.53988928556</v>
      </c>
      <c r="K133" s="216"/>
      <c r="L133" s="63"/>
      <c r="M133" s="185" t="n">
        <f aca="false">N90*N57</f>
        <v>1803.98215424156</v>
      </c>
      <c r="N133" s="103" t="n">
        <f aca="false">IF(M105="YES", N89*N57, 0)</f>
        <v>0</v>
      </c>
      <c r="O133" s="221"/>
      <c r="P133" s="184" t="n">
        <f aca="false">N91*N57</f>
        <v>1803.98215424156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521.457958439184</v>
      </c>
      <c r="B134" s="38" t="n">
        <f aca="false">E114</f>
        <v>-2400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521.457958439184</v>
      </c>
      <c r="B137" s="38" t="n">
        <f aca="false">IF(A105="YES", B89, 0)</f>
        <v>0</v>
      </c>
      <c r="C137" s="317"/>
      <c r="D137" s="38" t="n">
        <f aca="false">B91</f>
        <v>521.457958439184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328.991626666667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370.423314880927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300.663692373593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521.457958439184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521.457958439184</v>
      </c>
      <c r="B177" s="355" t="n">
        <f aca="false">IF(A105="YES", B89, 0)</f>
        <v>0</v>
      </c>
      <c r="C177" s="357"/>
      <c r="D177" s="355" t="n">
        <f aca="false">B91</f>
        <v>521.457958439184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521.457958439184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521.457958439184</v>
      </c>
      <c r="B183" s="103" t="n">
        <f aca="false">E114</f>
        <v>-2400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521.457958439184</v>
      </c>
      <c r="B186" s="103" t="n">
        <f aca="false">IF(A105="YES", B89, 0)</f>
        <v>0</v>
      </c>
      <c r="C186" s="353"/>
      <c r="D186" s="103" t="n">
        <f aca="false">B91</f>
        <v>521.457958439184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328.991626666667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2404.49958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2275.49128666667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2404.49958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2275.49128666667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131.591633814014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f aca="false">10575*1.2</f>
        <v>12690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319.490633657329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319.490633657329</v>
      </c>
      <c r="B36" s="103" t="str">
        <f aca="false">IF(B26="YES", H42, "")</f>
        <v/>
      </c>
      <c r="C36" s="221"/>
      <c r="D36" s="184" t="n">
        <f aca="false">H31</f>
        <v>12690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54337.6373161703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12690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10575</v>
      </c>
      <c r="I40" s="238" t="n">
        <f aca="false">H39-I39</f>
        <v>-35254.3073161703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8659.15290867306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10424.1770913269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319.490633657329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319.490633657329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319.490633657329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6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2404.49958</v>
      </c>
      <c r="C64" s="465" t="n">
        <v>10000</v>
      </c>
      <c r="D64" s="291" t="n">
        <f aca="false">B64</f>
        <v>2404.49958</v>
      </c>
      <c r="E64" s="466" t="n">
        <f aca="false">D64/(B58+B57)</f>
        <v>58.6463312195122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275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847.916666666667</v>
      </c>
      <c r="C76" s="215"/>
      <c r="D76" s="291" t="n">
        <f aca="false">B76</f>
        <v>847.916666666667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39.7052845528455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4032.41624666667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112.011562407407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319.490633657329</v>
      </c>
      <c r="C83" s="473"/>
      <c r="D83" s="215"/>
      <c r="E83" s="466" t="n">
        <f aca="false">B83+E80+E77+E64</f>
        <v>417.842249429687</v>
      </c>
      <c r="F83" s="63"/>
      <c r="G83" s="305" t="s">
        <v>104</v>
      </c>
      <c r="H83" s="306" t="n">
        <f aca="false">H47</f>
        <v>319.490633657329</v>
      </c>
      <c r="I83" s="215"/>
      <c r="J83" s="215"/>
      <c r="K83" s="216"/>
      <c r="L83" s="63"/>
      <c r="M83" s="305" t="s">
        <v>104</v>
      </c>
      <c r="N83" s="306" t="n">
        <f aca="false">H47</f>
        <v>319.490633657329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15534.0790583305</v>
      </c>
      <c r="C85" s="473"/>
      <c r="D85" s="473"/>
      <c r="E85" s="466" t="n">
        <f aca="false">B85/(B58+B57)</f>
        <v>378.879977032452</v>
      </c>
      <c r="F85" s="63"/>
      <c r="G85" s="288" t="s">
        <v>114</v>
      </c>
      <c r="H85" s="131" t="n">
        <f aca="false">((H83*H29)+H81)*1.2</f>
        <v>15080.8953739966</v>
      </c>
      <c r="I85" s="215"/>
      <c r="J85" s="215"/>
      <c r="K85" s="216"/>
      <c r="L85" s="63"/>
      <c r="M85" s="288" t="s">
        <v>114</v>
      </c>
      <c r="N85" s="131" t="n">
        <f aca="false">((N83*H29)+N81)</f>
        <v>12223.6628116639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131.591633814014</v>
      </c>
      <c r="C86" s="473" t="s">
        <v>230</v>
      </c>
      <c r="D86" s="215"/>
      <c r="E86" s="466" t="n">
        <f aca="false">B86/(B58+B57)</f>
        <v>3.20955204424425</v>
      </c>
      <c r="F86" s="63"/>
      <c r="G86" s="214" t="s">
        <v>115</v>
      </c>
      <c r="H86" s="300" t="n">
        <f aca="false">((((H83*H29)+H81))/(1-H70))*H70</f>
        <v>106.460536121396</v>
      </c>
      <c r="I86" s="215"/>
      <c r="J86" s="215"/>
      <c r="K86" s="216"/>
      <c r="L86" s="63"/>
      <c r="M86" s="214" t="s">
        <v>115</v>
      </c>
      <c r="N86" s="300" t="n">
        <f aca="false">(N85/(1-N70))*N70</f>
        <v>103.548575653466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15665.6706921445</v>
      </c>
      <c r="C87" s="473"/>
      <c r="D87" s="475"/>
      <c r="E87" s="466" t="n">
        <f aca="false">E86+E85</f>
        <v>382.089529076696</v>
      </c>
      <c r="F87" s="63"/>
      <c r="G87" s="285" t="s">
        <v>116</v>
      </c>
      <c r="H87" s="133" t="n">
        <f aca="false">IF(H110="YES",((H85+H86)-K114),(H85+H86))</f>
        <v>15187.355910118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12327.2113873173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382.089529076696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370.423314880927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300.663692373593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382.089529076696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370.423314880927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300.663692373593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266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1200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3600</v>
      </c>
      <c r="E113" s="107" t="n">
        <v>3600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-3600</v>
      </c>
      <c r="E114" s="167" t="n">
        <f aca="false">E112-E113</f>
        <v>-2400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-1200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3639.988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370.423314880927</v>
      </c>
      <c r="H127" s="177" t="n">
        <f aca="false">IF(G105="YES", H89*H57, 0)</f>
        <v>0</v>
      </c>
      <c r="I127" s="177"/>
      <c r="J127" s="334" t="n">
        <f aca="false">H91</f>
        <v>370.423314880927</v>
      </c>
      <c r="K127" s="216"/>
      <c r="L127" s="63"/>
      <c r="M127" s="333" t="n">
        <f aca="false">N90</f>
        <v>300.663692373593</v>
      </c>
      <c r="N127" s="177" t="n">
        <f aca="false">IF(M105="YES", N89*N57, 0)</f>
        <v>0</v>
      </c>
      <c r="O127" s="177"/>
      <c r="P127" s="177" t="n">
        <f aca="false">N91</f>
        <v>300.663692373593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382.089529076696</v>
      </c>
      <c r="B128" s="321" t="n">
        <f aca="false">IF(A105="YES", B89, 0)</f>
        <v>0</v>
      </c>
      <c r="C128" s="325"/>
      <c r="D128" s="321" t="n">
        <f aca="false">B91</f>
        <v>382.089529076696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Spread rentals with 6 down</v>
      </c>
      <c r="B131" s="38" t="n">
        <f aca="false">B90*B57</f>
        <v>2292.53717446018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2222.53988928556</v>
      </c>
      <c r="H133" s="103" t="n">
        <f aca="false">IF(G105="YES", H89*H57, 0)</f>
        <v>0</v>
      </c>
      <c r="I133" s="221"/>
      <c r="J133" s="184" t="n">
        <f aca="false">H91*H57</f>
        <v>2222.53988928556</v>
      </c>
      <c r="K133" s="216"/>
      <c r="L133" s="63"/>
      <c r="M133" s="185" t="n">
        <f aca="false">N90*N57</f>
        <v>1803.98215424156</v>
      </c>
      <c r="N133" s="103" t="n">
        <f aca="false">IF(M105="YES", N89*N57, 0)</f>
        <v>0</v>
      </c>
      <c r="O133" s="221"/>
      <c r="P133" s="184" t="n">
        <f aca="false">N91*N57</f>
        <v>1803.98215424156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2292.53717446018</v>
      </c>
      <c r="B134" s="38" t="n">
        <f aca="false">E114</f>
        <v>-2400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382.089529076696</v>
      </c>
      <c r="B137" s="38" t="n">
        <f aca="false">IF(A105="YES", B89, 0)</f>
        <v>0</v>
      </c>
      <c r="C137" s="317"/>
      <c r="D137" s="38" t="n">
        <f aca="false">B91</f>
        <v>382.089529076696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328.98996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370.423314880927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300.663692373593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382.089529076696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382.089529076696</v>
      </c>
      <c r="B177" s="355" t="n">
        <f aca="false">IF(A105="YES", B89, 0)</f>
        <v>0</v>
      </c>
      <c r="C177" s="357"/>
      <c r="D177" s="355" t="n">
        <f aca="false">B91</f>
        <v>382.089529076696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Spread rentals with 6 down</v>
      </c>
      <c r="B180" s="103" t="n">
        <f aca="false">B90*B57</f>
        <v>2292.53717446018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2292.53717446018</v>
      </c>
      <c r="B183" s="103" t="n">
        <f aca="false">E114</f>
        <v>-2400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382.089529076696</v>
      </c>
      <c r="B186" s="103" t="n">
        <f aca="false">IF(A105="YES", B89, 0)</f>
        <v>0</v>
      </c>
      <c r="C186" s="353"/>
      <c r="D186" s="103" t="n">
        <f aca="false">B91</f>
        <v>382.089529076696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328.98996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2404.49958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2275.48962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2404.49958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2275.48962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131.591633814014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20958.33</v>
      </c>
      <c r="B37" s="32"/>
      <c r="C37" s="41" t="s">
        <v>45</v>
      </c>
      <c r="D37" s="41"/>
      <c r="E37" s="32"/>
      <c r="F37" s="43" t="n">
        <f aca="false">A37-C37</f>
        <v>19958.33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234.027833333333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236.6945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236.6945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250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236.6945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15586.570496829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136.24998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236.6945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236.6945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236.6945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19958.33</v>
      </c>
      <c r="C90" s="32"/>
      <c r="D90" s="32"/>
      <c r="E90" s="23"/>
      <c r="F90" s="25" t="s">
        <v>105</v>
      </c>
      <c r="G90" s="27" t="n">
        <f aca="false">F37</f>
        <v>19958.33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14662.545166767</v>
      </c>
      <c r="C97" s="32"/>
      <c r="D97" s="32"/>
      <c r="E97" s="23"/>
      <c r="F97" s="31" t="s">
        <v>112</v>
      </c>
      <c r="G97" s="33" t="n">
        <f aca="false">G90-G95</f>
        <v>14334.9389154658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1418.05186334809</v>
      </c>
      <c r="C98" s="32"/>
      <c r="D98" s="32"/>
      <c r="E98" s="23"/>
      <c r="F98" s="31" t="s">
        <v>113</v>
      </c>
      <c r="G98" s="33" t="n">
        <f aca="false">(G97/G96)</f>
        <v>1345.91079474573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15598.570496829</v>
      </c>
      <c r="C99" s="32"/>
      <c r="D99" s="32"/>
      <c r="E99" s="23"/>
      <c r="F99" s="31" t="s">
        <v>114</v>
      </c>
      <c r="G99" s="33" t="n">
        <f aca="false">((G98*(G94))+G86)</f>
        <v>14805.018742203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15598.570496829</v>
      </c>
      <c r="C101" s="32"/>
      <c r="D101" s="32"/>
      <c r="E101" s="23"/>
      <c r="F101" s="56" t="s">
        <v>116</v>
      </c>
      <c r="G101" s="65" t="n">
        <f aca="false">(G99+G100)</f>
        <v>14805.018742203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1418.05186334809</v>
      </c>
      <c r="C104" s="32"/>
      <c r="D104" s="32"/>
      <c r="E104" s="23"/>
      <c r="F104" s="95" t="s">
        <v>118</v>
      </c>
      <c r="G104" s="96" t="n">
        <f aca="false">G101/(G94)</f>
        <v>1345.91079474573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1418.05186334809</v>
      </c>
      <c r="C105" s="32"/>
      <c r="D105" s="32"/>
      <c r="E105" s="23" t="s">
        <v>18</v>
      </c>
      <c r="F105" s="97" t="s">
        <v>119</v>
      </c>
      <c r="G105" s="98" t="n">
        <f aca="false">G103+G104</f>
        <v>1345.91079474573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25149.996</v>
      </c>
      <c r="C130" s="121" t="n">
        <v>22708.33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25149.996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25149.996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25149.996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25149.996</v>
      </c>
      <c r="C134" s="133" t="n">
        <f aca="false">C130-C133</f>
        <v>22708.33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20958.33</v>
      </c>
      <c r="H144" s="153" t="n">
        <f aca="false">C134+E134+G134+H137</f>
        <v>22708.33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4191.666</v>
      </c>
      <c r="H146" s="33" t="n">
        <f aca="false">(H144+H145)*20%</f>
        <v>4541.666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25149.996</v>
      </c>
      <c r="H150" s="157" t="n">
        <f aca="false">(H144+H145+H148+H149+H146)-H147</f>
        <v>27249.996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25149.996</v>
      </c>
      <c r="H156" s="164" t="n">
        <f aca="false">H150-((H153*1.2)+(H154*1.2)+(H155*1.2)+(H151*1.2))</f>
        <v>27249.996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-15173.6083333333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27249.996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1418.05186334809</v>
      </c>
      <c r="B176" s="177" t="n">
        <f aca="false">B103</f>
        <v>0</v>
      </c>
      <c r="C176" s="174"/>
      <c r="D176" s="174"/>
      <c r="E176" s="177" t="n">
        <f aca="false">B105</f>
        <v>1418.05186334809</v>
      </c>
      <c r="F176" s="23"/>
      <c r="G176" s="23" t="n">
        <f aca="false">ROUND(G104, 2)</f>
        <v>1345.91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22708.33</v>
      </c>
      <c r="B182" s="103" t="n">
        <f aca="false">H146</f>
        <v>4541.666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-5651.42550317099</v>
      </c>
      <c r="B191" s="103" t="str">
        <f aca="false">B123</f>
        <v>239.99</v>
      </c>
      <c r="C191" s="103"/>
      <c r="D191" s="23"/>
      <c r="E191" s="103" t="n">
        <f aca="false">E188+A191+B191+A194</f>
        <v>21848.560496829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113.54165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213.533316666667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1418.05186334809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-6444.986</v>
      </c>
      <c r="B210" s="186" t="n">
        <f aca="false">E188+A210+B191+A194</f>
        <v>21055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1418.05186334809</v>
      </c>
      <c r="B221" s="177" t="n">
        <f aca="false">B176</f>
        <v>0</v>
      </c>
      <c r="C221" s="174"/>
      <c r="D221" s="174"/>
      <c r="E221" s="177" t="n">
        <f aca="false">E176</f>
        <v>1418.05186334809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22708.33</v>
      </c>
      <c r="B224" s="103" t="n">
        <f aca="false">B182</f>
        <v>4541.666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-5651.42550317099</v>
      </c>
      <c r="B233" s="103" t="str">
        <f aca="false">B191</f>
        <v>239.99</v>
      </c>
      <c r="C233" s="103"/>
      <c r="D233" s="113"/>
      <c r="E233" s="103" t="n">
        <f aca="false">E191</f>
        <v>21848.560496829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1418.05186334809</v>
      </c>
      <c r="B239" s="103" t="n">
        <f aca="false">B176</f>
        <v>0</v>
      </c>
      <c r="C239" s="186"/>
      <c r="D239" s="186"/>
      <c r="E239" s="103" t="n">
        <f aca="false">E176</f>
        <v>1418.05186334809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113.54165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1963.53331666667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803.560496829006</v>
      </c>
      <c r="C263" s="197"/>
      <c r="D263" s="198" t="s">
        <v>216</v>
      </c>
      <c r="E263" s="198"/>
      <c r="F263" s="200" t="n">
        <f aca="false">F270+F276+F278+B279+B280</f>
        <v>136.24998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767.302183495673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B263</f>
        <v>803.560496829006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136.24998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767.302183495673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20958.33</v>
      </c>
      <c r="B37" s="32"/>
      <c r="C37" s="41" t="s">
        <v>45</v>
      </c>
      <c r="D37" s="41"/>
      <c r="E37" s="32"/>
      <c r="F37" s="43" t="n">
        <f aca="false">A37-C37</f>
        <v>19958.33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234.027833333333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236.6945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236.6945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250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236.6945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15586.570496829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136.24998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236.6945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236.6945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236.6945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19958.33</v>
      </c>
      <c r="C90" s="32"/>
      <c r="D90" s="32"/>
      <c r="E90" s="23"/>
      <c r="F90" s="25" t="s">
        <v>105</v>
      </c>
      <c r="G90" s="27" t="n">
        <f aca="false">F37</f>
        <v>19958.33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14662.545166767</v>
      </c>
      <c r="C97" s="32"/>
      <c r="D97" s="32"/>
      <c r="E97" s="23"/>
      <c r="F97" s="31" t="s">
        <v>112</v>
      </c>
      <c r="G97" s="33" t="n">
        <f aca="false">G90-G95</f>
        <v>14334.9389154658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1418.05186334809</v>
      </c>
      <c r="C98" s="32"/>
      <c r="D98" s="32"/>
      <c r="E98" s="23"/>
      <c r="F98" s="31" t="s">
        <v>113</v>
      </c>
      <c r="G98" s="33" t="n">
        <f aca="false">(G97/G96)</f>
        <v>1345.91079474573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15598.570496829</v>
      </c>
      <c r="C99" s="32"/>
      <c r="D99" s="32"/>
      <c r="E99" s="23"/>
      <c r="F99" s="31" t="s">
        <v>114</v>
      </c>
      <c r="G99" s="33" t="n">
        <f aca="false">((G98*(G94))+G86)</f>
        <v>14805.018742203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15598.570496829</v>
      </c>
      <c r="C101" s="32"/>
      <c r="D101" s="32"/>
      <c r="E101" s="23"/>
      <c r="F101" s="56" t="s">
        <v>116</v>
      </c>
      <c r="G101" s="65" t="n">
        <f aca="false">(G99+G100)</f>
        <v>14805.018742203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1418.05186334809</v>
      </c>
      <c r="C104" s="32"/>
      <c r="D104" s="32"/>
      <c r="E104" s="23"/>
      <c r="F104" s="95" t="s">
        <v>118</v>
      </c>
      <c r="G104" s="96" t="n">
        <f aca="false">G101/(G94)</f>
        <v>1345.91079474573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1418.05186334809</v>
      </c>
      <c r="C105" s="32"/>
      <c r="D105" s="32"/>
      <c r="E105" s="23" t="s">
        <v>18</v>
      </c>
      <c r="F105" s="97" t="s">
        <v>119</v>
      </c>
      <c r="G105" s="98" t="n">
        <f aca="false">G103+G104</f>
        <v>1345.91079474573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25149.996</v>
      </c>
      <c r="C130" s="121" t="n">
        <v>22708.33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25149.996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25149.996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25149.996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25149.996</v>
      </c>
      <c r="C134" s="133" t="n">
        <f aca="false">C130-C133</f>
        <v>22708.33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20958.33</v>
      </c>
      <c r="H144" s="153" t="n">
        <f aca="false">C134+E134+G134+H137</f>
        <v>22708.33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4191.666</v>
      </c>
      <c r="H146" s="33" t="n">
        <f aca="false">(H144+H145)*20%</f>
        <v>4541.666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25149.996</v>
      </c>
      <c r="H150" s="157" t="n">
        <f aca="false">(H144+H145+H148+H149+H146)-H147</f>
        <v>27249.996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25149.996</v>
      </c>
      <c r="H156" s="164" t="n">
        <f aca="false">H150-((H153*1.2)+(H154*1.2)+(H155*1.2)+(H151*1.2))</f>
        <v>27249.996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-15173.6083333333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27249.996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1418.05186334809</v>
      </c>
      <c r="B176" s="177" t="n">
        <f aca="false">B103</f>
        <v>0</v>
      </c>
      <c r="C176" s="174"/>
      <c r="D176" s="174"/>
      <c r="E176" s="177" t="n">
        <f aca="false">B105</f>
        <v>1418.05186334809</v>
      </c>
      <c r="F176" s="23"/>
      <c r="G176" s="23" t="n">
        <f aca="false">ROUND(G104, 2)</f>
        <v>1345.91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22708.33</v>
      </c>
      <c r="B182" s="103" t="n">
        <f aca="false">H146</f>
        <v>4541.666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-5651.42550317099</v>
      </c>
      <c r="B191" s="103" t="str">
        <f aca="false">B123</f>
        <v>199.99</v>
      </c>
      <c r="C191" s="103"/>
      <c r="D191" s="23"/>
      <c r="E191" s="103" t="n">
        <f aca="false">E188+A191+(B191*1.2)+A194</f>
        <v>21848.558496829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113.54165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213.53165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1418.05186334809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-6444.986</v>
      </c>
      <c r="B210" s="186" t="n">
        <f aca="false">E188+A210+(B191*1.2)+A194</f>
        <v>21054.998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1418.05186334809</v>
      </c>
      <c r="B221" s="177" t="n">
        <f aca="false">B176</f>
        <v>0</v>
      </c>
      <c r="C221" s="174"/>
      <c r="D221" s="174"/>
      <c r="E221" s="177" t="n">
        <f aca="false">E176</f>
        <v>1418.05186334809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22708.33</v>
      </c>
      <c r="B224" s="103" t="n">
        <f aca="false">B182</f>
        <v>4541.666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-5651.42550317099</v>
      </c>
      <c r="B233" s="103" t="str">
        <f aca="false">B191</f>
        <v>199.99</v>
      </c>
      <c r="C233" s="103"/>
      <c r="D233" s="113"/>
      <c r="E233" s="103" t="n">
        <f aca="false">E191</f>
        <v>21848.558496829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1418.05186334809</v>
      </c>
      <c r="B239" s="103" t="n">
        <f aca="false">B176</f>
        <v>0</v>
      </c>
      <c r="C239" s="186"/>
      <c r="D239" s="186"/>
      <c r="E239" s="103" t="n">
        <f aca="false">E176</f>
        <v>1418.05186334809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113.54165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1963.53165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803.560496829006</v>
      </c>
      <c r="C263" s="197"/>
      <c r="D263" s="198" t="s">
        <v>216</v>
      </c>
      <c r="E263" s="198"/>
      <c r="F263" s="200" t="n">
        <f aca="false">F270+F276+F278+B279+B280</f>
        <v>136.24998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767.300516829006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B263</f>
        <v>803.560496829006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136.24998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767.300516829006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17662.6606535404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255.4687125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15578.4767407538</v>
      </c>
      <c r="C88" s="93" t="n">
        <f aca="false">B81-B86</f>
        <v>15578.4767407538</v>
      </c>
      <c r="D88" s="93"/>
      <c r="E88" s="113"/>
      <c r="F88" s="31" t="s">
        <v>112</v>
      </c>
      <c r="G88" s="33" t="n">
        <f aca="false">G81-G86</f>
        <v>14938.019207262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567.594509059502</v>
      </c>
      <c r="C89" s="93" t="n">
        <f aca="false">(B88/B87)</f>
        <v>567.594509059502</v>
      </c>
      <c r="D89" s="93"/>
      <c r="E89" s="113"/>
      <c r="F89" s="31" t="s">
        <v>113</v>
      </c>
      <c r="G89" s="33" t="n">
        <f aca="false">(G88/G87)</f>
        <v>509.698410339013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18163.0242899041</v>
      </c>
      <c r="C90" s="93"/>
      <c r="D90" s="93"/>
      <c r="E90" s="113"/>
      <c r="F90" s="31" t="s">
        <v>114</v>
      </c>
      <c r="G90" s="33" t="n">
        <f aca="false">((G89*(G85))+G77)</f>
        <v>16310.3491308484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18163.0242899041</v>
      </c>
      <c r="C92" s="93"/>
      <c r="D92" s="93"/>
      <c r="E92" s="113"/>
      <c r="F92" s="56" t="s">
        <v>116</v>
      </c>
      <c r="G92" s="65" t="n">
        <f aca="false">(G90+G91)</f>
        <v>16310.3491308484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567.594509059502</v>
      </c>
      <c r="C95" s="93"/>
      <c r="D95" s="93"/>
      <c r="E95" s="113"/>
      <c r="F95" s="95" t="s">
        <v>118</v>
      </c>
      <c r="G95" s="96" t="n">
        <f aca="false">G92/(G85)</f>
        <v>509.698410339013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567.594509059502</v>
      </c>
      <c r="C96" s="93"/>
      <c r="D96" s="93"/>
      <c r="E96" s="113"/>
      <c r="F96" s="97" t="s">
        <v>119</v>
      </c>
      <c r="G96" s="98" t="n">
        <f aca="false">G94+G95</f>
        <v>509.698410339013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567.594509059502</v>
      </c>
      <c r="B167" s="177" t="str">
        <f aca="false">B94</f>
        <v>0</v>
      </c>
      <c r="C167" s="174"/>
      <c r="D167" s="174"/>
      <c r="E167" s="177" t="n">
        <f aca="false">B96</f>
        <v>567.594509059502</v>
      </c>
      <c r="F167" s="23"/>
      <c r="G167" s="23" t="n">
        <f aca="false">ROUND(G95, 2)</f>
        <v>509.7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-3086.97171009595</v>
      </c>
      <c r="B182" s="103" t="str">
        <f aca="false">B114</f>
        <v>239.99</v>
      </c>
      <c r="C182" s="103"/>
      <c r="D182" s="23"/>
      <c r="E182" s="103" t="n">
        <f aca="false">E179+A182+B182+A185</f>
        <v>24413.0142899041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212.89059375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312.882260416667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567.594509059502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-4939.596</v>
      </c>
      <c r="B201" s="186" t="n">
        <f aca="false">E179+A201+B182+A185</f>
        <v>22560.39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567.594509059502</v>
      </c>
      <c r="B212" s="177" t="str">
        <f aca="false">B167</f>
        <v>0</v>
      </c>
      <c r="C212" s="174"/>
      <c r="D212" s="174"/>
      <c r="E212" s="177" t="n">
        <f aca="false">E167</f>
        <v>567.594509059502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-3086.97171009595</v>
      </c>
      <c r="B224" s="103" t="str">
        <f aca="false">B182</f>
        <v>239.99</v>
      </c>
      <c r="C224" s="103"/>
      <c r="D224" s="113"/>
      <c r="E224" s="103" t="n">
        <f aca="false">E182</f>
        <v>24413.0142899041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567.594509059502</v>
      </c>
      <c r="B230" s="103" t="str">
        <f aca="false">B167</f>
        <v>0</v>
      </c>
      <c r="C230" s="186"/>
      <c r="D230" s="186"/>
      <c r="E230" s="103" t="n">
        <f aca="false">E167</f>
        <v>567.594509059502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212.89059375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2062.88226041667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1862.62428990405</v>
      </c>
      <c r="C254" s="197"/>
      <c r="D254" s="198" t="s">
        <v>216</v>
      </c>
      <c r="E254" s="198"/>
      <c r="F254" s="200" t="n">
        <f aca="false">F261+F267+F269+B270+B271</f>
        <v>255.4687125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1707.14724407071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1862.62428990405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255.4687125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1707.14724407071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3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15387.4472240485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5181.83177930431</v>
      </c>
      <c r="C86" s="93" t="n">
        <f aca="false">(B82/((1+B84)^(B85+1)))</f>
        <v>5181.83177930431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14776.4982206957</v>
      </c>
      <c r="C88" s="93" t="n">
        <f aca="false">B81-B86</f>
        <v>14776.4982206957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1444.40429309532</v>
      </c>
      <c r="C89" s="93" t="n">
        <f aca="false">(B88/B87)</f>
        <v>1444.40429309532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15888.4472240485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15888.4472240485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1444.40429309532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1444.40429309532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1444.40429309532</v>
      </c>
      <c r="B167" s="177" t="n">
        <f aca="false">B94</f>
        <v>0</v>
      </c>
      <c r="C167" s="174"/>
      <c r="D167" s="174"/>
      <c r="E167" s="177" t="n">
        <f aca="false">B96</f>
        <v>1444.40429309532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-5361.5487759515</v>
      </c>
      <c r="B182" s="103" t="str">
        <f aca="false">B114</f>
        <v>199.99</v>
      </c>
      <c r="C182" s="103"/>
      <c r="D182" s="23"/>
      <c r="E182" s="103" t="n">
        <f aca="false">E179+A182+(B182*1.2)+A185</f>
        <v>22138.4352240485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113.54165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213.53165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1444.40429309532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E179+A201+(B182*1.2)+A185</f>
        <v>21054.998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1444.40429309532</v>
      </c>
      <c r="B212" s="177" t="n">
        <f aca="false">B167</f>
        <v>0</v>
      </c>
      <c r="C212" s="174"/>
      <c r="D212" s="174"/>
      <c r="E212" s="177" t="n">
        <f aca="false">E167</f>
        <v>1444.40429309532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-5361.5487759515</v>
      </c>
      <c r="B224" s="103" t="str">
        <f aca="false">B182</f>
        <v>199.99</v>
      </c>
      <c r="C224" s="103"/>
      <c r="D224" s="113"/>
      <c r="E224" s="103" t="n">
        <f aca="false">E182</f>
        <v>22138.4352240485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1444.40429309532</v>
      </c>
      <c r="B230" s="103" t="n">
        <f aca="false">B167</f>
        <v>0</v>
      </c>
      <c r="C230" s="186"/>
      <c r="D230" s="186"/>
      <c r="E230" s="103" t="n">
        <f aca="false">E167</f>
        <v>1444.40429309532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1963.53165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1093.4372240485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1057.1772440485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B254</f>
        <v>1093.4372240485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1057.1772440485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14755.8916889165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5433.96849626786</v>
      </c>
      <c r="C86" s="93" t="n">
        <f aca="false">(B82/((1+B84)^(B85+1)))</f>
        <v>5433.96849626786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 t="n">
        <f aca="false">((1-(1/((1+B84)^B85)))/B84)</f>
        <v>10.4718562469129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14524.3615037321</v>
      </c>
      <c r="C88" s="93" t="n">
        <f aca="false">B81-B86</f>
        <v>14524.3615037321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1386.99015353786</v>
      </c>
      <c r="C89" s="93" t="n">
        <f aca="false">(B88/B87)</f>
        <v>1386.99015353786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15256.8916889165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15256.8916889165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1386.99015353786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1386.99015353786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1386.99015353786</v>
      </c>
      <c r="B167" s="177" t="str">
        <f aca="false">B94</f>
        <v>0</v>
      </c>
      <c r="C167" s="174"/>
      <c r="D167" s="174"/>
      <c r="E167" s="177" t="n">
        <f aca="false">B96</f>
        <v>1386.99015353786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-5993.10431108352</v>
      </c>
      <c r="B182" s="103" t="str">
        <f aca="false">B114</f>
        <v>239.99</v>
      </c>
      <c r="C182" s="103"/>
      <c r="D182" s="23"/>
      <c r="E182" s="103" t="n">
        <f aca="false">E179+A182+B182+A185</f>
        <v>21506.8816889165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113.54165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213.533316666667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1386.99015353786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E179+A201+B182+A185</f>
        <v>21055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1386.99015353786</v>
      </c>
      <c r="B212" s="177" t="str">
        <f aca="false">B167</f>
        <v>0</v>
      </c>
      <c r="C212" s="174"/>
      <c r="D212" s="174"/>
      <c r="E212" s="177" t="n">
        <f aca="false">E167</f>
        <v>1386.99015353786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-5993.10431108352</v>
      </c>
      <c r="B224" s="103" t="str">
        <f aca="false">B182</f>
        <v>239.99</v>
      </c>
      <c r="C224" s="103"/>
      <c r="D224" s="113"/>
      <c r="E224" s="103" t="n">
        <f aca="false">E182</f>
        <v>21506.8816889165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1386.99015353786</v>
      </c>
      <c r="B230" s="103" t="str">
        <f aca="false">B167</f>
        <v>0</v>
      </c>
      <c r="C230" s="186"/>
      <c r="D230" s="186"/>
      <c r="E230" s="103" t="n">
        <f aca="false">E167</f>
        <v>1386.99015353786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1963.53331666667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461.881688916481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425.623375583148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461.881688916481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425.623375583148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1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15097.570496829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14662.545166767</v>
      </c>
      <c r="C88" s="93" t="n">
        <f aca="false">B81-B86</f>
        <v>14662.545166767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1418.05186334809</v>
      </c>
      <c r="C89" s="93" t="n">
        <f aca="false">(B88/B87)</f>
        <v>1418.05186334809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15598.570496829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15598.570496829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1418.05186334809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1418.05186334809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1418.05186334809</v>
      </c>
      <c r="B167" s="177" t="str">
        <f aca="false">B94</f>
        <v>0</v>
      </c>
      <c r="C167" s="174"/>
      <c r="D167" s="174"/>
      <c r="E167" s="177" t="n">
        <f aca="false">B96</f>
        <v>1418.05186334809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-5651.42550317099</v>
      </c>
      <c r="B182" s="103" t="str">
        <f aca="false">B114</f>
        <v>199.99</v>
      </c>
      <c r="C182" s="103"/>
      <c r="D182" s="23"/>
      <c r="E182" s="103" t="n">
        <f aca="false">E179+A182+(B182*1.2)+A185</f>
        <v>21848.558496829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113.54165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213.53165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1418.05186334809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E179+A201+(B182*1.2)+A185</f>
        <v>21054.998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1418.05186334809</v>
      </c>
      <c r="B212" s="177" t="str">
        <f aca="false">B167</f>
        <v>0</v>
      </c>
      <c r="C212" s="174"/>
      <c r="D212" s="174"/>
      <c r="E212" s="177" t="n">
        <f aca="false">E167</f>
        <v>1418.05186334809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-5651.42550317099</v>
      </c>
      <c r="B224" s="103" t="str">
        <f aca="false">B182</f>
        <v>199.99</v>
      </c>
      <c r="C224" s="103"/>
      <c r="D224" s="113"/>
      <c r="E224" s="103" t="n">
        <f aca="false">E182</f>
        <v>21848.558496829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1418.05186334809</v>
      </c>
      <c r="B230" s="103" t="str">
        <f aca="false">B167</f>
        <v>0</v>
      </c>
      <c r="C230" s="186"/>
      <c r="D230" s="186"/>
      <c r="E230" s="103" t="n">
        <f aca="false">E167</f>
        <v>1418.05186334809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1963.53165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803.560496829006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767.300516829006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803.560496829006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767.300516829006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45281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4191.666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338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265.972166666667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234.027833333333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236.6945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236.6945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236.6945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236.6945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165</v>
      </c>
      <c r="C80" s="317"/>
      <c r="D80" s="317"/>
      <c r="E80" s="404" t="n">
        <f aca="false">E79+D82</f>
        <v>838.75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69.8958333333333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343.641388888889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236.6945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8356.8368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58.9934021782977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8415.8302021783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701.319183514858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701.319183514858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701.319183514858</v>
      </c>
      <c r="B134" s="321" t="n">
        <f aca="false">IF(A111="YES", B95, 0)</f>
        <v>0</v>
      </c>
      <c r="C134" s="325"/>
      <c r="D134" s="321" t="n">
        <f aca="false">B97</f>
        <v>701.319183514858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701.319183514858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701.319183514858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701.319183514858</v>
      </c>
      <c r="B143" s="38" t="n">
        <f aca="false">IF(A111="YES", B95, 0)</f>
        <v>0</v>
      </c>
      <c r="C143" s="317"/>
      <c r="D143" s="38" t="n">
        <f aca="false">B97</f>
        <v>701.319183514858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751.491626666667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701.319183514858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701.319183514858</v>
      </c>
      <c r="B177" s="355" t="n">
        <f aca="false">IF(A111="YES", B95, 0)</f>
        <v>0</v>
      </c>
      <c r="C177" s="357"/>
      <c r="D177" s="355" t="n">
        <f aca="false">A177+B177</f>
        <v>701.319183514858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701.319183514858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701.319183514858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701.319183514858</v>
      </c>
      <c r="B186" s="103" t="n">
        <f aca="false">IF(A111="YES", B95, 0)</f>
        <v>0</v>
      </c>
      <c r="C186" s="353"/>
      <c r="D186" s="103" t="n">
        <f aca="false">B97</f>
        <v>701.319183514858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751.491626666667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2706.77170666667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2706.77170666667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58.9934021782977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45281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4191.666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338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265.972166666667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234.027833333333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236.6945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236.6945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236.6945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165</v>
      </c>
      <c r="C80" s="317"/>
      <c r="D80" s="317"/>
      <c r="E80" s="404" t="n">
        <f aca="false">E79+D82</f>
        <v>838.75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69.8958333333333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343.641388888889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236.6945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6964.03066666667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58.9934021782977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7023.02406884496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585.25200573708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585.25200573708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288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292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585.25200573708</v>
      </c>
      <c r="B134" s="321" t="n">
        <f aca="false">IF(A111="YES", B95, 0)</f>
        <v>0</v>
      </c>
      <c r="C134" s="326"/>
      <c r="D134" s="321" t="n">
        <f aca="false">B97</f>
        <v>585.25200573708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5267.26805163372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5267.26805163372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585.25200573708</v>
      </c>
      <c r="B143" s="38" t="n">
        <f aca="false">IF(A111="YES", B95, 0)</f>
        <v>0</v>
      </c>
      <c r="C143" s="317"/>
      <c r="D143" s="38" t="n">
        <f aca="false">B97</f>
        <v>585.25200573708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251.49996</v>
      </c>
      <c r="B154" s="103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585.25200573708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585.25200573708</v>
      </c>
      <c r="B177" s="355" t="n">
        <f aca="false">IF(A111="YES", B95, 0)</f>
        <v>0</v>
      </c>
      <c r="C177" s="358"/>
      <c r="D177" s="355" t="n">
        <f aca="false">B91</f>
        <v>6964.03066666667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5267.26805163372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5267.26805163372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585.25200573708</v>
      </c>
      <c r="B186" s="103" t="n">
        <f aca="false">IF(A111="YES", B95, 0)</f>
        <v>0</v>
      </c>
      <c r="C186" s="353"/>
      <c r="D186" s="103" t="n">
        <f aca="false">B97</f>
        <v>585.25200573708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2706.77004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2706.77004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58.9934021782977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3087.16638666667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257.263865555556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9099.16638666667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77.0804736264623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9176.24686029313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764.687238357761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764.687238357761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764.687238357761</v>
      </c>
      <c r="B134" s="321" t="n">
        <f aca="false">IF(A111="YES", B95, 0)</f>
        <v>0</v>
      </c>
      <c r="C134" s="326"/>
      <c r="D134" s="321" t="n">
        <f aca="false">B97</f>
        <v>764.687238357761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764.687238357761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764.687238357761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764.687238357761</v>
      </c>
      <c r="B143" s="38" t="n">
        <f aca="false">IF(A111="YES", B95, 0)</f>
        <v>0</v>
      </c>
      <c r="C143" s="317"/>
      <c r="D143" s="38" t="n">
        <f aca="false">B97</f>
        <v>764.687238357761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764.687238357761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764.687238357761</v>
      </c>
      <c r="B177" s="355" t="n">
        <f aca="false">IF(A111="YES", B95, 0)</f>
        <v>0</v>
      </c>
      <c r="C177" s="358"/>
      <c r="D177" s="355" t="n">
        <f aca="false">B91</f>
        <v>9099.16638666667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764.687238357761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764.687238357761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764.687238357761</v>
      </c>
      <c r="B186" s="103" t="n">
        <f aca="false">IF(A111="YES", B95, 0)</f>
        <v>0</v>
      </c>
      <c r="C186" s="353"/>
      <c r="D186" s="103" t="n">
        <f aca="false">B97</f>
        <v>764.687238357761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77.0804736264623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3265.91638666667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272.159698888889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11133.499664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78.5946930697862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11212.0943570698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934.341196422482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1012.34119642248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934.341196422482</v>
      </c>
      <c r="B134" s="321" t="n">
        <f aca="false">IF(A111="YES", B95, 0)</f>
        <v>78</v>
      </c>
      <c r="C134" s="326"/>
      <c r="D134" s="321" t="n">
        <f aca="false">B97</f>
        <v>1012.34119642248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934.341196422482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1012.34119642248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934.341196422482</v>
      </c>
      <c r="B143" s="38" t="n">
        <f aca="false">IF(A111="YES", B95, 0)</f>
        <v>78</v>
      </c>
      <c r="C143" s="317"/>
      <c r="D143" s="38" t="n">
        <f aca="false">B97</f>
        <v>1012.34119642248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769.491626666667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1012.34119642248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934.341196422482</v>
      </c>
      <c r="B177" s="355" t="n">
        <f aca="false">IF(A111="YES", B95, 0)</f>
        <v>78</v>
      </c>
      <c r="C177" s="358"/>
      <c r="D177" s="355" t="n">
        <f aca="false">B97</f>
        <v>1012.34119642248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934.341196422482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1012.34119642248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934.341196422482</v>
      </c>
      <c r="B186" s="103" t="n">
        <f aca="false">IF(A111="YES", B95, 0)</f>
        <v>78</v>
      </c>
      <c r="C186" s="353"/>
      <c r="D186" s="103" t="n">
        <f aca="false">B97</f>
        <v>1012.34119642248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769.491626666667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2028.99142666667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2028.99142666667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78.5946930697862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3265.91638666667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272.159698888889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9277.91638666667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78.5946930697862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9356.51107973645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779.709256644705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779.709256644705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779.709256644705</v>
      </c>
      <c r="B134" s="321" t="n">
        <f aca="false">IF(A111="YES", B95, 0)</f>
        <v>0</v>
      </c>
      <c r="C134" s="326"/>
      <c r="D134" s="321" t="n">
        <f aca="false">B97</f>
        <v>779.709256644705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779.709256644705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779.709256644705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779.709256644705</v>
      </c>
      <c r="B143" s="38" t="n">
        <f aca="false">IF(A111="YES", B95, 0)</f>
        <v>0</v>
      </c>
      <c r="C143" s="317"/>
      <c r="D143" s="38" t="n">
        <f aca="false">B97</f>
        <v>779.709256644705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779.709256644705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779.709256644705</v>
      </c>
      <c r="B177" s="355" t="n">
        <f aca="false">IF(A111="YES", B95, 0)</f>
        <v>0</v>
      </c>
      <c r="C177" s="358"/>
      <c r="D177" s="355" t="n">
        <f aca="false">B91</f>
        <v>9277.91638666667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779.709256644705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779.709256644705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779.709256644705</v>
      </c>
      <c r="B186" s="103" t="n">
        <f aca="false">IF(A111="YES", B95, 0)</f>
        <v>0</v>
      </c>
      <c r="C186" s="353"/>
      <c r="D186" s="103" t="n">
        <f aca="false">B97</f>
        <v>779.709256644705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78.5946930697862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3087.16638666667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257.263865555556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9099.16638666667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77.0804736264623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9176.24686029313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764.687238357761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764.687238357761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764.687238357761</v>
      </c>
      <c r="B134" s="321" t="n">
        <f aca="false">IF(A111="YES", B95, 0)</f>
        <v>0</v>
      </c>
      <c r="C134" s="326"/>
      <c r="D134" s="321" t="n">
        <f aca="false">B97</f>
        <v>764.687238357761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6882.18514521985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6882.18514521985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764.687238357761</v>
      </c>
      <c r="B143" s="38" t="n">
        <f aca="false">IF(A111="YES", B95, 0)</f>
        <v>0</v>
      </c>
      <c r="C143" s="317"/>
      <c r="D143" s="38" t="n">
        <f aca="false">B97</f>
        <v>764.687238357761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764.687238357761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764.687238357761</v>
      </c>
      <c r="B177" s="355" t="n">
        <f aca="false">IF(A111="YES", B95, 0)</f>
        <v>0</v>
      </c>
      <c r="C177" s="358"/>
      <c r="D177" s="355" t="n">
        <f aca="false">B91</f>
        <v>9099.16638666667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6882.18514521985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6882.18514521985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764.687238357761</v>
      </c>
      <c r="B186" s="103" t="n">
        <f aca="false">IF(A111="YES", B95, 0)</f>
        <v>0</v>
      </c>
      <c r="C186" s="353"/>
      <c r="D186" s="103" t="n">
        <f aca="false">B97</f>
        <v>764.687238357761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77.0804736264623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2599.24972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216.604143333333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10333.499664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72.9472545865268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10406.4469185865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867.20390988221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867.20390988221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867.20390988221</v>
      </c>
      <c r="B134" s="321" t="n">
        <f aca="false">IF(A111="YES", B95, 0)</f>
        <v>0</v>
      </c>
      <c r="C134" s="326"/>
      <c r="D134" s="321" t="n">
        <f aca="false">B97</f>
        <v>867.20390988221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867.20390988221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867.20390988221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867.20390988221</v>
      </c>
      <c r="B143" s="38" t="n">
        <f aca="false">IF(A111="YES", B95, 0)</f>
        <v>0</v>
      </c>
      <c r="C143" s="317"/>
      <c r="D143" s="38" t="n">
        <f aca="false">B97</f>
        <v>867.20390988221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351.491626666667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867.20390988221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867.20390988221</v>
      </c>
      <c r="B177" s="355" t="n">
        <f aca="false">IF(A111="YES", B95, 0)</f>
        <v>0</v>
      </c>
      <c r="C177" s="358"/>
      <c r="D177" s="355" t="n">
        <f aca="false">B91</f>
        <v>10333.499664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867.20390988221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867.20390988221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867.20390988221</v>
      </c>
      <c r="B186" s="103" t="n">
        <f aca="false">IF(A111="YES", B95, 0)</f>
        <v>0</v>
      </c>
      <c r="C186" s="353"/>
      <c r="D186" s="103" t="n">
        <f aca="false">B97</f>
        <v>867.20390988221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351.491626666667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1608.99142666667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1608.99142666667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72.9472545865268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250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720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6545.41666666667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545.451388888889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12557.4166666667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106.375857200484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12663.7925238672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1055.3160436556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1055.3160436556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1055.3160436556</v>
      </c>
      <c r="B134" s="321" t="n">
        <f aca="false">IF(A111="YES", B95, 0)</f>
        <v>0</v>
      </c>
      <c r="C134" s="326"/>
      <c r="D134" s="321" t="n">
        <f aca="false">B97</f>
        <v>1055.3160436556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1055.3160436556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1055.3160436556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1055.3160436556</v>
      </c>
      <c r="B143" s="38" t="n">
        <f aca="false">IF(A111="YES", B95, 0)</f>
        <v>0</v>
      </c>
      <c r="C143" s="317"/>
      <c r="D143" s="38" t="n">
        <f aca="false">B97</f>
        <v>1055.3160436556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720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1219.99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1055.3160436556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1055.3160436556</v>
      </c>
      <c r="B177" s="355" t="n">
        <f aca="false">IF(A111="YES", B95, 0)</f>
        <v>0</v>
      </c>
      <c r="C177" s="358"/>
      <c r="D177" s="355" t="n">
        <f aca="false">B91</f>
        <v>12557.4166666667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1055.3160436556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1055.3160436556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1055.3160436556</v>
      </c>
      <c r="B186" s="103" t="n">
        <f aca="false">IF(A111="YES", B95, 0)</f>
        <v>0</v>
      </c>
      <c r="C186" s="353"/>
      <c r="D186" s="103" t="n">
        <f aca="false">B97</f>
        <v>1055.3160436556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720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1219.99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720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4659.99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720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4659.99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106.375857200484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282.47277985001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282.47277985001</v>
      </c>
      <c r="B36" s="232" t="n">
        <f aca="false">IF(B26="YES", K42, "0.00")</f>
        <v>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37719.2069181402</v>
      </c>
      <c r="N39" s="1" t="n">
        <f aca="false">K39-L39</f>
        <v>-16760.8769181402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n">
        <f aca="false">IF(B26="YES", K42, "0.00")</f>
        <v>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-16760.8769181402</v>
      </c>
      <c r="N40" s="1" t="n">
        <f aca="false">N38-N39</f>
        <v>19672.5569181402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9148.29464316638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282.47277985001</v>
      </c>
      <c r="L47" s="2" t="n">
        <f aca="false">L49-K42</f>
        <v>800</v>
      </c>
      <c r="M47" s="1" t="n">
        <f aca="false">K47-L47</f>
        <v>-517.527220149989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282.47277985001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282.47277985001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6571.79668340877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219.5833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282.47277985001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282.47277985001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282.47277985001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282.47277985001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26349.996</v>
      </c>
      <c r="C81" s="93"/>
      <c r="D81" s="93"/>
      <c r="E81" s="113"/>
      <c r="F81" s="25" t="s">
        <v>105</v>
      </c>
      <c r="G81" s="27" t="n">
        <f aca="false">G158</f>
        <v>26349.996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14066.3900103009</v>
      </c>
      <c r="C88" s="93"/>
      <c r="D88" s="93"/>
      <c r="E88" s="113"/>
      <c r="F88" s="31" t="s">
        <v>112</v>
      </c>
      <c r="G88" s="33" t="n">
        <f aca="false">G81-G86</f>
        <v>12095.2833243018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478.309050228833</v>
      </c>
      <c r="C89" s="93"/>
      <c r="D89" s="93"/>
      <c r="E89" s="113"/>
      <c r="F89" s="31" t="s">
        <v>113</v>
      </c>
      <c r="G89" s="33" t="n">
        <f aca="false">(G88/G87)</f>
        <v>383.060511691856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16740.8167580091</v>
      </c>
      <c r="C90" s="93"/>
      <c r="D90" s="93"/>
      <c r="E90" s="113"/>
      <c r="F90" s="31" t="s">
        <v>114</v>
      </c>
      <c r="G90" s="33" t="n">
        <f aca="false">((G89*(G85))+G77)</f>
        <v>13407.117909215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16740.8167580091</v>
      </c>
      <c r="C92" s="93"/>
      <c r="D92" s="93"/>
      <c r="E92" s="113"/>
      <c r="F92" s="56" t="s">
        <v>116</v>
      </c>
      <c r="G92" s="65" t="n">
        <f aca="false">(G90+G91)</f>
        <v>13407.117909215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0</v>
      </c>
      <c r="C94" s="93"/>
      <c r="D94" s="93"/>
      <c r="E94" s="113"/>
      <c r="F94" s="88" t="s">
        <v>117</v>
      </c>
      <c r="G94" s="94" t="n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478.309050228833</v>
      </c>
      <c r="C95" s="93"/>
      <c r="D95" s="93"/>
      <c r="E95" s="113"/>
      <c r="F95" s="95" t="s">
        <v>118</v>
      </c>
      <c r="G95" s="96" t="n">
        <f aca="false">G92/(G85)</f>
        <v>383.060511691856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478.309050228833</v>
      </c>
      <c r="C96" s="93"/>
      <c r="D96" s="93"/>
      <c r="E96" s="113"/>
      <c r="F96" s="97" t="s">
        <v>119</v>
      </c>
      <c r="G96" s="98" t="n">
        <f aca="false">G94+G95</f>
        <v>383.060511691856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200</v>
      </c>
      <c r="C111" s="107"/>
      <c r="D111" s="107"/>
      <c r="E111" s="107" t="n">
        <v>200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400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-20499.9966666667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400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26349.996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478.309050228833</v>
      </c>
      <c r="B167" s="177" t="n">
        <f aca="false">B94</f>
        <v>0</v>
      </c>
      <c r="C167" s="174"/>
      <c r="D167" s="174"/>
      <c r="E167" s="177" t="n">
        <f aca="false">B96</f>
        <v>478.309050228833</v>
      </c>
      <c r="F167" s="23"/>
      <c r="G167" s="23" t="n">
        <f aca="false">ROUND(G95, 2)</f>
        <v>383.06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200</v>
      </c>
      <c r="C176" s="103"/>
      <c r="D176" s="23"/>
      <c r="E176" s="103" t="n">
        <f aca="false">E111</f>
        <v>200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400</v>
      </c>
      <c r="B179" s="103" t="n">
        <f aca="false">G154</f>
        <v>500</v>
      </c>
      <c r="C179" s="103"/>
      <c r="D179" s="23"/>
      <c r="E179" s="103" t="n">
        <f aca="false">A176-A179-B179</f>
        <v>26349.996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7965.82075800914</v>
      </c>
      <c r="B182" s="103" t="str">
        <f aca="false">B114</f>
        <v>239.99</v>
      </c>
      <c r="C182" s="103"/>
      <c r="D182" s="23"/>
      <c r="E182" s="103" t="n">
        <f aca="false">E179+A182+B182+A185</f>
        <v>34565.8067580091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639.99</v>
      </c>
      <c r="C185" s="103"/>
      <c r="D185" s="23"/>
      <c r="E185" s="103" t="n">
        <f aca="false">IF(A40=0,(E167),(E170+A185))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219.5833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319.574966666667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478.309050228833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4632.104</v>
      </c>
      <c r="B201" s="186" t="n">
        <f aca="false">E179+A201+B182+A185</f>
        <v>31232.09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478.309050228833</v>
      </c>
      <c r="B212" s="177" t="n">
        <f aca="false">B167</f>
        <v>0</v>
      </c>
      <c r="C212" s="174"/>
      <c r="D212" s="174"/>
      <c r="E212" s="177" t="n">
        <f aca="false">E167</f>
        <v>478.309050228833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200</v>
      </c>
      <c r="C218" s="103"/>
      <c r="D218" s="113"/>
      <c r="E218" s="103" t="n">
        <f aca="false">E176</f>
        <v>200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400</v>
      </c>
      <c r="B221" s="103" t="n">
        <f aca="false">B179</f>
        <v>500</v>
      </c>
      <c r="C221" s="103"/>
      <c r="D221" s="113"/>
      <c r="E221" s="103" t="n">
        <f aca="false">E179</f>
        <v>26349.996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7965.82075800914</v>
      </c>
      <c r="B224" s="103" t="str">
        <f aca="false">B182</f>
        <v>239.99</v>
      </c>
      <c r="C224" s="103"/>
      <c r="D224" s="113"/>
      <c r="E224" s="103" t="n">
        <f aca="false">E182</f>
        <v>34565.8067580091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639.99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478.309050228833</v>
      </c>
      <c r="B230" s="103" t="n">
        <f aca="false">B167</f>
        <v>0</v>
      </c>
      <c r="C230" s="186"/>
      <c r="D230" s="186"/>
      <c r="E230" s="103" t="n">
        <f aca="false">E167</f>
        <v>478.309050228833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8.9772</v>
      </c>
      <c r="B236" s="103" t="n">
        <f aca="false">E233+A236</f>
        <v>35.9088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219.5833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2069.57496666667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3343.71675800914</v>
      </c>
      <c r="C254" s="197"/>
      <c r="D254" s="198" t="s">
        <v>216</v>
      </c>
      <c r="E254" s="198"/>
      <c r="F254" s="200" t="n">
        <f aca="false">F261+F267+F269+B270+B271</f>
        <v>263.49996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3180.20846467581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3343.71675800914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263.49996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3180.20846467581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1080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254.078626612779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224.078626612779</v>
      </c>
      <c r="B36" s="232" t="n">
        <f aca="false">IF(B26="YES", K42, "0.00")</f>
        <v>30</v>
      </c>
      <c r="C36" s="232"/>
      <c r="D36" s="232"/>
      <c r="E36" s="232" t="n">
        <f aca="false">K31</f>
        <v>20000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38770.3735299912</v>
      </c>
      <c r="N39" s="1" t="n">
        <f aca="false">K39-L39</f>
        <v>-17812.0435299912</v>
      </c>
      <c r="P39" s="212"/>
    </row>
    <row r="40" customFormat="false" ht="17.35" hidden="false" customHeight="false" outlineLevel="0" collapsed="false">
      <c r="A40" s="107" t="n">
        <f aca="false">E36*A45/100</f>
        <v>20000</v>
      </c>
      <c r="B40" s="107" t="n">
        <f aca="false">IF(B26="YES", K42, "0.00")</f>
        <v>30</v>
      </c>
      <c r="C40" s="107"/>
      <c r="D40" s="107"/>
      <c r="E40" s="182" t="n">
        <f aca="false">K32</f>
        <v>1080</v>
      </c>
      <c r="F40" s="186"/>
      <c r="G40" s="186"/>
      <c r="H40" s="47"/>
      <c r="J40" s="2" t="s">
        <v>106</v>
      </c>
      <c r="K40" s="2" t="n">
        <f aca="false">(A40)/1.2</f>
        <v>16666.6666666667</v>
      </c>
      <c r="L40" s="2" t="n">
        <f aca="false">K39-L39</f>
        <v>-17812.0435299912</v>
      </c>
      <c r="N40" s="1" t="n">
        <f aca="false">N38-N39</f>
        <v>20723.7235299912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30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13647.2071058677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7311.1228941323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224.078626612779</v>
      </c>
      <c r="L47" s="2" t="n">
        <f aca="false">L49-K42</f>
        <v>770</v>
      </c>
      <c r="M47" s="1" t="n">
        <f aca="false">K47-L47</f>
        <v>-545.921373387221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254.078626612779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254.078626612779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4415.76039775361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224.078626612779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224.078626612779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254.078626612779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254.078626612779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20000</v>
      </c>
      <c r="C82" s="93"/>
      <c r="D82" s="93"/>
      <c r="E82" s="113"/>
      <c r="F82" s="31" t="s">
        <v>106</v>
      </c>
      <c r="G82" s="33" t="n">
        <f aca="false">IF(A111 = "Yes", A40, 0)</f>
        <v>20000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20000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20000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14187.6931927125</v>
      </c>
      <c r="C86" s="93"/>
      <c r="D86" s="93"/>
      <c r="E86" s="113"/>
      <c r="F86" s="31" t="s">
        <v>110</v>
      </c>
      <c r="G86" s="33" t="n">
        <f aca="false">(G82/((1+G84)^(G85+1)))</f>
        <v>16465.3553732294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13529.3569525544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13529.3569525544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29.6156943349079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10562.3028072875</v>
      </c>
      <c r="C88" s="93"/>
      <c r="D88" s="93"/>
      <c r="E88" s="113"/>
      <c r="F88" s="31" t="s">
        <v>112</v>
      </c>
      <c r="G88" s="33" t="n">
        <f aca="false">G81-G86</f>
        <v>8284.64062677062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356.64545588039</v>
      </c>
      <c r="C89" s="93"/>
      <c r="D89" s="93"/>
      <c r="E89" s="113"/>
      <c r="F89" s="31" t="s">
        <v>113</v>
      </c>
      <c r="G89" s="33" t="n">
        <f aca="false">(G88/G87)</f>
        <v>260.488713190845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12482.5909558137</v>
      </c>
      <c r="C90" s="93"/>
      <c r="D90" s="93"/>
      <c r="E90" s="113"/>
      <c r="F90" s="31" t="s">
        <v>114</v>
      </c>
      <c r="G90" s="33" t="n">
        <f aca="false">((G89*(G85))+G77)</f>
        <v>9117.10496167959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12482.5909558137</v>
      </c>
      <c r="C92" s="93"/>
      <c r="D92" s="93"/>
      <c r="E92" s="113"/>
      <c r="F92" s="56" t="s">
        <v>116</v>
      </c>
      <c r="G92" s="65" t="n">
        <f aca="false">(G90+G91)</f>
        <v>9117.10496167959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37.0285714285714</v>
      </c>
      <c r="C94" s="93"/>
      <c r="D94" s="93"/>
      <c r="E94" s="113"/>
      <c r="F94" s="88" t="s">
        <v>117</v>
      </c>
      <c r="G94" s="94" t="n">
        <f aca="false">IF(B26="YES",((E40/B85)*(1+A108)*(C45/100)),"0")</f>
        <v>37.0285714285714</v>
      </c>
      <c r="H94" s="33"/>
      <c r="J94" s="88" t="s">
        <v>117</v>
      </c>
      <c r="K94" s="89" t="n">
        <f aca="false">((E40/K85)*(1+J108))*1.2</f>
        <v>46.8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37.0285714285714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44.4342857142857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356.64545588039</v>
      </c>
      <c r="C95" s="93"/>
      <c r="D95" s="93"/>
      <c r="E95" s="113"/>
      <c r="F95" s="95" t="s">
        <v>118</v>
      </c>
      <c r="G95" s="96" t="n">
        <f aca="false">G92/(G85)</f>
        <v>260.488713190845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393.674027308961</v>
      </c>
      <c r="C96" s="93"/>
      <c r="D96" s="93"/>
      <c r="E96" s="113"/>
      <c r="F96" s="97" t="s">
        <v>119</v>
      </c>
      <c r="G96" s="98" t="n">
        <f aca="false">G94+G95</f>
        <v>297.517284619417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-19166.6633333333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356.64545588039</v>
      </c>
      <c r="B167" s="177" t="n">
        <f aca="false">B94</f>
        <v>37.0285714285714</v>
      </c>
      <c r="C167" s="174"/>
      <c r="D167" s="174"/>
      <c r="E167" s="177" t="n">
        <f aca="false">B96</f>
        <v>393.674027308961</v>
      </c>
      <c r="F167" s="23"/>
      <c r="G167" s="23" t="n">
        <f aca="false">ROUND(G95, 2)</f>
        <v>260.49</v>
      </c>
      <c r="H167" s="33"/>
      <c r="J167" s="176" t="e">
        <f aca="false">K95</f>
        <v>#VALUE!</v>
      </c>
      <c r="K167" s="177" t="n">
        <f aca="false">K94</f>
        <v>46.8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37.0285714285714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44.4342857142857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20000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20000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20000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7732.59495581365</v>
      </c>
      <c r="B182" s="103" t="str">
        <f aca="false">B114</f>
        <v>199.99</v>
      </c>
      <c r="C182" s="103"/>
      <c r="D182" s="23"/>
      <c r="E182" s="103" t="n">
        <f aca="false">E179+A182+(B182*1.2)+A185</f>
        <v>32732.5789558137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20010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20010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20010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21.6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32.4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21.6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21.6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327.839966666667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393.674027308961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4367.154</v>
      </c>
      <c r="B201" s="186" t="n">
        <f aca="false">E179+A201+(B182*1.2)+A185</f>
        <v>29367.138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356.64545588039</v>
      </c>
      <c r="B212" s="177" t="n">
        <f aca="false">B167</f>
        <v>37.0285714285714</v>
      </c>
      <c r="C212" s="174"/>
      <c r="D212" s="174"/>
      <c r="E212" s="177" t="n">
        <f aca="false">E167</f>
        <v>393.674027308961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7732.59495581365</v>
      </c>
      <c r="B224" s="103" t="str">
        <f aca="false">B182</f>
        <v>199.99</v>
      </c>
      <c r="C224" s="103"/>
      <c r="D224" s="113"/>
      <c r="E224" s="103" t="n">
        <f aca="false">E182</f>
        <v>32732.5789558137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356.64545588039</v>
      </c>
      <c r="B230" s="103" t="n">
        <f aca="false">B167</f>
        <v>37.0285714285714</v>
      </c>
      <c r="C230" s="186"/>
      <c r="D230" s="186"/>
      <c r="E230" s="103" t="n">
        <f aca="false">E167</f>
        <v>393.674027308961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20000</v>
      </c>
      <c r="B233" s="103" t="n">
        <f aca="false">E185</f>
        <v>20010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7.481</v>
      </c>
      <c r="B236" s="103" t="n">
        <f aca="false">E233+A236</f>
        <v>29.924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206.249966666667</v>
      </c>
      <c r="C240" s="93"/>
      <c r="D240" s="93"/>
      <c r="E240" s="103" t="n">
        <f aca="false">E188</f>
        <v>21.6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2077.83996666667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3375.44095581365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315.99</v>
      </c>
      <c r="C255" s="197"/>
      <c r="D255" s="198" t="s">
        <v>218</v>
      </c>
      <c r="E255" s="198"/>
      <c r="F255" s="200" t="n">
        <f aca="false">(B254-F254)+B255</f>
        <v>3443.93099581365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3375.44095581365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216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3443.93099581365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282.47277985001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282.47277985001</v>
      </c>
      <c r="B36" s="232" t="str">
        <f aca="false">IF(B26="YES", K42, "0.00")</f>
        <v>0.00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37719.2069181402</v>
      </c>
      <c r="N39" s="1" t="n">
        <f aca="false">K39-L39</f>
        <v>-16760.8769181402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-16760.8769181402</v>
      </c>
      <c r="N40" s="1" t="n">
        <f aca="false">N38-N39</f>
        <v>19672.5569181402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9148.29464316638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282.47277985001</v>
      </c>
      <c r="L47" s="2" t="n">
        <f aca="false">L49-K42</f>
        <v>800</v>
      </c>
      <c r="M47" s="1" t="n">
        <f aca="false">K47-L47</f>
        <v>-517.527220149989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282.47277985001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282.47277985001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4667.59050163793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282.47277985001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282.47277985001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282.47277985001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282.47277985001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12466.3900103009</v>
      </c>
      <c r="C88" s="93"/>
      <c r="D88" s="93"/>
      <c r="E88" s="113"/>
      <c r="F88" s="31" t="s">
        <v>112</v>
      </c>
      <c r="G88" s="33" t="n">
        <f aca="false">G81-G86</f>
        <v>10495.2833243018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423.903159321094</v>
      </c>
      <c r="C89" s="93"/>
      <c r="D89" s="93"/>
      <c r="E89" s="113"/>
      <c r="F89" s="31" t="s">
        <v>113</v>
      </c>
      <c r="G89" s="33" t="n">
        <f aca="false">(G88/G87)</f>
        <v>332.388129551329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14836.6105762383</v>
      </c>
      <c r="C90" s="93"/>
      <c r="D90" s="93"/>
      <c r="E90" s="113"/>
      <c r="F90" s="31" t="s">
        <v>114</v>
      </c>
      <c r="G90" s="33" t="n">
        <f aca="false">((G89*(G85))+G77)</f>
        <v>11633.5845342965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14836.6105762383</v>
      </c>
      <c r="C92" s="93"/>
      <c r="D92" s="93"/>
      <c r="E92" s="113"/>
      <c r="F92" s="56" t="s">
        <v>116</v>
      </c>
      <c r="G92" s="65" t="n">
        <f aca="false">(G90+G91)</f>
        <v>11633.5845342965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423.903159321094</v>
      </c>
      <c r="C95" s="93"/>
      <c r="D95" s="93"/>
      <c r="E95" s="113"/>
      <c r="F95" s="95" t="s">
        <v>118</v>
      </c>
      <c r="G95" s="96" t="n">
        <f aca="false">G92/(G85)</f>
        <v>332.388129551329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423.903159321094</v>
      </c>
      <c r="C96" s="93"/>
      <c r="D96" s="93"/>
      <c r="E96" s="113"/>
      <c r="F96" s="97" t="s">
        <v>119</v>
      </c>
      <c r="G96" s="98" t="n">
        <f aca="false">G94+G95</f>
        <v>332.388129551329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-19166.6633333333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423.903159321094</v>
      </c>
      <c r="B167" s="177" t="str">
        <f aca="false">B94</f>
        <v>0</v>
      </c>
      <c r="C167" s="174"/>
      <c r="D167" s="174"/>
      <c r="E167" s="177" t="n">
        <f aca="false">B96</f>
        <v>423.903159321094</v>
      </c>
      <c r="F167" s="23"/>
      <c r="G167" s="23" t="n">
        <f aca="false">ROUND(G95, 2)</f>
        <v>332.39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7661.6145762383</v>
      </c>
      <c r="B182" s="103" t="str">
        <f aca="false">B114</f>
        <v>239.99</v>
      </c>
      <c r="C182" s="103"/>
      <c r="D182" s="23"/>
      <c r="E182" s="103" t="n">
        <f aca="false">E179+A182+B182+A185</f>
        <v>32661.6005762383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306.241633333333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423.903159321094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4458.654</v>
      </c>
      <c r="B201" s="186" t="n">
        <f aca="false">E179+A201+B182+A185</f>
        <v>29458.64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423.903159321094</v>
      </c>
      <c r="B212" s="177" t="str">
        <f aca="false">B167</f>
        <v>0</v>
      </c>
      <c r="C212" s="174"/>
      <c r="D212" s="174"/>
      <c r="E212" s="177" t="n">
        <f aca="false">E167</f>
        <v>423.903159321094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7661.6145762383</v>
      </c>
      <c r="B224" s="103" t="str">
        <f aca="false">B182</f>
        <v>239.99</v>
      </c>
      <c r="C224" s="103"/>
      <c r="D224" s="113"/>
      <c r="E224" s="103" t="n">
        <f aca="false">E182</f>
        <v>32661.6005762383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423.903159321094</v>
      </c>
      <c r="B230" s="103" t="str">
        <f aca="false">B167</f>
        <v>0</v>
      </c>
      <c r="C230" s="186"/>
      <c r="D230" s="186"/>
      <c r="E230" s="103" t="n">
        <f aca="false">E167</f>
        <v>423.903159321094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206.249966666667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2056.24163333333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3212.9605762383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3065.45228290497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3212.9605762383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3065.45228290497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20083.33</v>
      </c>
      <c r="C2" s="4" t="s">
        <v>2</v>
      </c>
      <c r="D2" s="5" t="n">
        <f aca="false">C9</f>
        <v>4016.666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24099.996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23150</v>
      </c>
      <c r="C9" s="14" t="n">
        <f aca="false">B9*0.2</f>
        <v>4016.666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20083.33</v>
      </c>
      <c r="C15" s="14" t="n">
        <f aca="false">SUM(C9:C13)</f>
        <v>4016.666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24099.996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255.45532009281</v>
      </c>
      <c r="F33" s="232"/>
      <c r="G33" s="232"/>
      <c r="H33" s="47"/>
      <c r="I33" s="2"/>
      <c r="J33" s="34" t="s">
        <v>356</v>
      </c>
      <c r="K33" s="48" t="n">
        <f aca="false">E21</f>
        <v>20083.33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255.45532009281</v>
      </c>
      <c r="B36" s="232" t="str">
        <f aca="false">IF(B26="YES", K42, "0.00")</f>
        <v>0.00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20083.33</v>
      </c>
      <c r="L39" s="2" t="n">
        <f aca="false">(L47*K46)+K44</f>
        <v>37719.2069181402</v>
      </c>
      <c r="N39" s="1" t="n">
        <f aca="false">K39-L39</f>
        <v>-17635.8769181402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-17635.8769181402</v>
      </c>
      <c r="N40" s="1" t="n">
        <f aca="false">N38-N39</f>
        <v>20547.5569181402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8273.29464316638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255.45532009281</v>
      </c>
      <c r="L47" s="2" t="n">
        <f aca="false">L49-K42</f>
        <v>800</v>
      </c>
      <c r="M47" s="1" t="n">
        <f aca="false">K47-L47</f>
        <v>-544.54467990719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255.45532009281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255.45532009281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5640.21905289714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255.45532009281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255.45532009281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255.45532009281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255.45532009281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12466.3900103009</v>
      </c>
      <c r="C88" s="93"/>
      <c r="D88" s="93"/>
      <c r="E88" s="113"/>
      <c r="F88" s="31" t="s">
        <v>112</v>
      </c>
      <c r="G88" s="33" t="n">
        <f aca="false">G81-G86</f>
        <v>10495.2833243018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423.903159321094</v>
      </c>
      <c r="C89" s="93"/>
      <c r="D89" s="93"/>
      <c r="E89" s="113"/>
      <c r="F89" s="31" t="s">
        <v>113</v>
      </c>
      <c r="G89" s="33" t="n">
        <f aca="false">(G88/G87)</f>
        <v>332.388129551329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14836.6105762383</v>
      </c>
      <c r="C90" s="93"/>
      <c r="D90" s="93"/>
      <c r="E90" s="113"/>
      <c r="F90" s="31" t="s">
        <v>114</v>
      </c>
      <c r="G90" s="33" t="n">
        <f aca="false">((G89*(G85))+G77)</f>
        <v>11633.5845342965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14836.6105762383</v>
      </c>
      <c r="C92" s="93"/>
      <c r="D92" s="93"/>
      <c r="E92" s="113"/>
      <c r="F92" s="56" t="s">
        <v>116</v>
      </c>
      <c r="G92" s="65" t="n">
        <f aca="false">(G90+G91)</f>
        <v>11633.5845342965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423.903159321094</v>
      </c>
      <c r="C95" s="93"/>
      <c r="D95" s="93"/>
      <c r="E95" s="113"/>
      <c r="F95" s="95" t="s">
        <v>118</v>
      </c>
      <c r="G95" s="96" t="n">
        <f aca="false">G92/(G85)</f>
        <v>332.388129551329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423.903159321094</v>
      </c>
      <c r="C96" s="93"/>
      <c r="D96" s="93"/>
      <c r="E96" s="113"/>
      <c r="F96" s="97" t="s">
        <v>119</v>
      </c>
      <c r="G96" s="98" t="n">
        <f aca="false">G94+G95</f>
        <v>332.388129551329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20083.33</v>
      </c>
      <c r="C121" s="121" t="n">
        <v>22708.33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24099.996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24099.996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24099.996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20083.33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20083.33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4016.666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24099.996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24099.996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2625</v>
      </c>
      <c r="I148" s="1" t="n">
        <f aca="false">(H148-G81)/1.2</f>
        <v>-18437.4966666667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423.903159321094</v>
      </c>
      <c r="B167" s="177" t="str">
        <f aca="false">B94</f>
        <v>0</v>
      </c>
      <c r="C167" s="174"/>
      <c r="D167" s="174"/>
      <c r="E167" s="177" t="n">
        <f aca="false">B96</f>
        <v>423.903159321094</v>
      </c>
      <c r="F167" s="23"/>
      <c r="G167" s="23" t="n">
        <f aca="false">ROUND(G95, 2)</f>
        <v>332.39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7661.6145762383</v>
      </c>
      <c r="B182" s="103" t="str">
        <f aca="false">B114</f>
        <v>199.99</v>
      </c>
      <c r="C182" s="103"/>
      <c r="D182" s="23"/>
      <c r="E182" s="103" t="n">
        <f aca="false">E179+A182+(B182*1.2)+A185</f>
        <v>32661.5985762383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306.239966666667</v>
      </c>
      <c r="C191" s="93"/>
      <c r="D191" s="93"/>
      <c r="E191" s="103" t="n">
        <f aca="false">H148</f>
        <v>2625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423.903159321094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4458.654</v>
      </c>
      <c r="B201" s="186" t="n">
        <f aca="false">E179+A201+(B182*1.2)+A185</f>
        <v>29458.638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423.903159321094</v>
      </c>
      <c r="B212" s="177" t="str">
        <f aca="false">B167</f>
        <v>0</v>
      </c>
      <c r="C212" s="174"/>
      <c r="D212" s="174"/>
      <c r="E212" s="177" t="n">
        <f aca="false">E167</f>
        <v>423.903159321094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7661.6145762383</v>
      </c>
      <c r="B224" s="103" t="str">
        <f aca="false">B182</f>
        <v>199.99</v>
      </c>
      <c r="C224" s="103"/>
      <c r="D224" s="113"/>
      <c r="E224" s="103" t="n">
        <f aca="false">E182</f>
        <v>32661.5985762383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423.903159321094</v>
      </c>
      <c r="B230" s="103" t="str">
        <f aca="false">B167</f>
        <v>0</v>
      </c>
      <c r="C230" s="186"/>
      <c r="D230" s="186"/>
      <c r="E230" s="103" t="n">
        <f aca="false">E167</f>
        <v>423.903159321094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2625</v>
      </c>
      <c r="B240" s="103" t="n">
        <f aca="false">B68</f>
        <v>206.249966666667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2931.23996666667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3212.9605762383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3065.4506162383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3212.9605762383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3065.4506162383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1760.49972</v>
      </c>
      <c r="C64" s="215" t="n">
        <v>10000</v>
      </c>
      <c r="D64" s="291" t="n">
        <f aca="false">B64</f>
        <v>1760.49972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251.49996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3087.16638666667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257.263865555556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10918.999664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77.0804736264623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10996.0801376265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916.340011468872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916.340011468872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916.340011468872</v>
      </c>
      <c r="B128" s="321" t="n">
        <f aca="false">IF(A105="YES", B89, 0)</f>
        <v>0</v>
      </c>
      <c r="C128" s="326"/>
      <c r="D128" s="321" t="n">
        <f aca="false">B91</f>
        <v>916.340011468872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8247.06010321985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8247.06010321985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916.340011468872</v>
      </c>
      <c r="B137" s="38" t="n">
        <f aca="false">IF(A105="YES", B89, 0)</f>
        <v>0</v>
      </c>
      <c r="C137" s="317"/>
      <c r="D137" s="38" t="n">
        <f aca="false">B91</f>
        <v>916.340011468872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251.49996</v>
      </c>
      <c r="B148" s="38" t="n">
        <f aca="false">B102</f>
        <v>400</v>
      </c>
      <c r="C148" s="38"/>
      <c r="D148" s="38" t="n">
        <f aca="false">IF(A105="YES", (A41*B105)*B125,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751.48996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916.340011468872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916.340011468872</v>
      </c>
      <c r="B171" s="355" t="n">
        <f aca="false">IF(A105="YES", B89, 0)</f>
        <v>0</v>
      </c>
      <c r="C171" s="358"/>
      <c r="D171" s="355" t="n">
        <f aca="false">B91</f>
        <v>916.340011468872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8247.06010321985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8247.06010321985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916.340011468872</v>
      </c>
      <c r="B180" s="103" t="n">
        <f aca="false">IF(A105="YES", B89, 0)</f>
        <v>0</v>
      </c>
      <c r="C180" s="353"/>
      <c r="D180" s="103" t="n">
        <f aca="false">B91</f>
        <v>916.340011468872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251.49996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751.48996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1760.49972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251.49996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1848.98976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1760.49972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251.49996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1848.98976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77.0804736264623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1760.49972</v>
      </c>
      <c r="C64" s="215" t="n">
        <v>10000</v>
      </c>
      <c r="D64" s="291" t="n">
        <f aca="false">B64</f>
        <v>1760.49972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251.49996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3087.16638666667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257.263865555556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9099.16638666667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77.0804736264623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9176.24686029313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65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764.687238357761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829.687238357761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764.687238357761</v>
      </c>
      <c r="B128" s="321" t="n">
        <f aca="false">IF(A105="YES", B89, 0)</f>
        <v>65</v>
      </c>
      <c r="C128" s="326"/>
      <c r="D128" s="321" t="n">
        <f aca="false">B91</f>
        <v>829.687238357761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6882.18514521985</v>
      </c>
      <c r="C131" s="317"/>
      <c r="D131" s="38" t="n">
        <f aca="false">IF(A105="YES", B89*B57, 0)</f>
        <v>585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7467.18514521985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764.687238357761</v>
      </c>
      <c r="B137" s="38" t="n">
        <f aca="false">IF(A105="YES", B89, 0)</f>
        <v>65</v>
      </c>
      <c r="C137" s="317"/>
      <c r="D137" s="38" t="n">
        <f aca="false">B91</f>
        <v>829.687238357761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251.49996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769.48996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829.687238357761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764.687238357761</v>
      </c>
      <c r="B171" s="355" t="n">
        <f aca="false">IF(A105="YES", B89, 0)</f>
        <v>65</v>
      </c>
      <c r="C171" s="358"/>
      <c r="D171" s="355" t="n">
        <f aca="false">B91</f>
        <v>829.687238357761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6882.18514521985</v>
      </c>
      <c r="C174" s="353"/>
      <c r="D174" s="103" t="n">
        <f aca="false">IF(A105="YES", B89*B57, 0)</f>
        <v>585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7467.18514521985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764.687238357761</v>
      </c>
      <c r="B180" s="103" t="n">
        <f aca="false">IF(A105="YES", B89, 0)</f>
        <v>65</v>
      </c>
      <c r="C180" s="353"/>
      <c r="D180" s="103" t="n">
        <f aca="false">B91</f>
        <v>829.687238357761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251.49996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769.48996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1760.49972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251.49996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2028.98976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1760.49972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251.49996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2028.98976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77.0804736264623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282.157016332866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232.157016332866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-36202.9820530432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7518.74495666159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232.157016332866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282.157016332866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282.157016332866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502.99992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21.6666666666667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10780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299.444444444444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232.157016332866</v>
      </c>
      <c r="C83" s="473"/>
      <c r="D83" s="215"/>
      <c r="E83" s="466" t="n">
        <f aca="false">B83+E80+E77+E64</f>
        <v>531.60146077731</v>
      </c>
      <c r="F83" s="63"/>
      <c r="G83" s="305" t="s">
        <v>104</v>
      </c>
      <c r="H83" s="306" t="n">
        <f aca="false">H47</f>
        <v>232.157016332866</v>
      </c>
      <c r="I83" s="215"/>
      <c r="J83" s="215"/>
      <c r="K83" s="216"/>
      <c r="L83" s="63"/>
      <c r="M83" s="305" t="s">
        <v>104</v>
      </c>
      <c r="N83" s="306" t="n">
        <f aca="false">H47</f>
        <v>232.157016332866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19137.6525879832</v>
      </c>
      <c r="C85" s="473"/>
      <c r="D85" s="473"/>
      <c r="E85" s="466" t="n">
        <f aca="false">B85/(B58+B57)</f>
        <v>531.60146077731</v>
      </c>
      <c r="F85" s="63"/>
      <c r="G85" s="288" t="s">
        <v>114</v>
      </c>
      <c r="H85" s="131" t="n">
        <f aca="false">((H83*H29)+H81)*1.2</f>
        <v>11308.0831055798</v>
      </c>
      <c r="I85" s="215"/>
      <c r="J85" s="215"/>
      <c r="K85" s="216"/>
      <c r="L85" s="63"/>
      <c r="M85" s="288" t="s">
        <v>114</v>
      </c>
      <c r="N85" s="131" t="n">
        <f aca="false">((N83*H29)+N81)</f>
        <v>9079.65258798317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162.118073556937</v>
      </c>
      <c r="C86" s="473" t="s">
        <v>230</v>
      </c>
      <c r="D86" s="215"/>
      <c r="E86" s="466" t="n">
        <f aca="false">B86/(B58+B57)</f>
        <v>4.50327982102603</v>
      </c>
      <c r="F86" s="63"/>
      <c r="G86" s="214" t="s">
        <v>115</v>
      </c>
      <c r="H86" s="300" t="n">
        <f aca="false">((((H83*H29)+H81))/(1-H70))*H70</f>
        <v>79.8271296279332</v>
      </c>
      <c r="I86" s="215"/>
      <c r="J86" s="215"/>
      <c r="K86" s="216"/>
      <c r="L86" s="63"/>
      <c r="M86" s="214" t="s">
        <v>115</v>
      </c>
      <c r="N86" s="300" t="n">
        <f aca="false">(N85/(1-N70))*N70</f>
        <v>76.9151691600026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19299.7706615401</v>
      </c>
      <c r="C87" s="473"/>
      <c r="D87" s="475"/>
      <c r="E87" s="466" t="n">
        <f aca="false">E86+E85</f>
        <v>536.104740598336</v>
      </c>
      <c r="F87" s="63"/>
      <c r="G87" s="285" t="s">
        <v>116</v>
      </c>
      <c r="H87" s="133" t="n">
        <f aca="false">IF(H110="YES",((H85+H86)-K114),(H85+H86))</f>
        <v>11387.9102352077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9156.56775714317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536.104740598336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277.753908175798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223.330920905931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601.104740598336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488.485615492872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398.940677003492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277.753908175798</v>
      </c>
      <c r="H127" s="177" t="n">
        <f aca="false">IF(G105="YES", H89*H57, 0)</f>
        <v>1264.39024390244</v>
      </c>
      <c r="I127" s="177"/>
      <c r="J127" s="334" t="n">
        <f aca="false">H91</f>
        <v>488.485615492872</v>
      </c>
      <c r="K127" s="216"/>
      <c r="L127" s="63"/>
      <c r="M127" s="333" t="n">
        <f aca="false">N90</f>
        <v>223.330920905931</v>
      </c>
      <c r="N127" s="177" t="n">
        <f aca="false">IF(M105="YES", N89*N57, 0)</f>
        <v>1053.65853658537</v>
      </c>
      <c r="O127" s="177"/>
      <c r="P127" s="177" t="n">
        <f aca="false">N91</f>
        <v>398.940677003492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536.104740598336</v>
      </c>
      <c r="B128" s="321" t="n">
        <f aca="false">IF(A105="YES", B89, 0)</f>
        <v>65</v>
      </c>
      <c r="C128" s="325"/>
      <c r="D128" s="321" t="n">
        <f aca="false">B91</f>
        <v>601.104740598336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536.104740598336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1666.52344905479</v>
      </c>
      <c r="H133" s="103" t="n">
        <f aca="false">IF(G105="YES", H89*H57, 0)</f>
        <v>1264.39024390244</v>
      </c>
      <c r="I133" s="221"/>
      <c r="J133" s="184" t="n">
        <f aca="false">H91*H57</f>
        <v>2930.91369295723</v>
      </c>
      <c r="K133" s="216"/>
      <c r="L133" s="63"/>
      <c r="M133" s="185" t="n">
        <f aca="false">N90*N57</f>
        <v>1339.98552543559</v>
      </c>
      <c r="N133" s="103" t="n">
        <f aca="false">IF(M105="YES", N89*N57, 0)</f>
        <v>1053.65853658537</v>
      </c>
      <c r="O133" s="221"/>
      <c r="P133" s="184" t="n">
        <f aca="false">N91*N57</f>
        <v>2393.64406202095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601.104740598336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536.104740598336</v>
      </c>
      <c r="B137" s="38" t="n">
        <f aca="false">IF(A105="YES", B89, 0)</f>
        <v>65</v>
      </c>
      <c r="C137" s="317"/>
      <c r="D137" s="38" t="n">
        <f aca="false">B91</f>
        <v>601.104740598336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502.99992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656.98992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488.485615492872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398.940677003492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601.104740598336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536.104740598336</v>
      </c>
      <c r="B177" s="355" t="n">
        <f aca="false">IF(A105="YES", B89, 0)</f>
        <v>65</v>
      </c>
      <c r="C177" s="357"/>
      <c r="D177" s="355" t="n">
        <f aca="false">B91</f>
        <v>601.104740598336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536.104740598336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601.104740598336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536.104740598336</v>
      </c>
      <c r="B186" s="103" t="n">
        <f aca="false">IF(A105="YES", B89, 0)</f>
        <v>65</v>
      </c>
      <c r="C186" s="353"/>
      <c r="D186" s="103" t="n">
        <f aca="false">B91</f>
        <v>601.104740598336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502.99992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656.98992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502.99992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10136.99008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502.99992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10136.99008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162.118073556937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81" colorId="64" zoomScale="85" zoomScaleNormal="85" zoomScalePageLayoutView="100" workbookViewId="0">
      <selection pane="topLeft" activeCell="A152" activeCellId="0" sqref="A15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658.9795089829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658.9795089829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-23567.5795313712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20958.33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658.9795089829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658.9795089829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658.9795089829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2604.0725025</v>
      </c>
      <c r="C64" s="465" t="n">
        <v>10000</v>
      </c>
      <c r="D64" s="291" t="n">
        <f aca="false">B64</f>
        <v>2604.0725025</v>
      </c>
      <c r="E64" s="466" t="n">
        <f aca="false">D64/(B58+B57)</f>
        <v>74.4020715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492.520755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495</v>
      </c>
      <c r="C76" s="215"/>
      <c r="D76" s="291" t="n">
        <f aca="false">B76</f>
        <v>495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222.222222222222</v>
      </c>
      <c r="C77" s="473"/>
      <c r="D77" s="291" t="n">
        <f aca="false">B77</f>
        <v>222.222222222222</v>
      </c>
      <c r="E77" s="466" t="n">
        <f aca="false">D77/(B58+B57)</f>
        <v>6.34920634920635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36.2857142857143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4318.51694694444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123.386198484127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658.9795089829</v>
      </c>
      <c r="C83" s="473"/>
      <c r="D83" s="215"/>
      <c r="E83" s="466" t="n">
        <f aca="false">B83+E80+E77+E64</f>
        <v>776.016501117821</v>
      </c>
      <c r="F83" s="63"/>
      <c r="G83" s="305" t="s">
        <v>104</v>
      </c>
      <c r="H83" s="306" t="n">
        <f aca="false">H47</f>
        <v>658.9795089829</v>
      </c>
      <c r="I83" s="215"/>
      <c r="J83" s="215"/>
      <c r="K83" s="216"/>
      <c r="L83" s="63"/>
      <c r="M83" s="305" t="s">
        <v>104</v>
      </c>
      <c r="N83" s="306" t="n">
        <f aca="false">H47</f>
        <v>658.9795089829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32859.3597136151</v>
      </c>
      <c r="C85" s="473"/>
      <c r="D85" s="473"/>
      <c r="E85" s="466" t="n">
        <f aca="false">B85/(B58+B57)</f>
        <v>938.838848960432</v>
      </c>
      <c r="F85" s="63"/>
      <c r="G85" s="288" t="s">
        <v>114</v>
      </c>
      <c r="H85" s="131" t="n">
        <f aca="false">((H83*H29)+H81)*1.2</f>
        <v>28934.1393772818</v>
      </c>
      <c r="I85" s="215"/>
      <c r="J85" s="215"/>
      <c r="K85" s="216"/>
      <c r="L85" s="63"/>
      <c r="M85" s="288" t="s">
        <v>114</v>
      </c>
      <c r="N85" s="131" t="n">
        <f aca="false">((N83*H29)+N81)</f>
        <v>23781.7828144015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231.964015727416</v>
      </c>
      <c r="C86" s="473" t="s">
        <v>230</v>
      </c>
      <c r="D86" s="215"/>
      <c r="E86" s="466" t="n">
        <f aca="false">B86/(B58+B57)</f>
        <v>6.62754330649761</v>
      </c>
      <c r="F86" s="63"/>
      <c r="G86" s="214" t="s">
        <v>115</v>
      </c>
      <c r="H86" s="300" t="n">
        <f aca="false">((((H83*H29)+H81))/(1-H70))*H70</f>
        <v>204.254715249065</v>
      </c>
      <c r="I86" s="215"/>
      <c r="J86" s="215"/>
      <c r="K86" s="216"/>
      <c r="L86" s="63"/>
      <c r="M86" s="214" t="s">
        <v>115</v>
      </c>
      <c r="N86" s="300" t="n">
        <f aca="false">(N85/(1-N70))*N70</f>
        <v>201.459233199851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33091.3237293425</v>
      </c>
      <c r="C87" s="473"/>
      <c r="D87" s="475"/>
      <c r="E87" s="466" t="n">
        <f aca="false">E86+E85</f>
        <v>945.46639226693</v>
      </c>
      <c r="F87" s="63"/>
      <c r="G87" s="285" t="s">
        <v>116</v>
      </c>
      <c r="H87" s="133" t="n">
        <f aca="false">IF(H110="YES",((H85+H86)-K114),(H85+H86))</f>
        <v>29138.3940925309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23983.2420476013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945.46639226693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728.459852313271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599.581051190034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945.46639226693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728.459852313271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599.581051190034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200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1239.99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728.459852313271</v>
      </c>
      <c r="H127" s="177" t="n">
        <f aca="false">IF(G105="YES", H89*H57, 0)</f>
        <v>0</v>
      </c>
      <c r="I127" s="177"/>
      <c r="J127" s="334" t="n">
        <f aca="false">H91</f>
        <v>728.459852313271</v>
      </c>
      <c r="K127" s="216"/>
      <c r="L127" s="63"/>
      <c r="M127" s="333" t="n">
        <f aca="false">N90</f>
        <v>599.581051190034</v>
      </c>
      <c r="N127" s="177" t="n">
        <f aca="false">IF(M105="YES", N89*N57, 0)</f>
        <v>0</v>
      </c>
      <c r="O127" s="177"/>
      <c r="P127" s="177" t="n">
        <f aca="false">N91</f>
        <v>599.581051190034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945.46639226693</v>
      </c>
      <c r="B128" s="321" t="n">
        <f aca="false">IF(A105="YES", B89, 0)</f>
        <v>0</v>
      </c>
      <c r="C128" s="325"/>
      <c r="D128" s="321" t="n">
        <f aca="false">B91</f>
        <v>945.46639226693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945.46639226693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4370.75911387963</v>
      </c>
      <c r="H133" s="103" t="n">
        <f aca="false">IF(G105="YES", H89*H57, 0)</f>
        <v>0</v>
      </c>
      <c r="I133" s="221"/>
      <c r="J133" s="184" t="n">
        <f aca="false">H91*H57</f>
        <v>4370.75911387963</v>
      </c>
      <c r="K133" s="216"/>
      <c r="L133" s="63"/>
      <c r="M133" s="185" t="n">
        <f aca="false">N90*N57</f>
        <v>3597.4863071402</v>
      </c>
      <c r="N133" s="103" t="n">
        <f aca="false">IF(M105="YES", N89*N57, 0)</f>
        <v>0</v>
      </c>
      <c r="O133" s="221"/>
      <c r="P133" s="184" t="n">
        <f aca="false">N91*N57</f>
        <v>3597.4863071402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945.46639226693</v>
      </c>
      <c r="B134" s="38" t="n">
        <f aca="false">E114</f>
        <v>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945.46639226693</v>
      </c>
      <c r="B137" s="38" t="n">
        <f aca="false">IF(A105="YES", B89, 0)</f>
        <v>0</v>
      </c>
      <c r="C137" s="317"/>
      <c r="D137" s="38" t="n">
        <f aca="false">B91</f>
        <v>945.46639226693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200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492.520755</v>
      </c>
      <c r="B148" s="103" t="n">
        <f aca="false">B102</f>
        <v>200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792.512421666667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728.459852313271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599.581051190034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945.46639226693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945.46639226693</v>
      </c>
      <c r="B177" s="355" t="n">
        <f aca="false">IF(A105="YES", B89, 0)</f>
        <v>0</v>
      </c>
      <c r="C177" s="357"/>
      <c r="D177" s="355" t="n">
        <f aca="false">B91</f>
        <v>945.46639226693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945.46639226693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945.46639226693</v>
      </c>
      <c r="B183" s="103" t="n">
        <f aca="false">E114</f>
        <v>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945.46639226693</v>
      </c>
      <c r="B186" s="103" t="n">
        <f aca="false">IF(A105="YES", B89, 0)</f>
        <v>0</v>
      </c>
      <c r="C186" s="353"/>
      <c r="D186" s="103" t="n">
        <f aca="false">B91</f>
        <v>945.46639226693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200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492.520755</v>
      </c>
      <c r="B197" s="103" t="n">
        <f aca="false">B102</f>
        <v>200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792.512421666667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2604.0725025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492.520755</v>
      </c>
      <c r="C211" s="320" t="s">
        <v>217</v>
      </c>
      <c r="D211" s="370" t="n">
        <f aca="false">B225+E221+B221+B223</f>
        <v>319.991666666667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2431.54341416667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2604.0725025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492.520755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20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2431.54341416667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231.964015727416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275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21268</v>
      </c>
      <c r="F15" s="388"/>
      <c r="G15" s="17" t="n">
        <f aca="false">E15</f>
        <v>21268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21268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45281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17780</v>
      </c>
      <c r="B35" s="223" t="s">
        <v>45</v>
      </c>
      <c r="C35" s="223"/>
      <c r="D35" s="279" t="n">
        <f aca="false">A35-B35</f>
        <v>16780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345.333333333333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209.28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0</v>
      </c>
      <c r="C80" s="317"/>
      <c r="D80" s="317"/>
      <c r="E80" s="404" t="n">
        <f aca="false">E79+D82</f>
        <v>660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55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2791.62666666667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232.635555555556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7602.752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53.6700927793465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7656.42209277935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638.035174398279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716.035174398279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638.035174398279</v>
      </c>
      <c r="B134" s="321" t="n">
        <f aca="false">IF(A111="YES", B95, 0)</f>
        <v>78</v>
      </c>
      <c r="C134" s="325"/>
      <c r="D134" s="321" t="n">
        <f aca="false">B97</f>
        <v>716.035174398279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638.035174398279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716.035174398279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0.127608</v>
      </c>
      <c r="H142" s="38" t="n">
        <f aca="false">IF(G111="YES", E15*0.000002, 0)</f>
        <v>0.042536</v>
      </c>
      <c r="I142" s="38"/>
      <c r="J142" s="38" t="n">
        <f aca="false">G142+H142</f>
        <v>0.170144</v>
      </c>
      <c r="K142" s="105"/>
      <c r="L142" s="388"/>
      <c r="M142" s="111" t="n">
        <f aca="false">E15*0.000006</f>
        <v>0.127608</v>
      </c>
      <c r="N142" s="38" t="n">
        <f aca="false">IF(M111="YES", E15*0.000002, 0)</f>
        <v>0.042536</v>
      </c>
      <c r="O142" s="38"/>
      <c r="P142" s="38" t="n">
        <f aca="false">M142+N142</f>
        <v>0.170144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638.035174398279</v>
      </c>
      <c r="B143" s="38" t="n">
        <f aca="false">IF(A111="YES", B95, 0)</f>
        <v>78</v>
      </c>
      <c r="C143" s="317"/>
      <c r="D143" s="38" t="n">
        <f aca="false">B97</f>
        <v>716.035174398279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727.271666666667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716.035174398279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638.035174398279</v>
      </c>
      <c r="B177" s="355" t="n">
        <f aca="false">IF(A111="YES", B95, 0)</f>
        <v>78</v>
      </c>
      <c r="C177" s="357"/>
      <c r="D177" s="355" t="n">
        <f aca="false">A177+B177</f>
        <v>716.035174398279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638.035174398279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716.035174398279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638.035174398279</v>
      </c>
      <c r="B186" s="103" t="n">
        <f aca="false">IF(A111="YES", B95, 0)</f>
        <v>78</v>
      </c>
      <c r="C186" s="353"/>
      <c r="D186" s="103" t="n">
        <f aca="false">B97</f>
        <v>716.035174398279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727.271666666667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1775.67166666667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1775.67166666667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53.6700927793465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275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21268</v>
      </c>
      <c r="F15" s="388"/>
      <c r="G15" s="17" t="n">
        <f aca="false">E15</f>
        <v>21268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21268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45281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17780</v>
      </c>
      <c r="B35" s="223" t="s">
        <v>45</v>
      </c>
      <c r="C35" s="223"/>
      <c r="D35" s="279" t="n">
        <f aca="false">A35-B35</f>
        <v>16780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209.28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0</v>
      </c>
      <c r="C80" s="317"/>
      <c r="D80" s="317"/>
      <c r="E80" s="404" t="n">
        <f aca="false">E79+D82</f>
        <v>660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55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2791.62666666667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232.635555555556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6335.62666666667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53.6700927793465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6389.29675944601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532.441396620501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597.441396620501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532.441396620501</v>
      </c>
      <c r="B134" s="321" t="n">
        <f aca="false">IF(A111="YES", B95, 0)</f>
        <v>65</v>
      </c>
      <c r="C134" s="326"/>
      <c r="D134" s="321" t="n">
        <f aca="false">B97</f>
        <v>597.441396620501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532.441396620501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597.441396620501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0.127608</v>
      </c>
      <c r="H142" s="38" t="n">
        <f aca="false">IF(G111="YES", E15*0.000002, 0)</f>
        <v>0.042536</v>
      </c>
      <c r="I142" s="38"/>
      <c r="J142" s="38" t="n">
        <f aca="false">G142+H142</f>
        <v>0.170144</v>
      </c>
      <c r="K142" s="105"/>
      <c r="L142" s="388"/>
      <c r="M142" s="111" t="n">
        <f aca="false">E15*0.000006</f>
        <v>0.127608</v>
      </c>
      <c r="N142" s="38" t="n">
        <f aca="false">IF(M111="YES", E15*0.000002, 0)</f>
        <v>0.042536</v>
      </c>
      <c r="O142" s="38"/>
      <c r="P142" s="38" t="n">
        <f aca="false">M142+N142</f>
        <v>0.170144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532.441396620501</v>
      </c>
      <c r="B143" s="38" t="n">
        <f aca="false">IF(A111="YES", B95, 0)</f>
        <v>65</v>
      </c>
      <c r="C143" s="317"/>
      <c r="D143" s="38" t="n">
        <f aca="false">B97</f>
        <v>597.441396620501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209.28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727.27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597.441396620501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532.441396620501</v>
      </c>
      <c r="B177" s="355" t="n">
        <f aca="false">IF(A111="YES", B95, 0)</f>
        <v>65</v>
      </c>
      <c r="C177" s="358"/>
      <c r="D177" s="355" t="n">
        <f aca="false">B91</f>
        <v>6335.62666666667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532.441396620501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597.441396620501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532.441396620501</v>
      </c>
      <c r="B186" s="103" t="n">
        <f aca="false">IF(A111="YES", B95, 0)</f>
        <v>65</v>
      </c>
      <c r="C186" s="353"/>
      <c r="D186" s="103" t="n">
        <f aca="false">B97</f>
        <v>597.441396620501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727.27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1775.67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1775.67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53.6700927793465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80" colorId="64" zoomScale="85" zoomScaleNormal="85" zoomScalePageLayoutView="100" workbookViewId="0">
      <selection pane="topLeft" activeCell="G91" activeCellId="0" sqref="G9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249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17780</v>
      </c>
      <c r="B37" s="32"/>
      <c r="C37" s="41" t="s">
        <v>45</v>
      </c>
      <c r="D37" s="41"/>
      <c r="E37" s="32"/>
      <c r="F37" s="43" t="n">
        <f aca="false">A37-C37</f>
        <v>16780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14176.4317388532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16780</v>
      </c>
      <c r="C90" s="32"/>
      <c r="D90" s="32"/>
      <c r="E90" s="23"/>
      <c r="F90" s="25" t="s">
        <v>105</v>
      </c>
      <c r="G90" s="27" t="n">
        <f aca="false">F37</f>
        <v>16780</v>
      </c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0.137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0.0114166666666667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4950.38529500718</v>
      </c>
      <c r="C95" s="32"/>
      <c r="D95" s="32"/>
      <c r="E95" s="23"/>
      <c r="F95" s="31" t="s">
        <v>110</v>
      </c>
      <c r="G95" s="33" t="n">
        <f aca="false">(G91/((1+G93)^(G94+1)))</f>
        <v>6024.37295128565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26.6800219733353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11829.6147049928</v>
      </c>
      <c r="C97" s="32"/>
      <c r="D97" s="32"/>
      <c r="E97" s="23"/>
      <c r="F97" s="31" t="s">
        <v>112</v>
      </c>
      <c r="G97" s="33" t="n">
        <f aca="false">G90-G95</f>
        <v>10755.6270487144</v>
      </c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443.388491839162</v>
      </c>
      <c r="C98" s="32"/>
      <c r="D98" s="32"/>
      <c r="E98" s="23"/>
      <c r="F98" s="31" t="s">
        <v>113</v>
      </c>
      <c r="G98" s="33" t="n">
        <f aca="false">(G97/G96)</f>
        <v>366.991495516615</v>
      </c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14188.4317388532</v>
      </c>
      <c r="C99" s="32"/>
      <c r="D99" s="32"/>
      <c r="E99" s="23"/>
      <c r="F99" s="31" t="s">
        <v>114</v>
      </c>
      <c r="G99" s="33" t="n">
        <f aca="false">((G98*(G94))+G86)</f>
        <v>11743.7278565317</v>
      </c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14188.4317388532</v>
      </c>
      <c r="C101" s="32"/>
      <c r="D101" s="32"/>
      <c r="E101" s="23"/>
      <c r="F101" s="56" t="s">
        <v>116</v>
      </c>
      <c r="G101" s="65" t="n">
        <f aca="false">(G99+G100)</f>
        <v>11743.7278565317</v>
      </c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61.875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443.388491839162</v>
      </c>
      <c r="C104" s="32"/>
      <c r="D104" s="32"/>
      <c r="E104" s="23"/>
      <c r="F104" s="95" t="s">
        <v>118</v>
      </c>
      <c r="G104" s="96" t="n">
        <f aca="false">G101/(G94)</f>
        <v>366.991495516615</v>
      </c>
      <c r="H104" s="33"/>
      <c r="J104" s="95" t="s">
        <v>118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505.263491839162</v>
      </c>
      <c r="C105" s="32"/>
      <c r="D105" s="32"/>
      <c r="E105" s="23" t="s">
        <v>18</v>
      </c>
      <c r="F105" s="97" t="s">
        <v>119</v>
      </c>
      <c r="G105" s="98" t="n">
        <f aca="false">G103+G104</f>
        <v>366.991495516615</v>
      </c>
      <c r="H105" s="33"/>
      <c r="J105" s="97" t="s">
        <v>119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18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0.137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443.388491839162</v>
      </c>
      <c r="B176" s="177" t="n">
        <f aca="false">B103</f>
        <v>61.875</v>
      </c>
      <c r="C176" s="174"/>
      <c r="D176" s="174"/>
      <c r="E176" s="177" t="n">
        <f aca="false">B105</f>
        <v>505.263491839162</v>
      </c>
      <c r="F176" s="23"/>
      <c r="G176" s="23" t="n">
        <f aca="false">ROUND(G104, 2)</f>
        <v>366.99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120.431738853185</v>
      </c>
      <c r="B191" s="103" t="str">
        <f aca="false">B123</f>
        <v>199.99</v>
      </c>
      <c r="C191" s="103"/>
      <c r="D191" s="23"/>
      <c r="E191" s="103" t="n">
        <f aca="false">E188+A191+(B191*1.2)+A194</f>
        <v>21638.4197388532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4.1856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33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299.14625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505.263491839162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ROUND(((G176*B68)+E194-E188-A194),2)</f>
        <v>-2324.32</v>
      </c>
      <c r="B210" s="186" t="n">
        <f aca="false">ROUND((E188+A210+(B191*1.2)+A194),2)</f>
        <v>19193.67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443.388491839162</v>
      </c>
      <c r="B221" s="177" t="n">
        <f aca="false">B176</f>
        <v>61.875</v>
      </c>
      <c r="C221" s="174"/>
      <c r="D221" s="174"/>
      <c r="E221" s="177" t="n">
        <f aca="false">E176</f>
        <v>505.263491839162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120.431738853185</v>
      </c>
      <c r="B233" s="103" t="str">
        <f aca="false">B191</f>
        <v>199.99</v>
      </c>
      <c r="C233" s="103"/>
      <c r="D233" s="113"/>
      <c r="E233" s="103" t="n">
        <f aca="false">E191</f>
        <v>21638.4197388532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443.388491839162</v>
      </c>
      <c r="B239" s="103" t="n">
        <f aca="false">B176</f>
        <v>61.875</v>
      </c>
      <c r="C239" s="186"/>
      <c r="D239" s="186"/>
      <c r="E239" s="103" t="n">
        <f aca="false">E176</f>
        <v>505.263491839162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</f>
        <v>12.5568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4.1856</v>
      </c>
      <c r="B245" s="103" t="n">
        <f aca="false">E242+A245</f>
        <v>16.7424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33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299.14625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0.137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2454.74973885319</v>
      </c>
      <c r="C263" s="197"/>
      <c r="D263" s="198" t="s">
        <v>216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429.99</v>
      </c>
      <c r="C264" s="197"/>
      <c r="D264" s="198" t="s">
        <v>218</v>
      </c>
      <c r="E264" s="198"/>
      <c r="F264" s="200" t="n">
        <f aca="false">(B263-F263)+B264</f>
        <v>2685.35223885319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0.137</v>
      </c>
      <c r="C269" s="43"/>
      <c r="D269" s="166" t="s">
        <v>215</v>
      </c>
      <c r="E269" s="166"/>
      <c r="F269" s="146" t="n">
        <f aca="false">B263</f>
        <v>2454.74973885319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330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2685.35223885319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249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17780</v>
      </c>
      <c r="B37" s="32"/>
      <c r="C37" s="41" t="s">
        <v>45</v>
      </c>
      <c r="D37" s="41"/>
      <c r="E37" s="32"/>
      <c r="F37" s="43" t="n">
        <f aca="false">A37-C37</f>
        <v>16780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13424.0947932947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16780</v>
      </c>
      <c r="C90" s="32"/>
      <c r="D90" s="32"/>
      <c r="E90" s="23"/>
      <c r="F90" s="25" t="s">
        <v>105</v>
      </c>
      <c r="G90" s="27" t="n">
        <f aca="false">F37</f>
        <v>16780</v>
      </c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11524.1760889046</v>
      </c>
      <c r="C97" s="32"/>
      <c r="D97" s="32"/>
      <c r="E97" s="23"/>
      <c r="F97" s="31" t="s">
        <v>112</v>
      </c>
      <c r="G97" s="33" t="n">
        <f aca="false">G90-G95</f>
        <v>11759.689207262</v>
      </c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419.87796229046</v>
      </c>
      <c r="C98" s="32"/>
      <c r="D98" s="32"/>
      <c r="E98" s="23"/>
      <c r="F98" s="31" t="s">
        <v>113</v>
      </c>
      <c r="G98" s="33" t="n">
        <f aca="false">(G97/G96)</f>
        <v>401.250983270151</v>
      </c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13436.0947932947</v>
      </c>
      <c r="C99" s="32"/>
      <c r="D99" s="32"/>
      <c r="E99" s="23"/>
      <c r="F99" s="31" t="s">
        <v>114</v>
      </c>
      <c r="G99" s="33" t="n">
        <f aca="false">((G98*(G94))+G86)</f>
        <v>12840.0314646448</v>
      </c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13436.0947932947</v>
      </c>
      <c r="C101" s="32"/>
      <c r="D101" s="32"/>
      <c r="E101" s="23"/>
      <c r="F101" s="56" t="s">
        <v>116</v>
      </c>
      <c r="G101" s="65" t="n">
        <f aca="false">(G99+G100)</f>
        <v>12840.0314646448</v>
      </c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80.4375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419.87796229046</v>
      </c>
      <c r="C104" s="32"/>
      <c r="D104" s="32"/>
      <c r="E104" s="23"/>
      <c r="F104" s="95" t="s">
        <v>118</v>
      </c>
      <c r="G104" s="96" t="n">
        <f aca="false">G101/(G94)</f>
        <v>401.250983270151</v>
      </c>
      <c r="H104" s="33"/>
      <c r="J104" s="95" t="s">
        <v>118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500.31546229046</v>
      </c>
      <c r="C105" s="32"/>
      <c r="D105" s="32"/>
      <c r="E105" s="23" t="s">
        <v>19</v>
      </c>
      <c r="F105" s="97" t="s">
        <v>119</v>
      </c>
      <c r="G105" s="98" t="n">
        <f aca="false">G103+G104</f>
        <v>401.250983270151</v>
      </c>
      <c r="H105" s="33"/>
      <c r="J105" s="97" t="s">
        <v>119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419.87796229046</v>
      </c>
      <c r="B176" s="177" t="n">
        <f aca="false">B103</f>
        <v>80.4375</v>
      </c>
      <c r="C176" s="174"/>
      <c r="D176" s="174"/>
      <c r="E176" s="177" t="n">
        <f aca="false">B105</f>
        <v>500.31546229046</v>
      </c>
      <c r="F176" s="23"/>
      <c r="G176" s="23" t="n">
        <f aca="false">ROUND(G104, 2)</f>
        <v>401.25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-631.905206705283</v>
      </c>
      <c r="B191" s="103" t="str">
        <f aca="false">B123</f>
        <v>239.99</v>
      </c>
      <c r="C191" s="103"/>
      <c r="D191" s="23"/>
      <c r="E191" s="103" t="n">
        <f aca="false">E188+A191+B191+A194</f>
        <v>20886.0847932947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5.02272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49.5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315.647916666667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500.31546229046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-1228</v>
      </c>
      <c r="B210" s="186" t="n">
        <f aca="false">E188+A210+B191+A194</f>
        <v>20289.99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419.87796229046</v>
      </c>
      <c r="B221" s="177" t="n">
        <f aca="false">B176</f>
        <v>80.4375</v>
      </c>
      <c r="C221" s="174"/>
      <c r="D221" s="174"/>
      <c r="E221" s="177" t="n">
        <f aca="false">E176</f>
        <v>500.31546229046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-631.905206705283</v>
      </c>
      <c r="B233" s="103" t="str">
        <f aca="false">B191</f>
        <v>239.99</v>
      </c>
      <c r="C233" s="103"/>
      <c r="D233" s="113"/>
      <c r="E233" s="103" t="n">
        <f aca="false">E191</f>
        <v>20886.0847932947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419.87796229046</v>
      </c>
      <c r="B239" s="103" t="n">
        <f aca="false">B176</f>
        <v>80.4375</v>
      </c>
      <c r="C239" s="186"/>
      <c r="D239" s="186"/>
      <c r="E239" s="103" t="n">
        <f aca="false">E176</f>
        <v>500.31546229046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J18*0.000006*100*1.2</f>
        <v>15.06816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5.02272</v>
      </c>
      <c r="B245" s="103" t="n">
        <f aca="false">E242+A245</f>
        <v>20.09088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49.5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315.647916666667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606.094793294717</v>
      </c>
      <c r="C263" s="197"/>
      <c r="D263" s="198" t="s">
        <v>216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594.991666666667</v>
      </c>
      <c r="C264" s="197"/>
      <c r="D264" s="198" t="s">
        <v>218</v>
      </c>
      <c r="E264" s="198"/>
      <c r="F264" s="200" t="n">
        <f aca="false">(B263-F263)+B264</f>
        <v>1001.69895996138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606.094793294717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1001.69895996138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20000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224.078626612779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224.078626612779</v>
      </c>
      <c r="B36" s="103" t="str">
        <f aca="false">IF(B26="YES", H42, "")</f>
        <v/>
      </c>
      <c r="C36" s="221"/>
      <c r="D36" s="184" t="n">
        <f aca="false">H31</f>
        <v>20000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59325.6915133649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-38367.3615133649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13647.2071058677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7311.1228941323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224.078626612779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224.078626612779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224.078626612779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502.99992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508.75</v>
      </c>
      <c r="C76" s="215"/>
      <c r="D76" s="291" t="n">
        <f aca="false">B76</f>
        <v>508.75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35.7986111111111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11288.75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313.576388888889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224.078626612779</v>
      </c>
      <c r="C83" s="473"/>
      <c r="D83" s="215"/>
      <c r="E83" s="466" t="n">
        <f aca="false">B83+E80+E77+E64</f>
        <v>537.655015501668</v>
      </c>
      <c r="F83" s="63"/>
      <c r="G83" s="305" t="s">
        <v>104</v>
      </c>
      <c r="H83" s="306" t="n">
        <f aca="false">H47</f>
        <v>224.078626612779</v>
      </c>
      <c r="I83" s="215"/>
      <c r="J83" s="215"/>
      <c r="K83" s="216"/>
      <c r="L83" s="63"/>
      <c r="M83" s="305" t="s">
        <v>104</v>
      </c>
      <c r="N83" s="306" t="n">
        <f aca="false">H47</f>
        <v>224.078626612779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19355.58055806</v>
      </c>
      <c r="C85" s="473"/>
      <c r="D85" s="473"/>
      <c r="E85" s="466" t="n">
        <f aca="false">B85/(B58+B57)</f>
        <v>537.655015501668</v>
      </c>
      <c r="F85" s="63"/>
      <c r="G85" s="288" t="s">
        <v>114</v>
      </c>
      <c r="H85" s="131" t="n">
        <f aca="false">((H83*H29)+H81)*1.2</f>
        <v>10959.0966696721</v>
      </c>
      <c r="I85" s="215"/>
      <c r="J85" s="215"/>
      <c r="K85" s="216"/>
      <c r="L85" s="63"/>
      <c r="M85" s="288" t="s">
        <v>114</v>
      </c>
      <c r="N85" s="131" t="n">
        <f aca="false">((N83*H29)+N81)</f>
        <v>8788.83055806005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163.964175764123</v>
      </c>
      <c r="C86" s="473" t="s">
        <v>230</v>
      </c>
      <c r="D86" s="215"/>
      <c r="E86" s="466" t="n">
        <f aca="false">B86/(B58+B57)</f>
        <v>4.55456043789231</v>
      </c>
      <c r="F86" s="63"/>
      <c r="G86" s="214" t="s">
        <v>115</v>
      </c>
      <c r="H86" s="300" t="n">
        <f aca="false">((((H83*H29)+H81))/(1-H70))*H70</f>
        <v>77.3635303425821</v>
      </c>
      <c r="I86" s="215"/>
      <c r="J86" s="215"/>
      <c r="K86" s="216"/>
      <c r="L86" s="63"/>
      <c r="M86" s="214" t="s">
        <v>115</v>
      </c>
      <c r="N86" s="300" t="n">
        <f aca="false">(N85/(1-N70))*N70</f>
        <v>74.4515698746515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19519.5447338242</v>
      </c>
      <c r="C87" s="473"/>
      <c r="D87" s="475"/>
      <c r="E87" s="466" t="n">
        <f aca="false">E86+E85</f>
        <v>542.20957593956</v>
      </c>
      <c r="F87" s="63"/>
      <c r="G87" s="285" t="s">
        <v>116</v>
      </c>
      <c r="H87" s="133" t="n">
        <f aca="false">IF(H110="YES",((H85+H86)-K114),(H85+H86))</f>
        <v>11036.4602000146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8863.2821279347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542.20957593956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269.181956097918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216.177612876456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542.20957593956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269.181956097918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216.177612876456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269.181956097918</v>
      </c>
      <c r="H127" s="177" t="n">
        <f aca="false">IF(G105="YES", H89*H57, 0)</f>
        <v>0</v>
      </c>
      <c r="I127" s="177"/>
      <c r="J127" s="334" t="n">
        <f aca="false">H91</f>
        <v>269.181956097918</v>
      </c>
      <c r="K127" s="216"/>
      <c r="L127" s="63"/>
      <c r="M127" s="333" t="n">
        <f aca="false">N90</f>
        <v>216.177612876456</v>
      </c>
      <c r="N127" s="177" t="n">
        <f aca="false">IF(M105="YES", N89*N57, 0)</f>
        <v>0</v>
      </c>
      <c r="O127" s="177"/>
      <c r="P127" s="177" t="n">
        <f aca="false">N91</f>
        <v>216.177612876456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542.20957593956</v>
      </c>
      <c r="B128" s="321" t="n">
        <f aca="false">IF(A105="YES", B89, 0)</f>
        <v>0</v>
      </c>
      <c r="C128" s="325"/>
      <c r="D128" s="321" t="n">
        <f aca="false">B91</f>
        <v>542.20957593956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542.20957593956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1615.09173658751</v>
      </c>
      <c r="H133" s="103" t="n">
        <f aca="false">IF(G105="YES", H89*H57, 0)</f>
        <v>0</v>
      </c>
      <c r="I133" s="221"/>
      <c r="J133" s="184" t="n">
        <f aca="false">H91*H57</f>
        <v>1615.09173658751</v>
      </c>
      <c r="K133" s="216"/>
      <c r="L133" s="63"/>
      <c r="M133" s="185" t="n">
        <f aca="false">N90*N57</f>
        <v>1297.06567725874</v>
      </c>
      <c r="N133" s="103" t="n">
        <f aca="false">IF(M105="YES", N89*N57, 0)</f>
        <v>0</v>
      </c>
      <c r="O133" s="221"/>
      <c r="P133" s="184" t="n">
        <f aca="false">N91*N57</f>
        <v>1297.06567725874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542.20957593956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542.20957593956</v>
      </c>
      <c r="B137" s="38" t="n">
        <f aca="false">IF(A105="YES", B89, 0)</f>
        <v>0</v>
      </c>
      <c r="C137" s="317"/>
      <c r="D137" s="38" t="n">
        <f aca="false">B91</f>
        <v>542.20957593956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502.99992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602.98992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269.181956097918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216.177612876456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542.20957593956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542.20957593956</v>
      </c>
      <c r="B177" s="355" t="n">
        <f aca="false">IF(A105="YES", B89, 0)</f>
        <v>0</v>
      </c>
      <c r="C177" s="357"/>
      <c r="D177" s="355" t="n">
        <f aca="false">B91</f>
        <v>542.20957593956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542.20957593956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542.20957593956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542.20957593956</v>
      </c>
      <c r="B186" s="103" t="n">
        <f aca="false">IF(A105="YES", B89, 0)</f>
        <v>0</v>
      </c>
      <c r="C186" s="353"/>
      <c r="D186" s="103" t="n">
        <f aca="false">B91</f>
        <v>542.20957593956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502.99992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602.98992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502.99992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9596.99008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502.99992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9596.99008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163.964175764123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13679.0984055199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93" t="n">
        <f aca="false">(B82/((1+B84)^(B85+1)))</f>
        <v>4950.38529500718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93" t="n">
        <f aca="false">((1-(1/((1+B84)^B85)))/B84)</f>
        <v>26.6800219733353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11829.6147049928</v>
      </c>
      <c r="C88" s="93" t="n">
        <f aca="false">B81-B86</f>
        <v>11829.6147049928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443.388491839162</v>
      </c>
      <c r="C89" s="93" t="n">
        <f aca="false">(B88/B87)</f>
        <v>443.388491839162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14188.4317388532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14188.4317388532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13.32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443.388491839162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456.708491839162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443.388491839162</v>
      </c>
      <c r="B167" s="177" t="n">
        <f aca="false">B94</f>
        <v>13.32</v>
      </c>
      <c r="C167" s="174"/>
      <c r="D167" s="174"/>
      <c r="E167" s="177" t="n">
        <f aca="false">B96</f>
        <v>456.708491839162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120.431738853185</v>
      </c>
      <c r="B182" s="103" t="str">
        <f aca="false">B114</f>
        <v>239.99</v>
      </c>
      <c r="C182" s="103"/>
      <c r="D182" s="23"/>
      <c r="E182" s="103" t="n">
        <f aca="false">E179+A182+B182+A185</f>
        <v>21638.4217388532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5.92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272.067916666667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456.708491839162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E179+A201+B182+A185</f>
        <v>20289.99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443.388491839162</v>
      </c>
      <c r="B212" s="177" t="n">
        <f aca="false">B167</f>
        <v>13.32</v>
      </c>
      <c r="C212" s="174"/>
      <c r="D212" s="174"/>
      <c r="E212" s="177" t="n">
        <f aca="false">E167</f>
        <v>456.708491839162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120.431738853185</v>
      </c>
      <c r="B224" s="103" t="str">
        <f aca="false">B182</f>
        <v>239.99</v>
      </c>
      <c r="C224" s="103"/>
      <c r="D224" s="113"/>
      <c r="E224" s="103" t="n">
        <f aca="false">E182</f>
        <v>21638.4217388532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443.388491839162</v>
      </c>
      <c r="B230" s="103" t="n">
        <f aca="false">B167</f>
        <v>13.32</v>
      </c>
      <c r="C230" s="186"/>
      <c r="D230" s="186"/>
      <c r="E230" s="103" t="n">
        <f aca="false">E167</f>
        <v>456.708491839162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5.02272</v>
      </c>
      <c r="B236" s="103" t="n">
        <f aca="false">E233+A236</f>
        <v>20.09088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5.92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272.067916666667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1358.43173885319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159.191666666667</v>
      </c>
      <c r="C255" s="197"/>
      <c r="D255" s="198" t="s">
        <v>218</v>
      </c>
      <c r="E255" s="198"/>
      <c r="F255" s="200" t="n">
        <f aca="false">(B254-F254)+B255</f>
        <v>1318.23590551985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1358.43173885319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59.2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1318.23590551985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13679.0984055199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93" t="n">
        <f aca="false">(B82/((1+B84)^(B85+1)))</f>
        <v>4950.38529500718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93" t="n">
        <f aca="false">((1-(1/((1+B84)^B85)))/B84)</f>
        <v>26.6800219733353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11829.6147049928</v>
      </c>
      <c r="C88" s="93" t="n">
        <f aca="false">B81-B86</f>
        <v>11829.6147049928</v>
      </c>
      <c r="D88" s="93"/>
      <c r="E88" s="113"/>
      <c r="F88" s="31" t="s">
        <v>112</v>
      </c>
      <c r="G88" s="33" t="n">
        <f aca="false">G81-G86</f>
        <v>10755.6270487144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443.388491839162</v>
      </c>
      <c r="C89" s="93" t="n">
        <f aca="false">(B88/B87)</f>
        <v>443.388491839162</v>
      </c>
      <c r="D89" s="93"/>
      <c r="E89" s="113"/>
      <c r="F89" s="31" t="s">
        <v>113</v>
      </c>
      <c r="G89" s="33" t="n">
        <f aca="false">(G88/G87)</f>
        <v>366.991495516615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14188.4317388532</v>
      </c>
      <c r="C90" s="93"/>
      <c r="D90" s="93"/>
      <c r="E90" s="113"/>
      <c r="F90" s="31" t="s">
        <v>114</v>
      </c>
      <c r="G90" s="33" t="n">
        <f aca="false">((G89*(G85))+G77)</f>
        <v>11743.7278565317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14188.4317388532</v>
      </c>
      <c r="C92" s="93"/>
      <c r="D92" s="93"/>
      <c r="E92" s="113"/>
      <c r="F92" s="56" t="s">
        <v>116</v>
      </c>
      <c r="G92" s="65" t="n">
        <f aca="false">(G90+G91)</f>
        <v>11743.7278565317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11.1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443.388491839162</v>
      </c>
      <c r="C95" s="93"/>
      <c r="D95" s="93"/>
      <c r="E95" s="113"/>
      <c r="F95" s="95" t="s">
        <v>118</v>
      </c>
      <c r="G95" s="96" t="n">
        <f aca="false">G92/(G85)</f>
        <v>366.991495516615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454.488491839162</v>
      </c>
      <c r="C96" s="93"/>
      <c r="D96" s="93"/>
      <c r="E96" s="113"/>
      <c r="F96" s="97" t="s">
        <v>119</v>
      </c>
      <c r="G96" s="98" t="n">
        <f aca="false">G94+G95</f>
        <v>366.991495516615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/>
      <c r="E108" s="108" t="n">
        <f aca="false">B83</f>
        <v>0.137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443.388491839162</v>
      </c>
      <c r="B167" s="177" t="n">
        <f aca="false">B94</f>
        <v>11.1</v>
      </c>
      <c r="C167" s="174"/>
      <c r="D167" s="174"/>
      <c r="E167" s="177" t="n">
        <f aca="false">B96</f>
        <v>454.488491839162</v>
      </c>
      <c r="F167" s="23"/>
      <c r="G167" s="23" t="n">
        <f aca="false">ROUND(G95, 2)</f>
        <v>366.99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120.431738853185</v>
      </c>
      <c r="B182" s="103" t="str">
        <f aca="false">B114</f>
        <v>199.99</v>
      </c>
      <c r="C182" s="103"/>
      <c r="D182" s="23"/>
      <c r="E182" s="103" t="n">
        <f aca="false">E179+A182+(B182*1.2)+A185</f>
        <v>21638.4197388532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4.1856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5.92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272.06625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454.488491839162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-2324.32</v>
      </c>
      <c r="B201" s="186" t="n">
        <f aca="false">E179+A201+(B182*1.2)+A185</f>
        <v>19193.668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443.388491839162</v>
      </c>
      <c r="B212" s="177" t="n">
        <f aca="false">B167</f>
        <v>11.1</v>
      </c>
      <c r="C212" s="174"/>
      <c r="D212" s="174"/>
      <c r="E212" s="177" t="n">
        <f aca="false">E167</f>
        <v>454.488491839162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120.431738853185</v>
      </c>
      <c r="B224" s="103" t="str">
        <f aca="false">B182</f>
        <v>199.99</v>
      </c>
      <c r="C224" s="103"/>
      <c r="D224" s="113"/>
      <c r="E224" s="103" t="n">
        <f aca="false">E182</f>
        <v>21638.4197388532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443.388491839162</v>
      </c>
      <c r="B230" s="103" t="n">
        <f aca="false">B167</f>
        <v>11.1</v>
      </c>
      <c r="C230" s="186"/>
      <c r="D230" s="186"/>
      <c r="E230" s="103" t="n">
        <f aca="false">E167</f>
        <v>454.488491839162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5.92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272.06625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2454.75173885319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159.19</v>
      </c>
      <c r="C255" s="197"/>
      <c r="D255" s="198" t="s">
        <v>218</v>
      </c>
      <c r="E255" s="198"/>
      <c r="F255" s="200" t="n">
        <f aca="false">(B254-F254)+B255</f>
        <v>2414.55423885319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2454.75173885319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59.2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2414.55423885319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12926.7614599614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11524.1760889046</v>
      </c>
      <c r="C88" s="93" t="n">
        <f aca="false">B81-B86</f>
        <v>11524.1760889046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419.87796229046</v>
      </c>
      <c r="C89" s="93" t="n">
        <f aca="false">(B88/B87)</f>
        <v>419.87796229046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13436.0947932947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13436.0947932947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14.43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419.87796229046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434.30796229046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0.3</v>
      </c>
      <c r="B108" s="107" t="s">
        <v>235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419.87796229046</v>
      </c>
      <c r="B167" s="177" t="n">
        <f aca="false">B94</f>
        <v>14.43</v>
      </c>
      <c r="C167" s="174"/>
      <c r="D167" s="174"/>
      <c r="E167" s="177" t="n">
        <f aca="false">B96</f>
        <v>434.30796229046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-631.905206705283</v>
      </c>
      <c r="B182" s="103" t="str">
        <f aca="false">B114</f>
        <v>239.99</v>
      </c>
      <c r="C182" s="103"/>
      <c r="D182" s="23"/>
      <c r="E182" s="103" t="n">
        <f aca="false">E179+A182+B182+A185</f>
        <v>20886.0847932947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8.88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275.027916666667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434.30796229046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E179+A201+B182+A185</f>
        <v>20289.99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419.87796229046</v>
      </c>
      <c r="B212" s="177" t="n">
        <f aca="false">B167</f>
        <v>14.43</v>
      </c>
      <c r="C212" s="174"/>
      <c r="D212" s="174"/>
      <c r="E212" s="177" t="n">
        <f aca="false">E167</f>
        <v>434.30796229046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-631.905206705283</v>
      </c>
      <c r="B224" s="103" t="str">
        <f aca="false">B182</f>
        <v>239.99</v>
      </c>
      <c r="C224" s="103"/>
      <c r="D224" s="113"/>
      <c r="E224" s="103" t="n">
        <f aca="false">E182</f>
        <v>20886.0847932947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419.87796229046</v>
      </c>
      <c r="B230" s="103" t="n">
        <f aca="false">B167</f>
        <v>14.43</v>
      </c>
      <c r="C230" s="186"/>
      <c r="D230" s="186"/>
      <c r="E230" s="103" t="n">
        <f aca="false">E167</f>
        <v>434.30796229046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E188</f>
        <v>8.88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275.027916666667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606.094793294717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188.791666666667</v>
      </c>
      <c r="C255" s="197"/>
      <c r="D255" s="198" t="s">
        <v>218</v>
      </c>
      <c r="E255" s="198"/>
      <c r="F255" s="200" t="n">
        <f aca="false">(B254-F254)+B255</f>
        <v>595.498959961383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606.094793294717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88.8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595.498959961383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250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n">
        <v>0.07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0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0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 t="n">
        <v>0.01</v>
      </c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B61*B66</f>
        <v>0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0.0075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0.0075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0</v>
      </c>
      <c r="C70" s="215" t="n">
        <v>10000</v>
      </c>
      <c r="D70" s="291" t="n">
        <f aca="false">B70-A149</f>
        <v>0</v>
      </c>
      <c r="E70" s="216" t="n">
        <f aca="false">D70/12</f>
        <v>0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200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200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0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200</v>
      </c>
      <c r="C80" s="215"/>
      <c r="D80" s="215"/>
      <c r="E80" s="430" t="n">
        <f aca="false">E79+D82</f>
        <v>676.666666666667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56.3888888888889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16.6666666666667</v>
      </c>
      <c r="C82" s="215"/>
      <c r="D82" s="291" t="n">
        <f aca="false">IF(A50="YES", 0, B82)</f>
        <v>16.6666666666667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676.666666666667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56.3888888888889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6688.66666666667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0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6688.66666666667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e">
        <f aca="false">IF(B105=Z104,(((H44*B35)+(H44*B35)*(B111/100))/(B64)),(((H44*B35)+(H44*B35)*(B111/100))/(B63+B64)))</f>
        <v>#DIV/0!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e">
        <f aca="false">IF(B105=Z104, (B93-D111)/(B64), B93/(B63+B64))</f>
        <v>#DIV/0!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e">
        <f aca="false">IF(A111="YES", B96+B95, B96)</f>
        <v>#DIV/0!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199.99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18</v>
      </c>
      <c r="B105" s="312" t="n">
        <v>20</v>
      </c>
      <c r="C105" s="312"/>
      <c r="D105" s="421" t="n">
        <v>200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200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-3560.012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e">
        <f aca="false">B157</f>
        <v>#DIV/0!</v>
      </c>
      <c r="I133" s="230"/>
      <c r="J133" s="229" t="n">
        <f aca="false">B64</f>
        <v>0</v>
      </c>
      <c r="K133" s="216"/>
      <c r="L133" s="63"/>
      <c r="M133" s="228" t="n">
        <f aca="false">M161</f>
        <v>12</v>
      </c>
      <c r="N133" s="229" t="e">
        <f aca="false">B157</f>
        <v>#DIV/0!</v>
      </c>
      <c r="O133" s="230"/>
      <c r="P133" s="229" t="n">
        <f aca="false">B64</f>
        <v>0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e">
        <f aca="false">B96</f>
        <v>#DIV/0!</v>
      </c>
      <c r="B134" s="321" t="e">
        <f aca="false">IF(A111="YES", B95, 0)</f>
        <v>#DIV/0!</v>
      </c>
      <c r="C134" s="326"/>
      <c r="D134" s="321" t="e">
        <f aca="false">B97</f>
        <v>#DIV/0!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n">
        <f aca="false">B105</f>
        <v>20</v>
      </c>
      <c r="B137" s="38" t="e">
        <f aca="false">B96*B63</f>
        <v>#DIV/0!</v>
      </c>
      <c r="C137" s="317"/>
      <c r="D137" s="38" t="e">
        <f aca="false">IF(A111="YES", B95*B63, 0)</f>
        <v>#DIV/0!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e">
        <f aca="false">B97*B63</f>
        <v>#DIV/0!</v>
      </c>
      <c r="B140" s="38" t="n">
        <f aca="false">E120</f>
        <v>4000</v>
      </c>
      <c r="C140" s="317"/>
      <c r="D140" s="337" t="n">
        <f aca="false">B64</f>
        <v>0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e">
        <f aca="false">B96</f>
        <v>#DIV/0!</v>
      </c>
      <c r="B143" s="38" t="e">
        <f aca="false">IF(A111="YES", B95, 0)</f>
        <v>#DIV/0!</v>
      </c>
      <c r="C143" s="317"/>
      <c r="D143" s="38" t="e">
        <f aca="false">B97</f>
        <v>#DIV/0!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0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e">
        <f aca="false">(A154+B154+D154+A157)*(A149/B70)</f>
        <v>#DIV/0!</v>
      </c>
      <c r="C157" s="38"/>
      <c r="D157" s="38" t="e">
        <f aca="false">(A154+B154+D154+A157)-B157</f>
        <v>#DIV/0!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e">
        <f aca="false">B97</f>
        <v>#DIV/0!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e">
        <f aca="false">B96</f>
        <v>#DIV/0!</v>
      </c>
      <c r="B177" s="355" t="e">
        <f aca="false">IF(A111="YES", B95, 0)</f>
        <v>#DIV/0!</v>
      </c>
      <c r="C177" s="358"/>
      <c r="D177" s="355" t="n">
        <f aca="false">B91</f>
        <v>6688.66666666667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n">
        <f aca="false">B105</f>
        <v>20</v>
      </c>
      <c r="B180" s="103" t="e">
        <f aca="false">B96*B63</f>
        <v>#DIV/0!</v>
      </c>
      <c r="C180" s="353"/>
      <c r="D180" s="103" t="e">
        <f aca="false">IF(A111="YES", B95*B63, 0)</f>
        <v>#DIV/0!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e">
        <f aca="false">B97*B63</f>
        <v>#DIV/0!</v>
      </c>
      <c r="B183" s="103" t="n">
        <f aca="false">E120</f>
        <v>4000</v>
      </c>
      <c r="C183" s="353"/>
      <c r="D183" s="361" t="n">
        <f aca="false">B64</f>
        <v>0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e">
        <f aca="false">B96</f>
        <v>#DIV/0!</v>
      </c>
      <c r="B186" s="103" t="e">
        <f aca="false">IF(A111="YES", B95, 0)</f>
        <v>#DIV/0!</v>
      </c>
      <c r="C186" s="353"/>
      <c r="D186" s="103" t="e">
        <f aca="false">B97</f>
        <v>#DIV/0!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0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e">
        <f aca="false">(A154+B154+D154+A157)*(A149/B70)</f>
        <v>#DIV/0!</v>
      </c>
      <c r="C200" s="103"/>
      <c r="D200" s="103" t="e">
        <f aca="false">(A154+B154+D154+A157)-B157</f>
        <v>#DIV/0!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0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0</v>
      </c>
      <c r="C217" s="375" t="s">
        <v>221</v>
      </c>
      <c r="D217" s="317"/>
      <c r="E217" s="376" t="n">
        <f aca="false">B72</f>
        <v>200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99.99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</v>
      </c>
      <c r="C231" s="336" t="s">
        <v>229</v>
      </c>
      <c r="D231" s="343"/>
      <c r="E231" s="376" t="n">
        <f aca="false">B75</f>
        <v>0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0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200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232.635555555556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10564.352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10638.9289100444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886.577409170364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886.577409170364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239.99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18</v>
      </c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886.577409170364</v>
      </c>
      <c r="B134" s="321" t="n">
        <f aca="false">IF(A111="YES", B95, 0)</f>
        <v>0</v>
      </c>
      <c r="C134" s="326"/>
      <c r="D134" s="321" t="n">
        <f aca="false">B97</f>
        <v>886.577409170364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886.577409170364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886.577409170364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886.577409170364</v>
      </c>
      <c r="B143" s="38" t="n">
        <f aca="false">IF(A111="YES", B95, 0)</f>
        <v>0</v>
      </c>
      <c r="C143" s="317"/>
      <c r="D143" s="38" t="n">
        <f aca="false">B97</f>
        <v>886.577409170364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709.271666666667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886.577409170364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886.577409170364</v>
      </c>
      <c r="B177" s="355" t="n">
        <f aca="false">IF(A111="YES", B95, 0)</f>
        <v>0</v>
      </c>
      <c r="C177" s="358"/>
      <c r="D177" s="355" t="n">
        <f aca="false">B91</f>
        <v>10564.352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886.577409170364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886.577409170364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886.577409170364</v>
      </c>
      <c r="B186" s="103" t="n">
        <f aca="false">IF(A111="YES", B95, 0)</f>
        <v>0</v>
      </c>
      <c r="C186" s="353"/>
      <c r="D186" s="103" t="n">
        <f aca="false">B97</f>
        <v>886.577409170364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709.271666666667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1595.67166666667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1595.67166666667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tru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384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5.28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C70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355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232.635555555556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8803.62666666667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8878.20357671104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739.850298059253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739.850298059253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264</v>
      </c>
      <c r="C105" s="312"/>
      <c r="D105" s="421" t="n">
        <v>6300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384</v>
      </c>
      <c r="B111" s="312" t="n">
        <v>20</v>
      </c>
      <c r="C111" s="312"/>
      <c r="D111" s="107" t="n">
        <v>440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739.850298059253</v>
      </c>
      <c r="B134" s="321" t="n">
        <f aca="false">IF(A111="YES", B95, 0)</f>
        <v>0</v>
      </c>
      <c r="C134" s="326"/>
      <c r="D134" s="321" t="n">
        <f aca="false">B97</f>
        <v>739.850298059253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739.850298059253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739.850298059253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739.850298059253</v>
      </c>
      <c r="B143" s="38" t="n">
        <f aca="false">IF(A111="YES", B95, 0)</f>
        <v>0</v>
      </c>
      <c r="C143" s="317"/>
      <c r="D143" s="38" t="n">
        <f aca="false">B97</f>
        <v>739.850298059253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709.27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739.850298059253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739.850298059253</v>
      </c>
      <c r="B177" s="355" t="n">
        <f aca="false">IF(A111="YES", B95, 0)</f>
        <v>0</v>
      </c>
      <c r="C177" s="358"/>
      <c r="D177" s="355" t="n">
        <f aca="false">B91</f>
        <v>8803.62666666667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739.850298059253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739.850298059253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739.850298059253</v>
      </c>
      <c r="B186" s="103" t="n">
        <f aca="false">IF(A111="YES", B95, 0)</f>
        <v>0</v>
      </c>
      <c r="C186" s="353"/>
      <c r="D186" s="103" t="n">
        <f aca="false">B97</f>
        <v>739.850298059253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709.27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1595.67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1595.67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244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385</v>
      </c>
      <c r="B41" s="241" t="n">
        <f aca="false">IF(B38="YES", D38+A41, D38)</f>
        <v>560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386</v>
      </c>
      <c r="E44" s="104"/>
      <c r="F44" s="63"/>
      <c r="G44" s="63" t="s">
        <v>258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448.218055555556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11390.6166666667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96.4917103670835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11487.1083770338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957.259031419479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1035.25903141948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4" t="n">
        <v>30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957.259031419479</v>
      </c>
      <c r="B134" s="321" t="n">
        <f aca="false">IF(A111="YES", B95, 0)</f>
        <v>78</v>
      </c>
      <c r="C134" s="326"/>
      <c r="D134" s="321" t="n">
        <f aca="false">B97</f>
        <v>1035.25903141948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957.259031419479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1035.25903141948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957.259031419479</v>
      </c>
      <c r="B143" s="38" t="n">
        <f aca="false">IF(A111="YES", B95, 0)</f>
        <v>78</v>
      </c>
      <c r="C143" s="317"/>
      <c r="D143" s="38" t="n">
        <f aca="false">B97</f>
        <v>1035.25903141948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1100.44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1035.25903141948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957.259031419479</v>
      </c>
      <c r="B177" s="355" t="n">
        <f aca="false">IF(A111="YES", B95, 0)</f>
        <v>78</v>
      </c>
      <c r="C177" s="358"/>
      <c r="D177" s="355" t="n">
        <f aca="false">B91</f>
        <v>11390.6166666667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957.259031419479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1035.25903141948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957.259031419479</v>
      </c>
      <c r="B186" s="103" t="n">
        <f aca="false">IF(A111="YES", B95, 0)</f>
        <v>78</v>
      </c>
      <c r="C186" s="353"/>
      <c r="D186" s="103" t="n">
        <f aca="false">B97</f>
        <v>1035.25903141948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1100.44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4029.09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4029.09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244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n">
        <f aca="false">IF(B38="YES", D38+A41, D38)</f>
        <v>560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703.333333333333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355</v>
      </c>
      <c r="C81" s="215"/>
      <c r="D81" s="215"/>
      <c r="E81" s="216" t="n">
        <f aca="false">E80/12</f>
        <v>58.6111111111111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5421.95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451.829166666667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13720.74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13817.5987938685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1151.46656615571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1151.46656615571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1151.46656615571</v>
      </c>
      <c r="B134" s="321" t="n">
        <f aca="false">IF(A111="YES", B95, 0)</f>
        <v>0</v>
      </c>
      <c r="C134" s="326"/>
      <c r="D134" s="321" t="n">
        <f aca="false">B97</f>
        <v>1151.46656615571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1151.46656615571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1151.46656615571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1151.46656615571</v>
      </c>
      <c r="B143" s="38" t="n">
        <f aca="false">IF(A111="YES", B95, 0)</f>
        <v>0</v>
      </c>
      <c r="C143" s="317"/>
      <c r="D143" s="38" t="n">
        <f aca="false">B97</f>
        <v>1151.46656615571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1078.84166666667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1151.46656615571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1151.46656615571</v>
      </c>
      <c r="B177" s="355" t="n">
        <f aca="false">IF(A111="YES", B95, 0)</f>
        <v>0</v>
      </c>
      <c r="C177" s="358"/>
      <c r="D177" s="355" t="n">
        <f aca="false">B97</f>
        <v>1151.46656615571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1151.46656615571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1151.46656615571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1151.46656615571</v>
      </c>
      <c r="B186" s="103" t="n">
        <f aca="false">IF(A111="YES", B95, 0)</f>
        <v>0</v>
      </c>
      <c r="C186" s="353"/>
      <c r="D186" s="103" t="n">
        <f aca="false">B97</f>
        <v>1151.46656615571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1078.84166666667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3813.09166666667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3813.09166666667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901.232855990319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901.232855990319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901.232855990319</v>
      </c>
      <c r="B134" s="321" t="n">
        <f aca="false">IF(A111="YES", B95, 0)</f>
        <v>0</v>
      </c>
      <c r="C134" s="326"/>
      <c r="D134" s="321" t="n">
        <f aca="false">B97</f>
        <v>901.232855990319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901.232855990319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901.232855990319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901.232855990319</v>
      </c>
      <c r="B143" s="38" t="n">
        <f aca="false">IF(A111="YES", B95, 0)</f>
        <v>0</v>
      </c>
      <c r="C143" s="317"/>
      <c r="D143" s="38" t="n">
        <f aca="false">B97</f>
        <v>901.232855990319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678.84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901.232855990319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901.232855990319</v>
      </c>
      <c r="B177" s="355" t="n">
        <f aca="false">IF(A111="YES", B95, 0)</f>
        <v>0</v>
      </c>
      <c r="C177" s="358"/>
      <c r="D177" s="355" t="n">
        <f aca="false">B91</f>
        <v>10723.95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901.232855990319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901.232855990319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901.232855990319</v>
      </c>
      <c r="B186" s="103" t="n">
        <f aca="false">IF(A111="YES", B95, 0)</f>
        <v>0</v>
      </c>
      <c r="C186" s="353"/>
      <c r="D186" s="103" t="n">
        <f aca="false">B97</f>
        <v>901.232855990319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B154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678.84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3573.09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3573.09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90.8442718838241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B233" activeCellId="0" sqref="B23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44854.17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44854.17</v>
      </c>
      <c r="F9" s="152"/>
      <c r="G9" s="136"/>
      <c r="H9" s="443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56135</v>
      </c>
      <c r="I15" s="2"/>
      <c r="J15" s="17" t="n">
        <f aca="false">H15</f>
        <v>56135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56135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13.7372727272727</v>
      </c>
      <c r="E32" s="226"/>
      <c r="F32" s="63"/>
      <c r="G32" s="227" t="s">
        <v>244</v>
      </c>
      <c r="H32" s="225" t="n">
        <f aca="false">A41</f>
        <v>13.7372727272727</v>
      </c>
      <c r="I32" s="0"/>
      <c r="J32" s="44" t="s">
        <v>37</v>
      </c>
      <c r="K32" s="263" t="s">
        <v>394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395</v>
      </c>
      <c r="P34" s="212"/>
    </row>
    <row r="35" customFormat="false" ht="17.35" hidden="false" customHeight="false" outlineLevel="0" collapsed="false">
      <c r="A35" s="226" t="n">
        <f aca="false">B32+D32</f>
        <v>513.737272727273</v>
      </c>
      <c r="B35" s="223" t="s">
        <v>396</v>
      </c>
      <c r="C35" s="223"/>
      <c r="D35" s="223" t="s">
        <v>397</v>
      </c>
      <c r="E35" s="223"/>
      <c r="F35" s="63"/>
      <c r="G35" s="233"/>
      <c r="H35" s="234"/>
      <c r="I35" s="0"/>
      <c r="J35" s="44"/>
      <c r="K35" s="12" t="n">
        <v>0.07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410</v>
      </c>
      <c r="I36" s="0"/>
      <c r="J36" s="44" t="s">
        <v>51</v>
      </c>
      <c r="K36" s="52" t="n">
        <f aca="false">K32-K34</f>
        <v>47887.5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405</v>
      </c>
      <c r="C38" s="223"/>
      <c r="D38" s="104" t="s">
        <v>398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str">
        <f aca="false">H36/B35</f>
        <v>130.25472222222223</v>
      </c>
      <c r="B41" s="241" t="n">
        <f aca="false">IF(B38="YES", D38+A41, D38)</f>
        <v>513.737272727273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399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13.7372727272727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514.100909090909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514.100909090909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55485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0.07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48158.2001745424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526.265625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47887.5</v>
      </c>
      <c r="C81" s="93"/>
      <c r="D81" s="93"/>
      <c r="E81" s="113"/>
      <c r="F81" s="25" t="s">
        <v>105</v>
      </c>
      <c r="G81" s="27" t="n">
        <f aca="false">B81</f>
        <v>47887.5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4701.64581571928</v>
      </c>
      <c r="C86" s="93" t="n">
        <f aca="false">(B82/((1+B84)^(B85+1)))</f>
        <v>4701.64581571928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28.392890887209</v>
      </c>
      <c r="C87" s="93" t="n">
        <f aca="false">((1-(1/((1+B84)^B85)))/B84)</f>
        <v>28.392890887209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43185.8541842807</v>
      </c>
      <c r="C88" s="93" t="n">
        <f aca="false">B81-B86</f>
        <v>43185.8541842807</v>
      </c>
      <c r="D88" s="93"/>
      <c r="E88" s="113"/>
      <c r="F88" s="31" t="s">
        <v>112</v>
      </c>
      <c r="G88" s="33" t="n">
        <f aca="false">G81-G86</f>
        <v>42867.189207262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1521.00940886354</v>
      </c>
      <c r="C89" s="93" t="n">
        <f aca="false">(B88/B87)</f>
        <v>1521.00940886354</v>
      </c>
      <c r="D89" s="93"/>
      <c r="E89" s="113"/>
      <c r="F89" s="31" t="s">
        <v>113</v>
      </c>
      <c r="G89" s="33" t="n">
        <f aca="false">(G88/G87)</f>
        <v>1462.666361014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48672.3010836333</v>
      </c>
      <c r="C90" s="93"/>
      <c r="D90" s="93"/>
      <c r="E90" s="113"/>
      <c r="F90" s="31" t="s">
        <v>114</v>
      </c>
      <c r="G90" s="33" t="n">
        <f aca="false">((G89*(G85))+G77)</f>
        <v>46805.323552448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48672.3010836333</v>
      </c>
      <c r="C92" s="93"/>
      <c r="D92" s="93"/>
      <c r="E92" s="113"/>
      <c r="F92" s="56" t="s">
        <v>116</v>
      </c>
      <c r="G92" s="65" t="n">
        <f aca="false">(G90+G91)</f>
        <v>46805.323552448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16.999875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1521.00940886354</v>
      </c>
      <c r="C95" s="93"/>
      <c r="D95" s="93"/>
      <c r="E95" s="113"/>
      <c r="F95" s="95" t="s">
        <v>118</v>
      </c>
      <c r="G95" s="96" t="n">
        <f aca="false">G92/(G85)</f>
        <v>1462.666361014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1538.00928386354</v>
      </c>
      <c r="C96" s="93"/>
      <c r="D96" s="93"/>
      <c r="E96" s="113"/>
      <c r="F96" s="97" t="s">
        <v>119</v>
      </c>
      <c r="G96" s="98" t="n">
        <f aca="false">G94+G95</f>
        <v>1462.666361014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406</v>
      </c>
      <c r="C108" s="107"/>
      <c r="D108" s="107"/>
      <c r="E108" s="108" t="n">
        <f aca="false">B83</f>
        <v>0.089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405</v>
      </c>
      <c r="B111" s="107" t="n">
        <v>5000.0</v>
      </c>
      <c r="C111" s="107"/>
      <c r="D111" s="107"/>
      <c r="E111" s="107" t="n">
        <v>4000.0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403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44854.17</v>
      </c>
      <c r="C121" s="121" t="n">
        <f aca="false">B121</f>
        <v>44854.17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44854.17</v>
      </c>
      <c r="C125" s="133" t="n">
        <f aca="false">C121-C124</f>
        <v>44854.17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45687.5</v>
      </c>
      <c r="H135" s="153" t="n">
        <f aca="false">C125+E125+G125+H128</f>
        <v>45687.5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9247.5</v>
      </c>
      <c r="H137" s="33" t="n">
        <f aca="false">(H135+H136)*20%</f>
        <v>9247.5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56135</v>
      </c>
      <c r="H141" s="157" t="n">
        <f aca="false">(H135+H136+H139+H140+H137)-H138</f>
        <v>56135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56135</v>
      </c>
      <c r="H147" s="164" t="n">
        <f aca="false">H141-((H144*1.2)+(H145*1.2)+(H146*1.2)+(H142*1.2))</f>
        <v>56135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-39906.25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56135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1521.00940886354</v>
      </c>
      <c r="B167" s="177" t="n">
        <f aca="false">B94</f>
        <v>16.999875</v>
      </c>
      <c r="C167" s="174"/>
      <c r="D167" s="174"/>
      <c r="E167" s="177" t="n">
        <f aca="false">B96</f>
        <v>1538.00928386354</v>
      </c>
      <c r="F167" s="23"/>
      <c r="G167" s="23" t="n">
        <f aca="false">ROUND(G95, 2)</f>
        <v>1462.67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46237.5</v>
      </c>
      <c r="B173" s="103" t="n">
        <f aca="false">H137</f>
        <v>9247.5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56135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56135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-262.698916366688</v>
      </c>
      <c r="B182" s="103" t="str">
        <f aca="false">B114</f>
        <v>199.99</v>
      </c>
      <c r="C182" s="103"/>
      <c r="D182" s="23"/>
      <c r="E182" s="103" t="n">
        <f aca="false">E179+A182+(B182*1.2)+A185</f>
        <v>56122.2890836333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11.097</v>
      </c>
      <c r="B188" s="103" t="n">
        <f aca="false">(G158*B67)/1.2</f>
        <v>438.5546875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538.5446875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1538.00928386354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-2129.56</v>
      </c>
      <c r="B201" s="186" t="n">
        <f aca="false">E179+A201+(B182*1.2)+A185</f>
        <v>54255.428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1521.00940886354</v>
      </c>
      <c r="B212" s="177" t="n">
        <f aca="false">B167</f>
        <v>16.999875</v>
      </c>
      <c r="C212" s="174"/>
      <c r="D212" s="174"/>
      <c r="E212" s="177" t="n">
        <f aca="false">E167</f>
        <v>1538.00928386354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46237.5</v>
      </c>
      <c r="B215" s="103" t="n">
        <f aca="false">B173</f>
        <v>9247.5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56135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56135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-262.698916366688</v>
      </c>
      <c r="B224" s="103" t="str">
        <f aca="false">B182</f>
        <v>199.99</v>
      </c>
      <c r="C224" s="103"/>
      <c r="D224" s="113"/>
      <c r="E224" s="103" t="n">
        <f aca="false">E182</f>
        <v>56122.2890836333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1521.00940886354</v>
      </c>
      <c r="B230" s="103" t="n">
        <f aca="false">B167</f>
        <v>16.999875</v>
      </c>
      <c r="C230" s="186"/>
      <c r="D230" s="186"/>
      <c r="E230" s="103" t="n">
        <f aca="false">E167</f>
        <v>1538.00928386354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11.097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438.5546875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538.5446875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1876.86108363331</v>
      </c>
      <c r="C254" s="197"/>
      <c r="D254" s="198" t="s">
        <v>216</v>
      </c>
      <c r="E254" s="198"/>
      <c r="F254" s="200" t="n">
        <f aca="false">F261+F267+F269+B270+B271</f>
        <v>526.265625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1450.58545863331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1876.86108363331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526.265625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1450.58545863331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6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44854.17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44854.17</v>
      </c>
      <c r="F9" s="152"/>
      <c r="G9" s="136"/>
      <c r="H9" s="443" t="n">
        <f aca="false">B7+D7+F7+H3</f>
        <v>45687.5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56135</v>
      </c>
      <c r="I15" s="2"/>
      <c r="J15" s="17" t="n">
        <f aca="false">H15</f>
        <v>56135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56135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393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1030.0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1018.7818325283</v>
      </c>
      <c r="F33" s="232"/>
      <c r="G33" s="232"/>
      <c r="H33" s="47"/>
      <c r="I33" s="2"/>
      <c r="J33" s="34" t="s">
        <v>356</v>
      </c>
      <c r="K33" s="48" t="n">
        <f aca="false">H21-H11+(H16*20%)</f>
        <v>46887.5</v>
      </c>
      <c r="L33" s="1" t="n">
        <f aca="false">H21-H11+(H16*20%)</f>
        <v>46887.5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1018.7818325283</v>
      </c>
      <c r="B36" s="232" t="str">
        <f aca="false">IF(B26="YES", K42, "0.00")</f>
        <v>0.00</v>
      </c>
      <c r="C36" s="232"/>
      <c r="D36" s="232"/>
      <c r="E36" s="232" t="n">
        <f aca="false">K31</f>
        <v>20000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46887.5</v>
      </c>
      <c r="L39" s="2" t="n">
        <f aca="false">(L47*K46)+K44</f>
        <v>39749.1981958661</v>
      </c>
      <c r="N39" s="1" t="n">
        <f aca="false">K39-L39</f>
        <v>7138.30180413388</v>
      </c>
      <c r="P39" s="212"/>
    </row>
    <row r="40" customFormat="false" ht="17.35" hidden="false" customHeight="false" outlineLevel="0" collapsed="false">
      <c r="A40" s="107" t="n">
        <f aca="false">E36*A45/100</f>
        <v>28575.0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16666.6666666667</v>
      </c>
      <c r="L40" s="2" t="n">
        <f aca="false">K39-L39</f>
        <v>7138.30180413388</v>
      </c>
      <c r="N40" s="1" t="n">
        <f aca="false">N38-N39</f>
        <v>-4226.62180413388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13647.2071058677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33240.2928941323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1018.7818325283</v>
      </c>
      <c r="L47" s="2" t="n">
        <f aca="false">L49-K42</f>
        <v>800</v>
      </c>
      <c r="M47" s="1" t="n">
        <f aca="false">K47-L47</f>
        <v>218.781832528296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1018.7818325283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1018.7818325283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55485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55485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55485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55485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19746.5913459492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15029.8112889344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-250.857747730377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-250.857747730377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540.516633333333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4161.375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554.85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436.68749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1018.7818325283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1018.7818325283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1018.7818325283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1018.7818325283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64861.996</v>
      </c>
      <c r="C81" s="93"/>
      <c r="D81" s="93"/>
      <c r="E81" s="113"/>
      <c r="F81" s="25" t="s">
        <v>105</v>
      </c>
      <c r="G81" s="27" t="n">
        <f aca="false">G158</f>
        <v>64861.996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43668.749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43668.749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20000</v>
      </c>
      <c r="C82" s="93"/>
      <c r="D82" s="93"/>
      <c r="E82" s="113"/>
      <c r="F82" s="31" t="s">
        <v>106</v>
      </c>
      <c r="G82" s="33" t="n">
        <f aca="false">IF(A111="YES",A40,0)</f>
        <v>20000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20000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20000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15328.5565510641</v>
      </c>
      <c r="C86" s="93"/>
      <c r="D86" s="93"/>
      <c r="E86" s="113"/>
      <c r="F86" s="31" t="s">
        <v>110</v>
      </c>
      <c r="G86" s="33" t="n">
        <f aca="false">(G82/((1+G84)^(G85+1)))</f>
        <v>16465.3553732294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13529.3569525544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13529.3569525544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49533.4394489359</v>
      </c>
      <c r="C88" s="93"/>
      <c r="D88" s="93"/>
      <c r="E88" s="113"/>
      <c r="F88" s="31" t="s">
        <v>112</v>
      </c>
      <c r="G88" s="33" t="n">
        <f aca="false">G81-G86</f>
        <v>48396.6406267706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30139.3920474456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30139.3920474456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1612.07820905622</v>
      </c>
      <c r="C89" s="93"/>
      <c r="D89" s="93"/>
      <c r="E89" s="113"/>
      <c r="F89" s="31" t="s">
        <v>113</v>
      </c>
      <c r="G89" s="33" t="n">
        <f aca="false">(G88/G87)</f>
        <v>1521.70494866009</v>
      </c>
      <c r="H89" s="33"/>
      <c r="J89" s="31" t="s">
        <v>113</v>
      </c>
      <c r="K89" s="33" t="n">
        <f aca="false">(K88/K87)</f>
        <v>1477.31306457009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1040.72252066538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1040.72252066538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56422.7373169678</v>
      </c>
      <c r="C90" s="93"/>
      <c r="D90" s="93"/>
      <c r="E90" s="113"/>
      <c r="F90" s="31" t="s">
        <v>114</v>
      </c>
      <c r="G90" s="33" t="n">
        <f aca="false">((G89*(G85))+G77)</f>
        <v>53259.6732031031</v>
      </c>
      <c r="H90" s="33"/>
      <c r="J90" s="31" t="s">
        <v>114</v>
      </c>
      <c r="K90" s="33" t="n">
        <f aca="false">((K89*(K85))+K77)</f>
        <v>53183.2703245232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36425.2882232883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36425.2882232883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56422.7373169678</v>
      </c>
      <c r="C92" s="93"/>
      <c r="D92" s="93"/>
      <c r="E92" s="113"/>
      <c r="F92" s="56" t="s">
        <v>116</v>
      </c>
      <c r="G92" s="65" t="n">
        <f aca="false">(G90+G91)</f>
        <v>53259.6732031031</v>
      </c>
      <c r="H92" s="33"/>
      <c r="J92" s="56" t="s">
        <v>116</v>
      </c>
      <c r="K92" s="65" t="n">
        <f aca="false">(K90+K91)</f>
        <v>53183.2703245232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36425.2882232883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36425.2882232883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1612.07820905622</v>
      </c>
      <c r="C95" s="93"/>
      <c r="D95" s="93"/>
      <c r="E95" s="113"/>
      <c r="F95" s="95" t="s">
        <v>118</v>
      </c>
      <c r="G95" s="96" t="n">
        <f aca="false">G92/(G85)</f>
        <v>1521.70494866009</v>
      </c>
      <c r="H95" s="33"/>
      <c r="J95" s="95" t="s">
        <v>118</v>
      </c>
      <c r="K95" s="96" t="n">
        <f aca="false">K92/(K85)</f>
        <v>1477.31306457009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1040.72252066538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1040.72252066538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1612.07820905622</v>
      </c>
      <c r="C96" s="93"/>
      <c r="D96" s="93"/>
      <c r="E96" s="113"/>
      <c r="F96" s="97" t="s">
        <v>119</v>
      </c>
      <c r="G96" s="98" t="n">
        <f aca="false">G94+G95</f>
        <v>1521.70494866009</v>
      </c>
      <c r="H96" s="33"/>
      <c r="J96" s="97" t="s">
        <v>119</v>
      </c>
      <c r="K96" s="98" t="n">
        <f aca="false">(K94+K95)</f>
        <v>1477.31306457009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1040.72252066538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1040.72252066538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393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406</v>
      </c>
      <c r="C108" s="107"/>
      <c r="D108" s="107" t="n">
        <v>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405</v>
      </c>
      <c r="B111" s="107" t="n">
        <v>5000.0</v>
      </c>
      <c r="C111" s="107"/>
      <c r="D111" s="107"/>
      <c r="E111" s="107" t="n">
        <v>4000.0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403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44854.17</v>
      </c>
      <c r="C121" s="121" t="n">
        <f aca="false">B121</f>
        <v>44854.17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44854.17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44854.17</v>
      </c>
      <c r="U121" s="121" t="n">
        <f aca="false">T121</f>
        <v>44854.17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44854.17</v>
      </c>
      <c r="AD121" s="121" t="n">
        <f aca="false">AC121</f>
        <v>44854.17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-9355.83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11213.5425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11213.5425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44854.17</v>
      </c>
      <c r="C125" s="133" t="n">
        <f aca="false">C121-C124</f>
        <v>54210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44854.17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44854.17</v>
      </c>
      <c r="U125" s="133" t="n">
        <f aca="false">U121-U124</f>
        <v>33640.6275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44854.17</v>
      </c>
      <c r="AD125" s="133" t="n">
        <f aca="false">AD121-AD124</f>
        <v>33640.6275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45687.5</v>
      </c>
      <c r="H135" s="153" t="n">
        <f aca="false">C125+E125+G125+H128</f>
        <v>55043.33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45687.5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45687.5</v>
      </c>
      <c r="Z135" s="153" t="n">
        <f aca="false">U125+W125+Y125+Z128</f>
        <v>34473.9575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45687.5</v>
      </c>
      <c r="AI135" s="153" t="n">
        <f aca="false">AD125+AF125+AH125+AI128</f>
        <v>34473.9575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9247.5</v>
      </c>
      <c r="H137" s="33" t="n">
        <f aca="false">(H135+H136)*20%</f>
        <v>11118.666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9247.5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9247.5</v>
      </c>
      <c r="Z137" s="33" t="n">
        <f aca="false">(Z135+Z136)*20%</f>
        <v>7004.7915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9247.5</v>
      </c>
      <c r="AI137" s="33" t="n">
        <f aca="false">(AI135+AI136)*20%</f>
        <v>7004.7915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56135</v>
      </c>
      <c r="H141" s="157" t="n">
        <f aca="false">(H135+H136+H139+H140+H137)-H138</f>
        <v>67361.996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56135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56135</v>
      </c>
      <c r="Z141" s="157" t="n">
        <f aca="false">(Z135+Z136+Z139+Z140+Z137)-Z138</f>
        <v>42668.749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56135</v>
      </c>
      <c r="AI141" s="157" t="n">
        <f aca="false">(AI135+AI136+AI139+AI140+AI137)-AI138</f>
        <v>42668.749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56135</v>
      </c>
      <c r="H147" s="164" t="n">
        <f aca="false">H141-((H144*1.2)+(H145*1.2)+(H146*1.2)+(H142*1.2))</f>
        <v>67361.996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56135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56135</v>
      </c>
      <c r="Z147" s="164" t="n">
        <f aca="false">Z141-((Z144*1.2)+(Z145*1.2)+(Z146*1.2)+(Z142*1.2))</f>
        <v>42668.749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56135</v>
      </c>
      <c r="AI147" s="164" t="n">
        <f aca="false">AI141-((AI144*1.2)+(AI145*1.2)+(AI146*1.2)+(AI142*1.2))</f>
        <v>42668.749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9355.83</v>
      </c>
      <c r="I148" s="1" t="n">
        <f aca="false">(H148-G81)/1.2</f>
        <v>-46255.1383333333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-19480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-13466.251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-13466.251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64861.996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43668.749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43668.749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1612.07820905622</v>
      </c>
      <c r="B167" s="177" t="str">
        <f aca="false">B94</f>
        <v>0</v>
      </c>
      <c r="C167" s="174"/>
      <c r="D167" s="174"/>
      <c r="E167" s="177" t="n">
        <f aca="false">B96</f>
        <v>1612.07820905622</v>
      </c>
      <c r="F167" s="23"/>
      <c r="G167" s="23" t="n">
        <f aca="false">G95</f>
        <v>1521.70494866009</v>
      </c>
      <c r="H167" s="33"/>
      <c r="J167" s="176" t="n">
        <f aca="false">K95</f>
        <v>1477.31306457009</v>
      </c>
      <c r="K167" s="177" t="n">
        <f aca="false">K94</f>
        <v>0</v>
      </c>
      <c r="L167" s="174"/>
      <c r="M167" s="174"/>
      <c r="N167" s="177" t="n">
        <f aca="false">K96</f>
        <v>1477.31306457009</v>
      </c>
      <c r="O167" s="23"/>
      <c r="P167" s="23"/>
      <c r="Q167" s="33"/>
      <c r="S167" s="176" t="n">
        <f aca="false">T95</f>
        <v>1040.72252066538</v>
      </c>
      <c r="T167" s="177" t="n">
        <f aca="false">T94</f>
        <v>0</v>
      </c>
      <c r="U167" s="174"/>
      <c r="V167" s="174"/>
      <c r="W167" s="177" t="n">
        <f aca="false">T96</f>
        <v>1040.72252066538</v>
      </c>
      <c r="X167" s="23"/>
      <c r="Y167" s="23"/>
      <c r="Z167" s="33"/>
      <c r="AB167" s="176" t="n">
        <f aca="false">AC95</f>
        <v>1040.72252066538</v>
      </c>
      <c r="AC167" s="177" t="n">
        <f aca="false">AC94</f>
        <v>0</v>
      </c>
      <c r="AD167" s="174"/>
      <c r="AE167" s="174"/>
      <c r="AF167" s="177" t="n">
        <f aca="false">AC96</f>
        <v>1040.72252066538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20000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20000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20000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55593.33</v>
      </c>
      <c r="B173" s="103" t="n">
        <f aca="false">H137</f>
        <v>11118.666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35023.9575</v>
      </c>
      <c r="T173" s="103" t="n">
        <f aca="false">Z137</f>
        <v>7004.7915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35023.9575</v>
      </c>
      <c r="AC173" s="103" t="n">
        <f aca="false">AI137</f>
        <v>7004.7915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67361.996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42668.749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42668.749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64861.996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43668.749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43668.749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11560.7413169678</v>
      </c>
      <c r="B182" s="103" t="str">
        <f aca="false">B114</f>
        <v>199.99</v>
      </c>
      <c r="C182" s="103"/>
      <c r="D182" s="23"/>
      <c r="E182" s="103" t="n">
        <f aca="false">E179+A182+(B182*1.2)+A185</f>
        <v>76672.7253169678</v>
      </c>
      <c r="F182" s="23"/>
      <c r="G182" s="23"/>
      <c r="H182" s="105"/>
      <c r="J182" s="111" t="n">
        <f aca="false">(J167*K59)+N185-N179-J185</f>
        <v>34050.9572599531</v>
      </c>
      <c r="K182" s="103" t="n">
        <f aca="false">K114</f>
        <v>239.99</v>
      </c>
      <c r="L182" s="103"/>
      <c r="M182" s="23"/>
      <c r="N182" s="103" t="n">
        <f aca="false">N179+J182+K182+J185</f>
        <v>71965.9472599531</v>
      </c>
      <c r="O182" s="23"/>
      <c r="P182" s="23"/>
      <c r="Q182" s="105"/>
      <c r="S182" s="111" t="n">
        <f aca="false">(S167*T59)+W185-W179-S185</f>
        <v>12756.5392232883</v>
      </c>
      <c r="T182" s="103" t="n">
        <f aca="false">T114</f>
        <v>199.99</v>
      </c>
      <c r="U182" s="103"/>
      <c r="V182" s="23"/>
      <c r="W182" s="103" t="n">
        <f aca="false">W179+S182+T182+S185</f>
        <v>56635.2782232883</v>
      </c>
      <c r="X182" s="23"/>
      <c r="Y182" s="23"/>
      <c r="Z182" s="105"/>
      <c r="AB182" s="111" t="n">
        <f aca="false">(AB167*AC59)+AF185-AF179-AB185</f>
        <v>12756.5392232883</v>
      </c>
      <c r="AC182" s="103" t="n">
        <f aca="false">AC114</f>
        <v>239.99</v>
      </c>
      <c r="AD182" s="103"/>
      <c r="AE182" s="23"/>
      <c r="AF182" s="103" t="n">
        <f aca="false">AF179+AB182+AC182+AB185</f>
        <v>56675.2782232883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E170+A185</f>
        <v>20010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20010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20010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540.516633333333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0.11227</v>
      </c>
      <c r="K188" s="103" t="n">
        <f aca="false">(P158*K67)/1.2</f>
        <v>2353.4375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363.906241666667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363.906241666667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640.506633333333</v>
      </c>
      <c r="C191" s="93"/>
      <c r="D191" s="93"/>
      <c r="E191" s="103" t="n">
        <f aca="false">H148</f>
        <v>9355.83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3493.4275</v>
      </c>
      <c r="L191" s="93"/>
      <c r="M191" s="93"/>
      <c r="N191" s="103" t="n">
        <f aca="false">Q148</f>
        <v>-19480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1463.89624166667</v>
      </c>
      <c r="U191" s="93"/>
      <c r="V191" s="93"/>
      <c r="W191" s="103" t="n">
        <f aca="false">Z148</f>
        <v>-13466.251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1503.89624166667</v>
      </c>
      <c r="AD191" s="93"/>
      <c r="AE191" s="93"/>
      <c r="AF191" s="103" t="n">
        <f aca="false">AI148</f>
        <v>-13466.251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1612.07820905622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n">
        <f aca="false">K96</f>
        <v>1477.31306457009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n">
        <f aca="false">T96</f>
        <v>1040.72252066538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n">
        <f aca="false">AC96</f>
        <v>1040.72252066538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8397.67720310304</v>
      </c>
      <c r="B201" s="186" t="n">
        <f aca="false">E179+A201+(B182*1.2)+A185</f>
        <v>73509.661203103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1612.07820905622</v>
      </c>
      <c r="B212" s="177" t="str">
        <f aca="false">B167</f>
        <v>0</v>
      </c>
      <c r="C212" s="174"/>
      <c r="D212" s="174"/>
      <c r="E212" s="177" t="n">
        <f aca="false">E167</f>
        <v>1612.07820905622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55593.33</v>
      </c>
      <c r="B215" s="103" t="n">
        <f aca="false">B173</f>
        <v>11118.666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67361.996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64861.996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11560.7413169678</v>
      </c>
      <c r="B224" s="103" t="str">
        <f aca="false">B182</f>
        <v>199.99</v>
      </c>
      <c r="C224" s="103"/>
      <c r="D224" s="113"/>
      <c r="E224" s="103" t="n">
        <f aca="false">E182</f>
        <v>76672.7253169678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1612.07820905622</v>
      </c>
      <c r="B230" s="103" t="str">
        <f aca="false">B167</f>
        <v>0</v>
      </c>
      <c r="C230" s="186"/>
      <c r="D230" s="186"/>
      <c r="E230" s="103" t="n">
        <f aca="false">E167</f>
        <v>1612.07820905622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20000</v>
      </c>
      <c r="B233" s="103" t="n">
        <f aca="false">E185</f>
        <v>20010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9355.83</v>
      </c>
      <c r="B240" s="103" t="n">
        <f aca="false">B68</f>
        <v>540.516633333333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9996.33663333333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3173.06411386476</v>
      </c>
      <c r="C254" s="197"/>
      <c r="D254" s="198" t="s">
        <v>216</v>
      </c>
      <c r="E254" s="198"/>
      <c r="F254" s="200" t="n">
        <f aca="false">F261+F267+F269+B270+B271</f>
        <v>648.61996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2624.43415386476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3173.06411386476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648.61996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2624.43415386476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5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34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3382</v>
      </c>
      <c r="P32" s="212"/>
    </row>
    <row r="33" customFormat="false" ht="34.8" hidden="false" customHeight="false" outlineLevel="0" collapsed="false">
      <c r="A33" s="179" t="n">
        <f aca="false">A52</f>
        <v>34</v>
      </c>
      <c r="B33" s="232" t="n">
        <f aca="false">B51</f>
        <v>35000</v>
      </c>
      <c r="C33" s="93"/>
      <c r="D33" s="93"/>
      <c r="E33" s="232" t="n">
        <f aca="false">K48</f>
        <v>598.851262636909</v>
      </c>
      <c r="F33" s="232"/>
      <c r="G33" s="232"/>
      <c r="H33" s="47"/>
      <c r="I33" s="2"/>
      <c r="J33" s="34" t="s">
        <v>356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573.983615578085</v>
      </c>
      <c r="B36" s="232" t="n">
        <f aca="false">IF(B26="YES", K42, "0.00")</f>
        <v>24.8676470588235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34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24010.8826476062</v>
      </c>
      <c r="N39" s="1" t="n">
        <f aca="false">K39-L39</f>
        <v>-6230.8826476062</v>
      </c>
      <c r="P39" s="212"/>
    </row>
    <row r="40" customFormat="false" ht="17.35" hidden="false" customHeight="false" outlineLevel="0" collapsed="false">
      <c r="A40" s="107" t="n">
        <f aca="false">E36*A45/100</f>
        <v>0</v>
      </c>
      <c r="B40" s="107" t="n">
        <f aca="false">IF(B26="YES", K42, "0.00")</f>
        <v>24.8676470588235</v>
      </c>
      <c r="C40" s="107"/>
      <c r="D40" s="107"/>
      <c r="E40" s="182" t="n">
        <f aca="false">K32</f>
        <v>3382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-6230.8826476062</v>
      </c>
      <c r="N40" s="1" t="n">
        <f aca="false">N38-N39</f>
        <v>9142.5626476062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24.8676470588235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505" t="n">
        <v>30</v>
      </c>
      <c r="B45" s="93"/>
      <c r="C45" s="506" t="n">
        <v>25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17780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30.9764939580949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573.983615578085</v>
      </c>
      <c r="L47" s="2" t="n">
        <f aca="false">L49-K42</f>
        <v>775.132352941176</v>
      </c>
      <c r="M47" s="1" t="n">
        <f aca="false">K47-L47</f>
        <v>-201.148737363091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598.851262636909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34</v>
      </c>
      <c r="B52" s="74" t="n">
        <f aca="false">K48</f>
        <v>598.851262636909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33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33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33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33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1160.82829250472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29676.2471821201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7051.85981689834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1102.30852734547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0.00958333333333333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0.0729166666666667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0.00958333333333333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0.00958333333333333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149.883333333333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1526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200.56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165.163958333333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573.983615578085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573.983615578085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598.851262636909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598.851262636909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18768</v>
      </c>
      <c r="C81" s="93"/>
      <c r="D81" s="93"/>
      <c r="E81" s="113"/>
      <c r="F81" s="25" t="s">
        <v>105</v>
      </c>
      <c r="G81" s="27" t="n">
        <f aca="false">G158</f>
        <v>18768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34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33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33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24.4985917186759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27.5848945597264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27.5848945597264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18768</v>
      </c>
      <c r="C88" s="93"/>
      <c r="D88" s="93"/>
      <c r="E88" s="113"/>
      <c r="F88" s="31" t="s">
        <v>112</v>
      </c>
      <c r="G88" s="33" t="n">
        <f aca="false">G81-G86</f>
        <v>18768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22207.765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17234.5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626.553673398776</v>
      </c>
      <c r="C89" s="93"/>
      <c r="D89" s="93"/>
      <c r="E89" s="113"/>
      <c r="F89" s="31" t="s">
        <v>113</v>
      </c>
      <c r="G89" s="33" t="n">
        <f aca="false">(G88/G87)</f>
        <v>605.87876811977</v>
      </c>
      <c r="H89" s="33"/>
      <c r="J89" s="31" t="s">
        <v>113</v>
      </c>
      <c r="K89" s="33" t="n">
        <f aca="false">(K88/K87)</f>
        <v>1490.65727611439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805.069780198583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624.78034718183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21302.8248955584</v>
      </c>
      <c r="C90" s="93"/>
      <c r="D90" s="93"/>
      <c r="E90" s="113"/>
      <c r="F90" s="31" t="s">
        <v>114</v>
      </c>
      <c r="G90" s="33" t="n">
        <f aca="false">((G89*(G85))+G77)</f>
        <v>20599.8781160722</v>
      </c>
      <c r="H90" s="33"/>
      <c r="J90" s="31" t="s">
        <v>114</v>
      </c>
      <c r="K90" s="33" t="n">
        <f aca="false">((K89*(K85))+K77)</f>
        <v>50682.3473878894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26567.3027465532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20617.7514570004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21302.8248955584</v>
      </c>
      <c r="C92" s="93"/>
      <c r="D92" s="93"/>
      <c r="E92" s="113"/>
      <c r="F92" s="56" t="s">
        <v>116</v>
      </c>
      <c r="G92" s="65" t="n">
        <f aca="false">(G90+G91)</f>
        <v>20599.8781160722</v>
      </c>
      <c r="H92" s="33"/>
      <c r="J92" s="56" t="s">
        <v>116</v>
      </c>
      <c r="K92" s="65" t="n">
        <f aca="false">(K90+K91)</f>
        <v>50682.3473878894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26567.3027465532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20617.7514570004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35.8094117647059</v>
      </c>
      <c r="C94" s="93"/>
      <c r="D94" s="93"/>
      <c r="E94" s="113"/>
      <c r="F94" s="88" t="s">
        <v>117</v>
      </c>
      <c r="G94" s="94" t="n">
        <f aca="false">IF(B26="YES",((E40/B85)*(1+A108)*(C45/100)),"0")</f>
        <v>29.8411764705882</v>
      </c>
      <c r="H94" s="33"/>
      <c r="J94" s="88" t="s">
        <v>117</v>
      </c>
      <c r="K94" s="89" t="n">
        <f aca="false">((E40/K85)*(1+J108))*1.2</f>
        <v>155.174117647059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122.981818181818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147.578181818182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626.553673398776</v>
      </c>
      <c r="C95" s="93"/>
      <c r="D95" s="93"/>
      <c r="E95" s="113"/>
      <c r="F95" s="95" t="s">
        <v>118</v>
      </c>
      <c r="G95" s="96" t="n">
        <f aca="false">G92/(G85)</f>
        <v>605.87876811977</v>
      </c>
      <c r="H95" s="33"/>
      <c r="J95" s="95" t="s">
        <v>118</v>
      </c>
      <c r="K95" s="96" t="n">
        <f aca="false">K92/(K85)</f>
        <v>1490.65727611439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805.069780198583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624.78034718183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662.363085163482</v>
      </c>
      <c r="C96" s="93"/>
      <c r="D96" s="93"/>
      <c r="E96" s="113"/>
      <c r="F96" s="97" t="s">
        <v>119</v>
      </c>
      <c r="G96" s="98" t="n">
        <f aca="false">G94+G95</f>
        <v>635.719944590358</v>
      </c>
      <c r="H96" s="33"/>
      <c r="J96" s="97" t="s">
        <v>119</v>
      </c>
      <c r="K96" s="98" t="n">
        <f aca="false">(K94+K95)</f>
        <v>1645.83139376145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928.051598380401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772.358529000011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-15640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18768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626.553673398776</v>
      </c>
      <c r="B167" s="177" t="n">
        <f aca="false">B94</f>
        <v>35.8094117647059</v>
      </c>
      <c r="C167" s="174"/>
      <c r="D167" s="174"/>
      <c r="E167" s="177" t="n">
        <f aca="false">B96</f>
        <v>662.363085163482</v>
      </c>
      <c r="F167" s="23"/>
      <c r="G167" s="23" t="n">
        <f aca="false">G95</f>
        <v>605.87876811977</v>
      </c>
      <c r="H167" s="33"/>
      <c r="J167" s="176" t="n">
        <f aca="false">K95</f>
        <v>1490.65727611439</v>
      </c>
      <c r="K167" s="177" t="n">
        <f aca="false">K94</f>
        <v>155.174117647059</v>
      </c>
      <c r="L167" s="174"/>
      <c r="M167" s="174"/>
      <c r="N167" s="177" t="n">
        <f aca="false">K96</f>
        <v>1645.83139376145</v>
      </c>
      <c r="O167" s="23"/>
      <c r="P167" s="23"/>
      <c r="Q167" s="33"/>
      <c r="S167" s="176" t="n">
        <f aca="false">T95</f>
        <v>805.069780198583</v>
      </c>
      <c r="T167" s="177" t="n">
        <f aca="false">T94</f>
        <v>122.981818181818</v>
      </c>
      <c r="U167" s="174"/>
      <c r="V167" s="174"/>
      <c r="W167" s="177" t="n">
        <f aca="false">T96</f>
        <v>928.051598380401</v>
      </c>
      <c r="X167" s="23"/>
      <c r="Y167" s="23"/>
      <c r="Z167" s="33"/>
      <c r="AB167" s="176" t="n">
        <f aca="false">AC95</f>
        <v>624.78034718183</v>
      </c>
      <c r="AC167" s="177" t="n">
        <f aca="false">AC94</f>
        <v>147.578181818182</v>
      </c>
      <c r="AD167" s="174"/>
      <c r="AE167" s="174"/>
      <c r="AF167" s="177" t="n">
        <f aca="false">AC96</f>
        <v>772.358529000011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34</v>
      </c>
      <c r="B170" s="229" t="n">
        <f aca="false">K30</f>
        <v>35000</v>
      </c>
      <c r="C170" s="181"/>
      <c r="D170" s="23"/>
      <c r="E170" s="182" t="n">
        <f aca="false">IF(A111="YES", A40, 0)</f>
        <v>0</v>
      </c>
      <c r="F170" s="23"/>
      <c r="G170" s="23"/>
      <c r="H170" s="33"/>
      <c r="J170" s="179" t="n">
        <f aca="false">K29</f>
        <v>34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34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34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18768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2570.6343073231</v>
      </c>
      <c r="B182" s="103" t="str">
        <f aca="false">B114</f>
        <v>239.99</v>
      </c>
      <c r="C182" s="103"/>
      <c r="D182" s="23"/>
      <c r="E182" s="103" t="n">
        <f aca="false">E179+A182+B182+A185</f>
        <v>21588.6243073231</v>
      </c>
      <c r="F182" s="23"/>
      <c r="G182" s="23"/>
      <c r="H182" s="105"/>
      <c r="J182" s="111" t="n">
        <f aca="false">(J167*K59)+N185-N179-J185</f>
        <v>12672.686111775</v>
      </c>
      <c r="K182" s="103" t="n">
        <f aca="false">K114</f>
        <v>239.99</v>
      </c>
      <c r="L182" s="103"/>
      <c r="M182" s="23"/>
      <c r="N182" s="103" t="n">
        <f aca="false">N179+J182+K182+J185</f>
        <v>49451.680111775</v>
      </c>
      <c r="O182" s="23"/>
      <c r="P182" s="23"/>
      <c r="Q182" s="105"/>
      <c r="S182" s="111" t="n">
        <f aca="false">(S167*T59)+W185-W179-S185</f>
        <v>4359.53774655324</v>
      </c>
      <c r="T182" s="103" t="n">
        <f aca="false">T114</f>
        <v>199.99</v>
      </c>
      <c r="U182" s="103"/>
      <c r="V182" s="23"/>
      <c r="W182" s="103" t="n">
        <f aca="false">W179+S182+T182+S185</f>
        <v>26777.2927465532</v>
      </c>
      <c r="X182" s="23"/>
      <c r="Y182" s="23"/>
      <c r="Z182" s="105"/>
      <c r="AB182" s="111" t="n">
        <f aca="false">(AB167*AC59)+AF185-AF179-AB185</f>
        <v>3383.25145700037</v>
      </c>
      <c r="AC182" s="103" t="n">
        <f aca="false">AC114</f>
        <v>239.99</v>
      </c>
      <c r="AD182" s="103"/>
      <c r="AE182" s="23"/>
      <c r="AF182" s="103" t="n">
        <f aca="false">AF179+AB182+AC182+AB185</f>
        <v>20867.7414570004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(IF(E170=0,E167+A185 ,E170+A185))</f>
        <v>672.363085163482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5.02272</v>
      </c>
      <c r="B188" s="103" t="n">
        <f aca="false">B68</f>
        <v>149.883333333333</v>
      </c>
      <c r="C188" s="93"/>
      <c r="D188" s="93"/>
      <c r="E188" s="103" t="n">
        <f aca="false">(E40*A108)*0.1*(C45/100)</f>
        <v>16.91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2219.03670138889</v>
      </c>
      <c r="L188" s="93"/>
      <c r="M188" s="93"/>
      <c r="N188" s="103" t="n">
        <f aca="false">(E40*J108)*0.1</f>
        <v>101.46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177.353678819444</v>
      </c>
      <c r="U188" s="93"/>
      <c r="V188" s="93"/>
      <c r="W188" s="103" t="n">
        <f aca="false">(E40*S108)*0.1</f>
        <v>67.64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137.636631944444</v>
      </c>
      <c r="AD188" s="93"/>
      <c r="AE188" s="93"/>
      <c r="AF188" s="103" t="n">
        <f aca="false">(E40*AB108)*0.1</f>
        <v>67.64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266.785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3460.48670138889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1344.98367881944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1345.26663194444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34</v>
      </c>
      <c r="B197" s="74" t="n">
        <f aca="false">B96</f>
        <v>662.363085163482</v>
      </c>
      <c r="C197" s="74"/>
      <c r="D197" s="74"/>
      <c r="E197" s="23"/>
      <c r="F197" s="23"/>
      <c r="G197" s="23"/>
      <c r="H197" s="33"/>
      <c r="J197" s="73" t="n">
        <f aca="false">K29</f>
        <v>34</v>
      </c>
      <c r="K197" s="74" t="n">
        <f aca="false">K96</f>
        <v>1645.83139376145</v>
      </c>
      <c r="L197" s="74"/>
      <c r="M197" s="74"/>
      <c r="N197" s="23"/>
      <c r="O197" s="23"/>
      <c r="P197" s="23"/>
      <c r="Q197" s="33"/>
      <c r="S197" s="73" t="n">
        <f aca="false">K29</f>
        <v>34</v>
      </c>
      <c r="T197" s="74" t="n">
        <f aca="false">T96</f>
        <v>928.051598380401</v>
      </c>
      <c r="U197" s="74"/>
      <c r="V197" s="74"/>
      <c r="W197" s="23"/>
      <c r="X197" s="23"/>
      <c r="Y197" s="23"/>
      <c r="Z197" s="33"/>
      <c r="AB197" s="73" t="n">
        <f aca="false">K29</f>
        <v>34</v>
      </c>
      <c r="AC197" s="74" t="n">
        <f aca="false">AC96</f>
        <v>772.358529000011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1888.36243311588</v>
      </c>
      <c r="B201" s="186" t="n">
        <f aca="false">E179+A201+B182+A185</f>
        <v>20906.3524331159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34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626.553673398776</v>
      </c>
      <c r="B212" s="177" t="n">
        <f aca="false">B167</f>
        <v>35.8094117647059</v>
      </c>
      <c r="C212" s="174"/>
      <c r="D212" s="174"/>
      <c r="E212" s="177" t="n">
        <f aca="false">E167</f>
        <v>662.363085163482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18768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2570.6343073231</v>
      </c>
      <c r="B224" s="103" t="str">
        <f aca="false">B182</f>
        <v>239.99</v>
      </c>
      <c r="C224" s="103"/>
      <c r="D224" s="113"/>
      <c r="E224" s="103" t="n">
        <f aca="false">E182</f>
        <v>21588.6243073231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33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626.553673398776</v>
      </c>
      <c r="B230" s="103" t="n">
        <f aca="false">B167</f>
        <v>35.8094117647059</v>
      </c>
      <c r="C230" s="186"/>
      <c r="D230" s="186"/>
      <c r="E230" s="103" t="n">
        <f aca="false">E167</f>
        <v>662.363085163482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672.363085163482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149.883333333333</v>
      </c>
      <c r="C240" s="93"/>
      <c r="D240" s="93"/>
      <c r="E240" s="103" t="n">
        <f aca="false">E188</f>
        <v>16.91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266.785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692.271874207218</v>
      </c>
      <c r="C254" s="197"/>
      <c r="D254" s="198" t="s">
        <v>216</v>
      </c>
      <c r="E254" s="198"/>
      <c r="F254" s="200" t="n">
        <f aca="false">F261+F267+F269+B270+B271</f>
        <v>179.86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269.091666666667</v>
      </c>
      <c r="C255" s="197"/>
      <c r="D255" s="198" t="s">
        <v>218</v>
      </c>
      <c r="E255" s="198"/>
      <c r="F255" s="200" t="n">
        <f aca="false">(B254-F254)+B255</f>
        <v>781.503540873884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692.271874207218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0.00958333333333333</v>
      </c>
      <c r="C261" s="32"/>
      <c r="D261" s="166" t="s">
        <v>221</v>
      </c>
      <c r="E261" s="166"/>
      <c r="F261" s="151" t="n">
        <f aca="false">B68*1.2</f>
        <v>179.86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169.1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781.503540873884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7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19575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19575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19575</v>
      </c>
      <c r="F9" s="152"/>
      <c r="G9" s="136"/>
      <c r="H9" s="443" t="n">
        <f aca="false">B7+D7+F7+H3</f>
        <v>19575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20270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4054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24664</v>
      </c>
      <c r="I15" s="2"/>
      <c r="J15" s="17" t="n">
        <f aca="false">H15</f>
        <v>24664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24324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24664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35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2136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2388.75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670.20102138479</v>
      </c>
      <c r="F33" s="232"/>
      <c r="G33" s="232"/>
      <c r="H33" s="47"/>
      <c r="I33" s="2"/>
      <c r="J33" s="34" t="s">
        <v>356</v>
      </c>
      <c r="K33" s="48" t="n">
        <f aca="false">H21-H11+(H16*20%)</f>
        <v>20610</v>
      </c>
      <c r="L33" s="1" t="n">
        <f aca="false">H21-H11+(H16*20%)</f>
        <v>20610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601.95102138479</v>
      </c>
      <c r="B36" s="232" t="n">
        <f aca="false">IF(B26="YES", K42, "0.00")</f>
        <v>68.25</v>
      </c>
      <c r="C36" s="232"/>
      <c r="D36" s="232"/>
      <c r="E36" s="232" t="n">
        <f aca="false">K31</f>
        <v>2136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20610</v>
      </c>
      <c r="L39" s="2" t="n">
        <f aca="false">(L47*K46)+K44</f>
        <v>24738.1554136323</v>
      </c>
      <c r="N39" s="1" t="n">
        <f aca="false">K39-L39</f>
        <v>-4128.15541363232</v>
      </c>
      <c r="P39" s="212"/>
    </row>
    <row r="40" customFormat="false" ht="17.35" hidden="false" customHeight="false" outlineLevel="0" collapsed="false">
      <c r="A40" s="313" t="n">
        <f aca="false">E36*A45/100</f>
        <v>2136</v>
      </c>
      <c r="B40" s="107" t="n">
        <f aca="false">IF(B26="YES", K42, "0.00")</f>
        <v>68.25</v>
      </c>
      <c r="C40" s="107"/>
      <c r="D40" s="107"/>
      <c r="E40" s="182" t="n">
        <f aca="false">K32</f>
        <v>2388.75</v>
      </c>
      <c r="F40" s="186"/>
      <c r="G40" s="186"/>
      <c r="H40" s="47"/>
      <c r="J40" s="2" t="s">
        <v>106</v>
      </c>
      <c r="K40" s="2" t="n">
        <f aca="false">(A40)/1.2</f>
        <v>1780</v>
      </c>
      <c r="L40" s="2" t="n">
        <f aca="false">K39-L39</f>
        <v>-4128.15541363232</v>
      </c>
      <c r="N40" s="1" t="n">
        <f aca="false">N38-N39</f>
        <v>7039.83541363232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68.25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1465.41662821741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19144.5833717826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601.95102138479</v>
      </c>
      <c r="L47" s="2" t="n">
        <f aca="false">L49-K42</f>
        <v>731.75</v>
      </c>
      <c r="M47" s="1" t="n">
        <f aca="false">K47-L47</f>
        <v>-129.79897861521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670.20102138479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670.20102138479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24324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24324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24324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24324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5054.88035687225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28600.3027246909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7951.69827886258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961.07499459698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201.251388888889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1798.9625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238.1725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193.693854166667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601.95102138479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601.95102138479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670.20102138479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670.20102138479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24664</v>
      </c>
      <c r="C81" s="93"/>
      <c r="D81" s="93"/>
      <c r="E81" s="113"/>
      <c r="F81" s="25" t="s">
        <v>105</v>
      </c>
      <c r="G81" s="27" t="n">
        <f aca="false">G158</f>
        <v>24664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25595.275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19781.5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2136</v>
      </c>
      <c r="C82" s="93"/>
      <c r="D82" s="93"/>
      <c r="E82" s="113"/>
      <c r="F82" s="31" t="s">
        <v>106</v>
      </c>
      <c r="G82" s="33" t="n">
        <f aca="false">IF(A111 = "Yes", A40, 0)</f>
        <v>2136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2136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2136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1649.23158929774</v>
      </c>
      <c r="C86" s="93"/>
      <c r="D86" s="93"/>
      <c r="E86" s="113"/>
      <c r="F86" s="31" t="s">
        <v>110</v>
      </c>
      <c r="G86" s="33" t="n">
        <f aca="false">(G82/((1+G84)^(G85+1)))</f>
        <v>1768.02516194431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1460.70919980379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1460.70919980379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23014.7684107023</v>
      </c>
      <c r="C88" s="93"/>
      <c r="D88" s="93"/>
      <c r="E88" s="113"/>
      <c r="F88" s="31" t="s">
        <v>112</v>
      </c>
      <c r="G88" s="33" t="n">
        <f aca="false">G81-G86</f>
        <v>22895.9748380557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24134.5658001962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18320.7908001962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768.328414862938</v>
      </c>
      <c r="C89" s="93"/>
      <c r="D89" s="93"/>
      <c r="E89" s="113"/>
      <c r="F89" s="31" t="s">
        <v>113</v>
      </c>
      <c r="G89" s="33" t="n">
        <f aca="false">(G88/G87)</f>
        <v>739.140293573232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853.5289419803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647.922374796018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26123.1661053399</v>
      </c>
      <c r="C90" s="93"/>
      <c r="D90" s="93"/>
      <c r="E90" s="113"/>
      <c r="F90" s="31" t="s">
        <v>114</v>
      </c>
      <c r="G90" s="33" t="n">
        <f aca="false">((G89*(G85))+G77)</f>
        <v>25130.7699814899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29019.9840273302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22029.3607430646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26123.1661053399</v>
      </c>
      <c r="C92" s="93"/>
      <c r="D92" s="93"/>
      <c r="E92" s="113"/>
      <c r="F92" s="56" t="s">
        <v>116</v>
      </c>
      <c r="G92" s="65" t="n">
        <f aca="false">(G90+G91)</f>
        <v>25130.7699814899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29019.9840273302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22029.3607430646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101.170588235294</v>
      </c>
      <c r="C94" s="93"/>
      <c r="D94" s="93"/>
      <c r="E94" s="113"/>
      <c r="F94" s="88" t="s">
        <v>117</v>
      </c>
      <c r="G94" s="94" t="n">
        <f aca="false">IF(B26="YES",((E40/B85)*(1+A108)*(C45/100)),"0")</f>
        <v>84.3088235294118</v>
      </c>
      <c r="H94" s="33"/>
      <c r="J94" s="88" t="s">
        <v>117</v>
      </c>
      <c r="K94" s="89" t="n">
        <f aca="false">((E40/K85)*(1+J108))*1.2</f>
        <v>106.47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84.3088235294118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101.170588235294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768.328414862938</v>
      </c>
      <c r="C95" s="93"/>
      <c r="D95" s="93"/>
      <c r="E95" s="113"/>
      <c r="F95" s="95" t="s">
        <v>118</v>
      </c>
      <c r="G95" s="96" t="n">
        <f aca="false">G92/(G85)</f>
        <v>739.140293573232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853.5289419803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647.922374796018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869.499003098232</v>
      </c>
      <c r="C96" s="93"/>
      <c r="D96" s="93"/>
      <c r="E96" s="113"/>
      <c r="F96" s="97" t="s">
        <v>119</v>
      </c>
      <c r="G96" s="98" t="n">
        <f aca="false">G94+G95</f>
        <v>823.449117102644</v>
      </c>
      <c r="H96" s="33"/>
      <c r="J96" s="97" t="s">
        <v>119</v>
      </c>
      <c r="K96" s="98" t="n">
        <f aca="false">(K94+K95)</f>
        <v>1567.31083744584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937.837765509712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749.092963031312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19575</v>
      </c>
      <c r="C121" s="121" t="n">
        <f aca="false">B121</f>
        <v>19575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19575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19575</v>
      </c>
      <c r="U121" s="121" t="n">
        <f aca="false">T121</f>
        <v>19575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19575</v>
      </c>
      <c r="AD121" s="121" t="n">
        <f aca="false">AC121</f>
        <v>19575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48.9375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4893.75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19575</v>
      </c>
      <c r="C125" s="133" t="n">
        <f aca="false">C121-C124</f>
        <v>19575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19575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19575</v>
      </c>
      <c r="U125" s="133" t="n">
        <f aca="false">U121-U124</f>
        <v>19526.0625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19575</v>
      </c>
      <c r="AD125" s="133" t="n">
        <f aca="false">AD121-AD124</f>
        <v>14681.25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19575</v>
      </c>
      <c r="H135" s="153" t="n">
        <f aca="false">C125+E125+G125+H128</f>
        <v>19575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19575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19575</v>
      </c>
      <c r="Z135" s="153" t="n">
        <f aca="false">U125+W125+Y125+Z128</f>
        <v>19526.0625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19575</v>
      </c>
      <c r="AI135" s="153" t="n">
        <f aca="false">AD125+AF125+AH125+AI128</f>
        <v>14681.25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4054</v>
      </c>
      <c r="H137" s="33" t="n">
        <f aca="false">(H135+H136)*20%</f>
        <v>4054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4054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4054</v>
      </c>
      <c r="Z137" s="33" t="n">
        <f aca="false">(Z135+Z136)*20%</f>
        <v>4044.2125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4054</v>
      </c>
      <c r="AI137" s="33" t="n">
        <f aca="false">(AI135+AI136)*20%</f>
        <v>3075.25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24664</v>
      </c>
      <c r="H141" s="157" t="n">
        <f aca="false">(H135+H136+H139+H140+H137)-H138</f>
        <v>24664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24664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24664</v>
      </c>
      <c r="Z141" s="157" t="n">
        <f aca="false">(Z135+Z136+Z139+Z140+Z137)-Z138</f>
        <v>24595.275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24664</v>
      </c>
      <c r="AI141" s="157" t="n">
        <f aca="false">(AI135+AI136+AI139+AI140+AI137)-AI138</f>
        <v>18781.5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24664</v>
      </c>
      <c r="H147" s="164" t="n">
        <f aca="false">H141-((H144*1.2)+(H145*1.2)+(H146*1.2)+(H142*1.2))</f>
        <v>24664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24664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24664</v>
      </c>
      <c r="Z147" s="164" t="n">
        <f aca="false">Z141-((Z144*1.2)+(Z145*1.2)+(Z146*1.2)+(Z142*1.2))</f>
        <v>24595.275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24664</v>
      </c>
      <c r="AI147" s="164" t="n">
        <f aca="false">AI141-((AI144*1.2)+(AI145*1.2)+(AI146*1.2)+(AI142*1.2))</f>
        <v>18781.5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-20553.3333333333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10855.004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-68.7249999999986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-5882.5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24664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25595.275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19781.5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768.328414862938</v>
      </c>
      <c r="B167" s="177" t="n">
        <f aca="false">B94</f>
        <v>101.170588235294</v>
      </c>
      <c r="C167" s="174"/>
      <c r="D167" s="174"/>
      <c r="E167" s="177" t="n">
        <f aca="false">B96</f>
        <v>869.499003098232</v>
      </c>
      <c r="F167" s="23"/>
      <c r="G167" s="23" t="n">
        <f aca="false">G95</f>
        <v>739.140293573232</v>
      </c>
      <c r="H167" s="33"/>
      <c r="J167" s="176" t="n">
        <f aca="false">K95</f>
        <v>1460.84083744584</v>
      </c>
      <c r="K167" s="177" t="n">
        <f aca="false">K94</f>
        <v>106.47</v>
      </c>
      <c r="L167" s="174"/>
      <c r="M167" s="174"/>
      <c r="N167" s="177" t="n">
        <f aca="false">K96</f>
        <v>1567.31083744584</v>
      </c>
      <c r="O167" s="23"/>
      <c r="P167" s="23"/>
      <c r="Q167" s="33"/>
      <c r="S167" s="176" t="n">
        <f aca="false">T95</f>
        <v>853.5289419803</v>
      </c>
      <c r="T167" s="177" t="n">
        <f aca="false">T94</f>
        <v>84.3088235294118</v>
      </c>
      <c r="U167" s="174"/>
      <c r="V167" s="174"/>
      <c r="W167" s="177" t="n">
        <f aca="false">T96</f>
        <v>937.837765509712</v>
      </c>
      <c r="X167" s="23"/>
      <c r="Y167" s="23"/>
      <c r="Z167" s="33"/>
      <c r="AB167" s="176" t="n">
        <f aca="false">AC95</f>
        <v>647.922374796018</v>
      </c>
      <c r="AC167" s="177" t="n">
        <f aca="false">AC94</f>
        <v>101.170588235294</v>
      </c>
      <c r="AD167" s="174"/>
      <c r="AE167" s="174"/>
      <c r="AF167" s="177" t="n">
        <f aca="false">AC96</f>
        <v>749.092963031312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2136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2136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2136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2136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20270</v>
      </c>
      <c r="B173" s="103" t="n">
        <f aca="false">H137</f>
        <v>4054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20221.0625</v>
      </c>
      <c r="T173" s="103" t="n">
        <f aca="false">Z137</f>
        <v>4044.2125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15376.25</v>
      </c>
      <c r="AC173" s="103" t="n">
        <f aca="false">AI137</f>
        <v>3075.25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24664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24595.275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18781.5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24664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25595.275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19781.5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3595.16610533989</v>
      </c>
      <c r="B182" s="103" t="str">
        <f aca="false">B114</f>
        <v>239.99</v>
      </c>
      <c r="C182" s="103"/>
      <c r="D182" s="23"/>
      <c r="E182" s="103" t="n">
        <f aca="false">E179+A182+B182+A185</f>
        <v>28509.1561053399</v>
      </c>
      <c r="F182" s="23"/>
      <c r="G182" s="23"/>
      <c r="H182" s="105"/>
      <c r="J182" s="111" t="n">
        <f aca="false">(J167*K59)+N185-N179-J185</f>
        <v>15285.5844731586</v>
      </c>
      <c r="K182" s="103" t="n">
        <f aca="false">K114</f>
        <v>239.99</v>
      </c>
      <c r="L182" s="103"/>
      <c r="M182" s="23"/>
      <c r="N182" s="103" t="n">
        <f aca="false">N179+J182+K182+J185</f>
        <v>52064.5784731586</v>
      </c>
      <c r="O182" s="23"/>
      <c r="P182" s="23"/>
      <c r="Q182" s="105"/>
      <c r="S182" s="111" t="n">
        <f aca="false">(S167*T59)+W185-W179-S185</f>
        <v>5560.70902733021</v>
      </c>
      <c r="T182" s="103" t="n">
        <f aca="false">T114</f>
        <v>199.99</v>
      </c>
      <c r="U182" s="103"/>
      <c r="V182" s="23"/>
      <c r="W182" s="103" t="n">
        <f aca="false">W179+S182+T182+S185</f>
        <v>31365.9740273302</v>
      </c>
      <c r="X182" s="23"/>
      <c r="Y182" s="23"/>
      <c r="Z182" s="105"/>
      <c r="AB182" s="111" t="n">
        <f aca="false">(AB167*AC59)+AF185-AF179-AB185</f>
        <v>4383.86074306462</v>
      </c>
      <c r="AC182" s="103" t="n">
        <f aca="false">AC114</f>
        <v>239.99</v>
      </c>
      <c r="AD182" s="103"/>
      <c r="AE182" s="23"/>
      <c r="AF182" s="103" t="n">
        <f aca="false">AF179+AB182+AC182+AB185</f>
        <v>24415.3507430646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2146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2156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2146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2146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0.048648</v>
      </c>
      <c r="B188" s="103" t="n">
        <f aca="false">(G158*B67)/1.2</f>
        <v>201.251388888889</v>
      </c>
      <c r="C188" s="93"/>
      <c r="D188" s="93"/>
      <c r="E188" s="103" t="n">
        <f aca="false">(E40*A108)*0.1*C45/100</f>
        <v>47.775</v>
      </c>
      <c r="F188" s="23"/>
      <c r="G188" s="23"/>
      <c r="H188" s="33"/>
      <c r="J188" s="111" t="n">
        <f aca="false">IF(N105="YES", H15*0.000002, 0)</f>
        <v>0.049328</v>
      </c>
      <c r="K188" s="103" t="n">
        <f aca="false">(P158*K67)/1.2</f>
        <v>2250.73722569444</v>
      </c>
      <c r="L188" s="93"/>
      <c r="M188" s="93"/>
      <c r="N188" s="103" t="n">
        <f aca="false">(E40*J108)*0.1</f>
        <v>71.6625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208.850334201389</v>
      </c>
      <c r="U188" s="93"/>
      <c r="V188" s="93"/>
      <c r="W188" s="103" t="n">
        <f aca="false">(E40*S108)*0.1</f>
        <v>47.775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161.411545138889</v>
      </c>
      <c r="AD188" s="93"/>
      <c r="AE188" s="93"/>
      <c r="AF188" s="103" t="n">
        <f aca="false">(E40*AB108)*0.1</f>
        <v>47.775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349.018055555556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3462.38972569444</v>
      </c>
      <c r="L191" s="93"/>
      <c r="M191" s="93"/>
      <c r="N191" s="103" t="n">
        <f aca="false">Q148</f>
        <v>10855.004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1356.61533420139</v>
      </c>
      <c r="U191" s="93"/>
      <c r="V191" s="93"/>
      <c r="W191" s="103" t="n">
        <f aca="false">Z148</f>
        <v>-68.7249999999986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1349.17654513889</v>
      </c>
      <c r="AD191" s="93"/>
      <c r="AE191" s="93"/>
      <c r="AF191" s="103" t="n">
        <f aca="false">AI148</f>
        <v>-5882.5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869.499003098232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1567.31083744584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937.837765509712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749.092963031312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2602.7699814899</v>
      </c>
      <c r="B201" s="186" t="n">
        <f aca="false">E179+A201+B182+A185</f>
        <v>27516.7599814899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768.328414862938</v>
      </c>
      <c r="B212" s="177" t="n">
        <f aca="false">B167</f>
        <v>101.170588235294</v>
      </c>
      <c r="C212" s="174"/>
      <c r="D212" s="174"/>
      <c r="E212" s="177" t="n">
        <f aca="false">E167</f>
        <v>869.499003098232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20270</v>
      </c>
      <c r="B215" s="103" t="n">
        <f aca="false">B173</f>
        <v>4054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24664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24664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3595.16610533989</v>
      </c>
      <c r="B224" s="103" t="str">
        <f aca="false">B182</f>
        <v>239.99</v>
      </c>
      <c r="C224" s="103"/>
      <c r="D224" s="113"/>
      <c r="E224" s="103" t="n">
        <f aca="false">E182</f>
        <v>28509.1561053399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768.328414862938</v>
      </c>
      <c r="B230" s="103" t="n">
        <f aca="false">B167</f>
        <v>101.170588235294</v>
      </c>
      <c r="C230" s="186"/>
      <c r="D230" s="186"/>
      <c r="E230" s="103" t="n">
        <f aca="false">E167</f>
        <v>869.499003098232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2136</v>
      </c>
      <c r="B233" s="103" t="n">
        <f aca="false">E185</f>
        <v>2146</v>
      </c>
      <c r="C233" s="93"/>
      <c r="D233" s="93"/>
      <c r="E233" s="103" t="n">
        <f aca="false">J18*0.000006*100*1.2</f>
        <v>17.51328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5.83776</v>
      </c>
      <c r="B236" s="103" t="n">
        <f aca="false">E233+A236</f>
        <v>23.35104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201.251388888889</v>
      </c>
      <c r="C240" s="93"/>
      <c r="D240" s="93"/>
      <c r="E240" s="103" t="n">
        <f aca="false">E188</f>
        <v>47.775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349.018055555556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1002.39612384999</v>
      </c>
      <c r="C254" s="197"/>
      <c r="D254" s="198" t="s">
        <v>216</v>
      </c>
      <c r="E254" s="198"/>
      <c r="F254" s="200" t="n">
        <f aca="false">F261+F267+F269+B270+B271</f>
        <v>241.501666666667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577.741666666667</v>
      </c>
      <c r="C255" s="197"/>
      <c r="D255" s="198" t="s">
        <v>218</v>
      </c>
      <c r="E255" s="198"/>
      <c r="F255" s="200" t="n">
        <f aca="false">(B254-F254)+B255</f>
        <v>1338.63612384999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1002.39612384999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241.501666666667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477.75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1338.63612384999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7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44854.17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5250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1754.55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495.926281892082</v>
      </c>
      <c r="F33" s="232"/>
      <c r="G33" s="232"/>
      <c r="H33" s="47"/>
      <c r="I33" s="2"/>
      <c r="J33" s="34" t="s">
        <v>356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445.796281892082</v>
      </c>
      <c r="B36" s="232" t="n">
        <f aca="false">IF(B26="YES", K42, "0.00")</f>
        <v>50.13</v>
      </c>
      <c r="C36" s="232"/>
      <c r="D36" s="232"/>
      <c r="E36" s="232" t="n">
        <f aca="false">K31</f>
        <v>5250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27450.8277595291</v>
      </c>
      <c r="N39" s="1" t="n">
        <f aca="false">K39-L39</f>
        <v>-9670.82775952915</v>
      </c>
      <c r="P39" s="212"/>
    </row>
    <row r="40" customFormat="false" ht="17.35" hidden="false" customHeight="false" outlineLevel="0" collapsed="false">
      <c r="A40" s="313" t="n">
        <f aca="false">E36*A45/100</f>
        <v>5250</v>
      </c>
      <c r="B40" s="107" t="n">
        <f aca="false">IF(B26="YES", K42, "0.00")</f>
        <v>50.13</v>
      </c>
      <c r="C40" s="107"/>
      <c r="D40" s="107"/>
      <c r="E40" s="182" t="n">
        <f aca="false">K32</f>
        <v>1754.55</v>
      </c>
      <c r="F40" s="186"/>
      <c r="G40" s="186"/>
      <c r="H40" s="47"/>
      <c r="J40" s="2" t="s">
        <v>106</v>
      </c>
      <c r="K40" s="2" t="n">
        <f aca="false">(A40)/1.2</f>
        <v>4375</v>
      </c>
      <c r="L40" s="2" t="n">
        <f aca="false">K39-L39</f>
        <v>-9670.82775952915</v>
      </c>
      <c r="N40" s="1" t="n">
        <f aca="false">N38-N39</f>
        <v>12582.5077595291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50.13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3601.79648789393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14178.2035121061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445.796281892082</v>
      </c>
      <c r="L47" s="2" t="n">
        <f aca="false">L49-K42</f>
        <v>749.87</v>
      </c>
      <c r="M47" s="1" t="n">
        <f aca="false">K47-L47</f>
        <v>-304.073718107918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495.926281892082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495.926281892082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8764.63690035455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34065.7186069357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6783.30775273473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803.333964993866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208.249199305556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168.754479166667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445.796281892082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445.796281892082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495.926281892082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495.926281892082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25521.604</v>
      </c>
      <c r="C81" s="93"/>
      <c r="D81" s="93"/>
      <c r="E81" s="113"/>
      <c r="F81" s="25" t="s">
        <v>105</v>
      </c>
      <c r="G81" s="27" t="n">
        <f aca="false">G158</f>
        <v>25521.604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5250</v>
      </c>
      <c r="C82" s="93"/>
      <c r="D82" s="93"/>
      <c r="E82" s="113"/>
      <c r="F82" s="31" t="s">
        <v>106</v>
      </c>
      <c r="G82" s="33" t="n">
        <f aca="false">IF(A111="YES",A40,0)</f>
        <v>5250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5250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5250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4053.58887818967</v>
      </c>
      <c r="C86" s="93"/>
      <c r="D86" s="93"/>
      <c r="E86" s="113"/>
      <c r="F86" s="31" t="s">
        <v>110</v>
      </c>
      <c r="G86" s="33" t="n">
        <f aca="false">(G82/((1+G84)^(G85+1)))</f>
        <v>4345.56746264402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3590.2262635627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3590.2262635627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21468.0151218103</v>
      </c>
      <c r="C88" s="93"/>
      <c r="D88" s="93"/>
      <c r="E88" s="113"/>
      <c r="F88" s="31" t="s">
        <v>112</v>
      </c>
      <c r="G88" s="33" t="n">
        <f aca="false">G81-G86</f>
        <v>21176.036537356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18617.5387364373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13644.2737364373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716.691375487571</v>
      </c>
      <c r="C89" s="93"/>
      <c r="D89" s="93"/>
      <c r="E89" s="113"/>
      <c r="F89" s="31" t="s">
        <v>113</v>
      </c>
      <c r="G89" s="33" t="n">
        <f aca="false">(G88/G87)</f>
        <v>683.616311323128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658.416988792871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482.535406800493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24367.5067665774</v>
      </c>
      <c r="C90" s="93"/>
      <c r="D90" s="93"/>
      <c r="E90" s="113"/>
      <c r="F90" s="31" t="s">
        <v>114</v>
      </c>
      <c r="G90" s="33" t="n">
        <f aca="false">((G89*(G85))+G77)</f>
        <v>23242.9545849864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22386.1776189576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16406.2038312167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24367.5067665774</v>
      </c>
      <c r="C92" s="93"/>
      <c r="D92" s="93"/>
      <c r="E92" s="113"/>
      <c r="F92" s="56" t="s">
        <v>116</v>
      </c>
      <c r="G92" s="65" t="n">
        <f aca="false">(G90+G91)</f>
        <v>23242.9545849864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22386.1776189576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16406.2038312167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61.9252941176471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61.9252941176471</v>
      </c>
      <c r="H94" s="33"/>
      <c r="J94" s="88" t="s">
        <v>117</v>
      </c>
      <c r="K94" s="89" t="n">
        <f aca="false">((E40/K85)*(1+J108))*1.2</f>
        <v>78.2028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61.9252941176471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74.3103529411765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716.691375487571</v>
      </c>
      <c r="C95" s="93"/>
      <c r="D95" s="93"/>
      <c r="E95" s="113"/>
      <c r="F95" s="95" t="s">
        <v>118</v>
      </c>
      <c r="G95" s="96" t="n">
        <f aca="false">G92/(G85)</f>
        <v>683.616311323128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658.416988792871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482.535406800493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778.616669605218</v>
      </c>
      <c r="C96" s="93"/>
      <c r="D96" s="93"/>
      <c r="E96" s="113"/>
      <c r="F96" s="97" t="s">
        <v>119</v>
      </c>
      <c r="G96" s="98" t="n">
        <f aca="false">G94+G95</f>
        <v>745.541605440775</v>
      </c>
      <c r="H96" s="33"/>
      <c r="J96" s="97" t="s">
        <v>119</v>
      </c>
      <c r="K96" s="98" t="n">
        <f aca="false">(K94+K95)</f>
        <v>1539.04363744584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720.342282910518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556.845759741669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-3544.67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-3544.67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20289.67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20289.67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4196.934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25521.604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25521.604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3544.67</v>
      </c>
      <c r="I148" s="1" t="n">
        <f aca="false">(H148-G81)/1.2</f>
        <v>-18314.1116666667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25521.604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716.691375487571</v>
      </c>
      <c r="B167" s="177" t="n">
        <f aca="false">B94</f>
        <v>61.9252941176471</v>
      </c>
      <c r="C167" s="174"/>
      <c r="D167" s="174"/>
      <c r="E167" s="177" t="n">
        <f aca="false">B96</f>
        <v>778.616669605218</v>
      </c>
      <c r="F167" s="23"/>
      <c r="G167" s="23" t="n">
        <f aca="false">G95</f>
        <v>683.616311323128</v>
      </c>
      <c r="H167" s="33"/>
      <c r="J167" s="176" t="n">
        <f aca="false">K95</f>
        <v>1460.84083744584</v>
      </c>
      <c r="K167" s="177" t="n">
        <f aca="false">K94</f>
        <v>78.2028</v>
      </c>
      <c r="L167" s="174"/>
      <c r="M167" s="174"/>
      <c r="N167" s="177" t="n">
        <f aca="false">K96</f>
        <v>1539.04363744584</v>
      </c>
      <c r="O167" s="23"/>
      <c r="P167" s="23"/>
      <c r="Q167" s="33"/>
      <c r="S167" s="176" t="n">
        <f aca="false">T95</f>
        <v>658.416988792871</v>
      </c>
      <c r="T167" s="177" t="n">
        <f aca="false">T94</f>
        <v>61.9252941176471</v>
      </c>
      <c r="U167" s="174"/>
      <c r="V167" s="174"/>
      <c r="W167" s="177" t="n">
        <f aca="false">T96</f>
        <v>720.342282910518</v>
      </c>
      <c r="X167" s="23"/>
      <c r="Y167" s="23"/>
      <c r="Z167" s="33"/>
      <c r="AB167" s="176" t="n">
        <f aca="false">AC95</f>
        <v>482.535406800493</v>
      </c>
      <c r="AC167" s="177" t="n">
        <f aca="false">AC94</f>
        <v>74.3103529411765</v>
      </c>
      <c r="AD167" s="174"/>
      <c r="AE167" s="174"/>
      <c r="AF167" s="177" t="n">
        <f aca="false">AC96</f>
        <v>556.845759741669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5250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5250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5250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5250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20984.67</v>
      </c>
      <c r="B173" s="103" t="n">
        <f aca="false">H137</f>
        <v>4196.934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25521.604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25521.604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4095.90276657743</v>
      </c>
      <c r="B182" s="103" t="str">
        <f aca="false">B114</f>
        <v>199.99</v>
      </c>
      <c r="C182" s="103"/>
      <c r="D182" s="23"/>
      <c r="E182" s="103" t="n">
        <f aca="false">E179+A182+(B182*1.2)+A185</f>
        <v>29867.4947665774</v>
      </c>
      <c r="F182" s="23"/>
      <c r="G182" s="23"/>
      <c r="H182" s="105"/>
      <c r="J182" s="111" t="n">
        <f aca="false">(J167*K59)+N185-N179-J185</f>
        <v>18399.5844731586</v>
      </c>
      <c r="K182" s="103" t="n">
        <f aca="false">K114</f>
        <v>239.99</v>
      </c>
      <c r="L182" s="103"/>
      <c r="M182" s="23"/>
      <c r="N182" s="103" t="n">
        <f aca="false">N179+J182+K182+J185</f>
        <v>55178.5784731586</v>
      </c>
      <c r="O182" s="23"/>
      <c r="P182" s="23"/>
      <c r="Q182" s="105"/>
      <c r="S182" s="111" t="n">
        <f aca="false">(S167*T59)+W185-W179-S185</f>
        <v>5428.41261895761</v>
      </c>
      <c r="T182" s="103" t="n">
        <f aca="false">T114</f>
        <v>199.99</v>
      </c>
      <c r="U182" s="103"/>
      <c r="V182" s="23"/>
      <c r="W182" s="103" t="n">
        <f aca="false">W179+S182+T182+S185</f>
        <v>27846.1676189576</v>
      </c>
      <c r="X182" s="23"/>
      <c r="Y182" s="23"/>
      <c r="Z182" s="105"/>
      <c r="AB182" s="111" t="n">
        <f aca="false">(AB167*AC59)+AF185-AF179-AB185</f>
        <v>4421.70383121675</v>
      </c>
      <c r="AC182" s="103" t="n">
        <f aca="false">AC114</f>
        <v>239.99</v>
      </c>
      <c r="AD182" s="103"/>
      <c r="AE182" s="23"/>
      <c r="AF182" s="103" t="n">
        <f aca="false">AF179+AB182+AC182+AB185</f>
        <v>21906.1938312167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5260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5270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5260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5260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4.1856</v>
      </c>
      <c r="B188" s="103" t="n">
        <f aca="false">(G158*B67)/1.2</f>
        <v>208.249199305556</v>
      </c>
      <c r="C188" s="93"/>
      <c r="D188" s="93"/>
      <c r="E188" s="103" t="n">
        <f aca="false">(E40*A108)*0.1*(C45/100)</f>
        <v>35.091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2250.73722569444</v>
      </c>
      <c r="L188" s="93"/>
      <c r="M188" s="93"/>
      <c r="N188" s="103" t="n">
        <f aca="false">(E40*J108)*0.1</f>
        <v>52.6365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181.209193576389</v>
      </c>
      <c r="U188" s="93"/>
      <c r="V188" s="93"/>
      <c r="W188" s="103" t="n">
        <f aca="false">(E40*S108)*0.1</f>
        <v>35.091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140.628732638889</v>
      </c>
      <c r="AD188" s="93"/>
      <c r="AE188" s="93"/>
      <c r="AF188" s="103" t="n">
        <f aca="false">(E40*AB108)*0.1</f>
        <v>35.091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343.330199305556</v>
      </c>
      <c r="C191" s="93"/>
      <c r="D191" s="93"/>
      <c r="E191" s="103" t="n">
        <f aca="false">H148</f>
        <v>3544.67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3443.36372569444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1316.29019357639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1315.70973263889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778.616669605218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1539.04363744584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720.342282910518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556.845759741669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2971.35058498636</v>
      </c>
      <c r="B201" s="186" t="n">
        <f aca="false">E179+A201+(B182*1.2)+A185</f>
        <v>28742.9425849864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716.691375487571</v>
      </c>
      <c r="B212" s="177" t="n">
        <f aca="false">B167</f>
        <v>61.9252941176471</v>
      </c>
      <c r="C212" s="174"/>
      <c r="D212" s="174"/>
      <c r="E212" s="177" t="n">
        <f aca="false">E167</f>
        <v>778.616669605218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20984.67</v>
      </c>
      <c r="B215" s="103" t="n">
        <f aca="false">B173</f>
        <v>4196.934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25521.604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25521.604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4095.90276657743</v>
      </c>
      <c r="B224" s="103" t="str">
        <f aca="false">B182</f>
        <v>199.99</v>
      </c>
      <c r="C224" s="103"/>
      <c r="D224" s="113"/>
      <c r="E224" s="103" t="n">
        <f aca="false">E182</f>
        <v>29867.4947665774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716.691375487571</v>
      </c>
      <c r="B230" s="103" t="n">
        <f aca="false">B167</f>
        <v>61.9252941176471</v>
      </c>
      <c r="C230" s="186"/>
      <c r="D230" s="186"/>
      <c r="E230" s="103" t="n">
        <f aca="false">E167</f>
        <v>778.616669605218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5250</v>
      </c>
      <c r="B233" s="103" t="n">
        <f aca="false">E185</f>
        <v>5260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3544.67</v>
      </c>
      <c r="B240" s="103" t="n">
        <f aca="false">B68</f>
        <v>208.249199305556</v>
      </c>
      <c r="C240" s="93"/>
      <c r="D240" s="93"/>
      <c r="E240" s="103" t="n">
        <f aca="false">E188</f>
        <v>35.091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3888.00019930555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1134.55218159106</v>
      </c>
      <c r="C254" s="197"/>
      <c r="D254" s="198" t="s">
        <v>216</v>
      </c>
      <c r="E254" s="198"/>
      <c r="F254" s="200" t="n">
        <f aca="false">F261+F267+F269+B270+B271</f>
        <v>249.899039166667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450.9</v>
      </c>
      <c r="C255" s="197"/>
      <c r="D255" s="198" t="s">
        <v>218</v>
      </c>
      <c r="E255" s="198"/>
      <c r="F255" s="200" t="n">
        <f aca="false">(B254-F254)+B255</f>
        <v>1335.5531424244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1134.55218159106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249.899039166667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350.91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1335.5531424244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</v>
      </c>
      <c r="I31" s="238" t="n">
        <f aca="false">IF(C107="YES",H31,0)</f>
        <v>8730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1024.1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356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I31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106</v>
      </c>
      <c r="H40" s="238" t="n">
        <f aca="false">A40/1.2</f>
        <v>7275</v>
      </c>
      <c r="I40" s="238" t="n">
        <f aca="false">H39-I39</f>
        <v>-16643.8379370533</v>
      </c>
      <c r="J40" s="63" t="n">
        <v>24583.34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215" t="n">
        <v>10000</v>
      </c>
      <c r="D64" s="291" t="n">
        <f aca="false">B64-A143</f>
        <v>1770.16</v>
      </c>
      <c r="E64" s="216"/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296.48</v>
      </c>
      <c r="C67" s="215"/>
      <c r="D67" s="291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280</v>
      </c>
      <c r="B74" s="432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281</v>
      </c>
      <c r="B75" s="434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282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2480.16</v>
      </c>
      <c r="C81" s="215"/>
      <c r="D81" s="215"/>
      <c r="E81" s="21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112.734545454545</v>
      </c>
      <c r="C82" s="215"/>
      <c r="D82" s="215"/>
      <c r="E82" s="21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548.895083902158</v>
      </c>
      <c r="C83" s="215"/>
      <c r="D83" s="215"/>
      <c r="E83" s="216"/>
      <c r="F83" s="63"/>
      <c r="G83" s="305" t="s">
        <v>104</v>
      </c>
      <c r="H83" s="306" t="n">
        <f aca="false">H47</f>
        <v>548.895083902158</v>
      </c>
      <c r="I83" s="215"/>
      <c r="J83" s="215"/>
      <c r="K83" s="216"/>
      <c r="L83" s="63"/>
      <c r="M83" s="305" t="s">
        <v>104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14555.8518458475</v>
      </c>
      <c r="C85" s="215"/>
      <c r="D85" s="215"/>
      <c r="E85" s="216"/>
      <c r="F85" s="63"/>
      <c r="G85" s="288" t="s">
        <v>114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114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123.304916806292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115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14679.1567626538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60.515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667.234398302444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727.749398302444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343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344</v>
      </c>
      <c r="C107" s="222" t="s">
        <v>18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667.234398302444</v>
      </c>
      <c r="B128" s="321" t="n">
        <f aca="false">IF(A105="YES", B89, 0)</f>
        <v>60.515</v>
      </c>
      <c r="C128" s="325"/>
      <c r="D128" s="321" t="n">
        <f aca="false">B91</f>
        <v>727.749398302444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667.234398302444</v>
      </c>
      <c r="C131" s="317"/>
      <c r="D131" s="38" t="n">
        <f aca="false">IF(A105="YES", B89*B57, 0)</f>
        <v>60.515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727.749398302444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667.234398302444</v>
      </c>
      <c r="B137" s="38" t="n">
        <f aca="false">IF(A105="YES", B89, 0)</f>
        <v>60.515</v>
      </c>
      <c r="C137" s="317"/>
      <c r="D137" s="38" t="n">
        <f aca="false">B91</f>
        <v>727.749398302444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0</v>
      </c>
      <c r="C148" s="38"/>
      <c r="D148" s="38" t="n">
        <f aca="false">IF(A105="YES", (B40*B105)*B125, 0)*0.1</f>
        <v>30.723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427.193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727.749398302444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667.234398302444</v>
      </c>
      <c r="B177" s="355" t="n">
        <f aca="false">IF(A105="YES", B89, 0)</f>
        <v>60.515</v>
      </c>
      <c r="C177" s="357"/>
      <c r="D177" s="355" t="n">
        <f aca="false">B91</f>
        <v>727.749398302444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667.234398302444</v>
      </c>
      <c r="C180" s="353"/>
      <c r="D180" s="103" t="n">
        <f aca="false">IF(A105="YES", B89*B57, 0)</f>
        <v>60.515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727.749398302444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667.234398302444</v>
      </c>
      <c r="B186" s="103" t="n">
        <f aca="false">IF(A105="YES", B89, 0)</f>
        <v>60.515</v>
      </c>
      <c r="C186" s="353"/>
      <c r="D186" s="103" t="n">
        <f aca="false">B91</f>
        <v>727.749398302444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427.193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296.48</v>
      </c>
      <c r="C211" s="320" t="s">
        <v>217</v>
      </c>
      <c r="D211" s="370" t="n">
        <f aca="false">B225+E221+B221+B223</f>
        <v>407.22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1880.9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296.48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1880.9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123.304916806292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1024.1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356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H31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106</v>
      </c>
      <c r="H40" s="238" t="n">
        <f aca="false">(A40)/1.2</f>
        <v>7275</v>
      </c>
      <c r="I40" s="238" t="n">
        <f aca="false">H39-I39</f>
        <v>-16643.8379370533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510" t="n">
        <v>100</v>
      </c>
      <c r="D45" s="510"/>
      <c r="E45" s="216"/>
      <c r="F45" s="63"/>
      <c r="G45" s="63" t="s">
        <v>374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215" t="n">
        <v>10000</v>
      </c>
      <c r="D64" s="291" t="n">
        <f aca="false">B64-A143</f>
        <v>1770.16</v>
      </c>
      <c r="E64" s="466" t="n">
        <f aca="false">D64/(B58+B57)</f>
        <v>80.4618181818182</v>
      </c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296.48</v>
      </c>
      <c r="C67" s="215"/>
      <c r="D67" s="291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20.2020202020202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466" t="n">
        <f aca="false">(D73+D76+D79+D80)/(B58+B57)</f>
        <v>32.2727272727273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3146.82666666667</v>
      </c>
      <c r="C81" s="215"/>
      <c r="D81" s="215"/>
      <c r="E81" s="46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143.037575757576</v>
      </c>
      <c r="C82" s="215"/>
      <c r="D82" s="215"/>
      <c r="E82" s="46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548.895083902158</v>
      </c>
      <c r="C83" s="215"/>
      <c r="D83" s="215"/>
      <c r="E83" s="466" t="n">
        <f aca="false">B83+E80+E77+E64</f>
        <v>681.831649558723</v>
      </c>
      <c r="F83" s="63"/>
      <c r="G83" s="305" t="s">
        <v>104</v>
      </c>
      <c r="H83" s="306" t="n">
        <f aca="false">H47</f>
        <v>548.895083902158</v>
      </c>
      <c r="I83" s="215"/>
      <c r="J83" s="215"/>
      <c r="K83" s="216"/>
      <c r="L83" s="63"/>
      <c r="M83" s="305" t="s">
        <v>104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18267.022215017</v>
      </c>
      <c r="C85" s="215"/>
      <c r="D85" s="215"/>
      <c r="E85" s="466" t="n">
        <f aca="false">B85/(B58+B57)</f>
        <v>830.31919159168</v>
      </c>
      <c r="F85" s="63"/>
      <c r="G85" s="288" t="s">
        <v>114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114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128.952355289551</v>
      </c>
      <c r="C86" s="215"/>
      <c r="D86" s="215"/>
      <c r="E86" s="466" t="n">
        <f aca="false">B86/(B58+B57)</f>
        <v>5.86147069497959</v>
      </c>
      <c r="F86" s="63"/>
      <c r="G86" s="214" t="s">
        <v>115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115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18395.9745703065</v>
      </c>
      <c r="C87" s="215"/>
      <c r="D87" s="215"/>
      <c r="E87" s="466" t="n">
        <f aca="false">E86+E85</f>
        <v>836.18066228666</v>
      </c>
      <c r="F87" s="63"/>
      <c r="G87" s="285" t="s">
        <v>116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72.618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836.18066228666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908.798662286659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836.18066228666</v>
      </c>
      <c r="B128" s="321" t="n">
        <f aca="false">IF(A105="YES", B89, 0)</f>
        <v>72.618</v>
      </c>
      <c r="C128" s="325"/>
      <c r="D128" s="321" t="n">
        <f aca="false">B91</f>
        <v>908.798662286659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836.18066228666</v>
      </c>
      <c r="C131" s="317"/>
      <c r="D131" s="38" t="n">
        <f aca="false">IF(A105="YES", B89*B57, 0)</f>
        <v>72.618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908.798662286659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836.18066228666</v>
      </c>
      <c r="B137" s="38" t="n">
        <f aca="false">IF(A105="YES", B89, 0)</f>
        <v>72.618</v>
      </c>
      <c r="C137" s="317"/>
      <c r="D137" s="38" t="n">
        <f aca="false">B91</f>
        <v>908.798662286659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400</v>
      </c>
      <c r="C148" s="38"/>
      <c r="D148" s="38" t="n">
        <f aca="false">IF(A105="YES", (B40*B105)*B125, 0)*0.1</f>
        <v>30.723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827.194666666667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908.798662286659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836.18066228666</v>
      </c>
      <c r="B177" s="355" t="n">
        <f aca="false">IF(A105="YES", B89, 0)</f>
        <v>72.618</v>
      </c>
      <c r="C177" s="357"/>
      <c r="D177" s="355" t="n">
        <f aca="false">B91</f>
        <v>908.798662286659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836.18066228666</v>
      </c>
      <c r="C180" s="353"/>
      <c r="D180" s="103" t="n">
        <f aca="false">IF(A105="YES", B89*B57, 0)</f>
        <v>72.618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908.798662286659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836.18066228666</v>
      </c>
      <c r="B186" s="103" t="n">
        <f aca="false">IF(A105="YES", B89, 0)</f>
        <v>72.618</v>
      </c>
      <c r="C186" s="353"/>
      <c r="D186" s="103" t="n">
        <f aca="false">B91</f>
        <v>908.798662286659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400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827.194666666667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296.48</v>
      </c>
      <c r="C211" s="320" t="s">
        <v>217</v>
      </c>
      <c r="D211" s="370" t="n">
        <f aca="false">B225+E221+B221+B223</f>
        <v>647.221666666667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2120.90166666667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296.48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2120.90166666667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128.952355289551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44854.17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-237.055254097148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45687.5</v>
      </c>
      <c r="F9" s="63"/>
      <c r="G9" s="454" t="n">
        <f aca="false">E9-G11</f>
        <v>-106329.166666667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46237.5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9247.5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56135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54485.004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55485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100.0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56135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393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392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19200.0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4689.17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1422.68741721329</v>
      </c>
      <c r="E33" s="216"/>
      <c r="F33" s="63"/>
      <c r="G33" s="219" t="s">
        <v>356</v>
      </c>
      <c r="H33" s="460" t="n">
        <f aca="false">E21-E11+((E16*20%)+(E19*20%)+(E20*20%))</f>
        <v>46887.5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1372.55741721329</v>
      </c>
      <c r="B36" s="103" t="n">
        <f aca="false">IF(B26="YES", H42, "")</f>
        <v>50.13</v>
      </c>
      <c r="C36" s="221"/>
      <c r="D36" s="184" t="n">
        <f aca="false">H31</f>
        <v>5250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46887.5</v>
      </c>
      <c r="I39" s="238" t="n">
        <f aca="false">(I48*H46)+H44</f>
        <v>46171.1360556211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5250</v>
      </c>
      <c r="B40" s="107" t="n">
        <f aca="false">IF(B26="YES",H42,"0")</f>
        <v>50.13</v>
      </c>
      <c r="C40" s="107"/>
      <c r="D40" s="184" t="n">
        <f aca="false">I32</f>
        <v>3509.1</v>
      </c>
      <c r="E40" s="216"/>
      <c r="F40" s="63"/>
      <c r="G40" s="63" t="s">
        <v>106</v>
      </c>
      <c r="H40" s="238" t="n">
        <f aca="false">A40/1.2</f>
        <v>4375</v>
      </c>
      <c r="I40" s="238" t="n">
        <f aca="false">H39-I39</f>
        <v>716.363944378892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50.13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3548.47043847394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43339.0295615261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31.5753854942677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1372.55741721329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1422.68741721329</v>
      </c>
      <c r="I48" s="238" t="n">
        <f aca="false">I49-H42</f>
        <v>1349.87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1422.68741721329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55485</v>
      </c>
      <c r="C61" s="215"/>
      <c r="D61" s="215"/>
      <c r="E61" s="216"/>
      <c r="F61" s="63"/>
      <c r="G61" s="214" t="s">
        <v>14</v>
      </c>
      <c r="H61" s="291" t="n">
        <f aca="false">G18</f>
        <v>55485</v>
      </c>
      <c r="I61" s="215"/>
      <c r="J61" s="215"/>
      <c r="K61" s="216"/>
      <c r="L61" s="63"/>
      <c r="M61" s="214" t="s">
        <v>14</v>
      </c>
      <c r="N61" s="291" t="n">
        <f aca="false">G18</f>
        <v>55485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5745.009375</v>
      </c>
      <c r="I64" s="215"/>
      <c r="J64" s="291" t="n">
        <f aca="false">H64-G145</f>
        <v>5745.009375</v>
      </c>
      <c r="K64" s="216"/>
      <c r="L64" s="63"/>
      <c r="M64" s="285" t="s">
        <v>90</v>
      </c>
      <c r="N64" s="133" t="n">
        <f aca="false">N61*N63</f>
        <v>5745.009375</v>
      </c>
      <c r="O64" s="215"/>
      <c r="P64" s="291" t="n">
        <f aca="false">N64-M145</f>
        <v>5745.009375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1086.58125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905.484375</v>
      </c>
      <c r="I67" s="215"/>
      <c r="J67" s="291"/>
      <c r="K67" s="216"/>
      <c r="L67" s="63"/>
      <c r="M67" s="285" t="s">
        <v>93</v>
      </c>
      <c r="N67" s="133" t="n">
        <f aca="false">(N61*N66)/1.2</f>
        <v>905.484375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355.0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22.1428571428571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10775</v>
      </c>
      <c r="C81" s="473"/>
      <c r="D81" s="474"/>
      <c r="E81" s="466"/>
      <c r="F81" s="63"/>
      <c r="G81" s="303" t="s">
        <v>102</v>
      </c>
      <c r="H81" s="304" t="n">
        <f aca="false">SUM(J64:J80)</f>
        <v>6792.509375</v>
      </c>
      <c r="I81" s="215"/>
      <c r="J81" s="215"/>
      <c r="K81" s="216"/>
      <c r="L81" s="63"/>
      <c r="M81" s="303" t="s">
        <v>102</v>
      </c>
      <c r="N81" s="304" t="n">
        <f aca="false">SUM(P64:P80)</f>
        <v>6462.509375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307.857142857143</v>
      </c>
      <c r="C82" s="473"/>
      <c r="D82" s="215"/>
      <c r="E82" s="466"/>
      <c r="F82" s="63"/>
      <c r="G82" s="214" t="s">
        <v>103</v>
      </c>
      <c r="H82" s="300" t="n">
        <f aca="false">H81/H29</f>
        <v>194.071696428571</v>
      </c>
      <c r="I82" s="215"/>
      <c r="J82" s="215"/>
      <c r="K82" s="216"/>
      <c r="L82" s="63"/>
      <c r="M82" s="214" t="s">
        <v>103</v>
      </c>
      <c r="N82" s="300" t="n">
        <f aca="false">N81/H29</f>
        <v>184.643125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1372.55741721329</v>
      </c>
      <c r="C83" s="473"/>
      <c r="D83" s="215"/>
      <c r="E83" s="466" t="n">
        <f aca="false">B83+E80+E77+E64</f>
        <v>1680.41456007043</v>
      </c>
      <c r="F83" s="63"/>
      <c r="G83" s="305" t="s">
        <v>104</v>
      </c>
      <c r="H83" s="306" t="n">
        <f aca="false">H47</f>
        <v>1372.55741721329</v>
      </c>
      <c r="I83" s="215"/>
      <c r="J83" s="215"/>
      <c r="K83" s="216"/>
      <c r="L83" s="63"/>
      <c r="M83" s="305" t="s">
        <v>104</v>
      </c>
      <c r="N83" s="306" t="n">
        <f aca="false">H47</f>
        <v>1372.55741721329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58814.5096024651</v>
      </c>
      <c r="C85" s="473"/>
      <c r="D85" s="473"/>
      <c r="E85" s="466" t="n">
        <f aca="false">B85/(B58+B57)</f>
        <v>1680.41456007043</v>
      </c>
      <c r="F85" s="63"/>
      <c r="G85" s="288" t="s">
        <v>114</v>
      </c>
      <c r="H85" s="131" t="n">
        <f aca="false">((H83*H29)+H81)*1.2</f>
        <v>65798.4227729582</v>
      </c>
      <c r="I85" s="215"/>
      <c r="J85" s="215"/>
      <c r="K85" s="216"/>
      <c r="L85" s="63"/>
      <c r="M85" s="288" t="s">
        <v>114</v>
      </c>
      <c r="N85" s="131" t="n">
        <f aca="false">((N83*H29)+N81)</f>
        <v>54502.0189774651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498.226987354485</v>
      </c>
      <c r="C86" s="473" t="s">
        <v>230</v>
      </c>
      <c r="D86" s="215"/>
      <c r="E86" s="466" t="n">
        <f aca="false">B86/(B58+B57)</f>
        <v>14.2350567815567</v>
      </c>
      <c r="F86" s="63"/>
      <c r="G86" s="214" t="s">
        <v>115</v>
      </c>
      <c r="H86" s="300" t="n">
        <f aca="false">((((H83*H29)+H81))/(1-H70))*H70</f>
        <v>464.490681132218</v>
      </c>
      <c r="I86" s="215"/>
      <c r="J86" s="215"/>
      <c r="K86" s="216"/>
      <c r="L86" s="63"/>
      <c r="M86" s="214" t="s">
        <v>115</v>
      </c>
      <c r="N86" s="300" t="n">
        <f aca="false">(N85/(1-N70))*N70</f>
        <v>461.695199083004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59312.7365898196</v>
      </c>
      <c r="C87" s="473"/>
      <c r="D87" s="475"/>
      <c r="E87" s="466" t="n">
        <f aca="false">E86+E85</f>
        <v>1694.64961685199</v>
      </c>
      <c r="F87" s="63"/>
      <c r="G87" s="285" t="s">
        <v>116</v>
      </c>
      <c r="H87" s="133" t="n">
        <f aca="false">IF(H110="YES",((H85+H86)-K114),(H85+H86))</f>
        <v>66262.9134540904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54963.7141765481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65.169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126.3276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105.273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1694.64961685199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1656.57283635226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1374.0928544137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1759.81861685199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1782.90043635226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1479.3658544137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264</v>
      </c>
      <c r="C99" s="312"/>
      <c r="D99" s="107" t="n">
        <v>5000.0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393</v>
      </c>
      <c r="B105" s="314" t="n">
        <v>0.2</v>
      </c>
      <c r="C105" s="314"/>
      <c r="D105" s="107" t="n">
        <v>500.0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390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1656.57283635226</v>
      </c>
      <c r="H127" s="177" t="n">
        <f aca="false">IF(G105="YES", H89*H57, 0)</f>
        <v>757.9656</v>
      </c>
      <c r="I127" s="177"/>
      <c r="J127" s="334" t="n">
        <f aca="false">H91</f>
        <v>1782.90043635226</v>
      </c>
      <c r="K127" s="216"/>
      <c r="L127" s="63"/>
      <c r="M127" s="333" t="n">
        <f aca="false">N90</f>
        <v>1374.0928544137</v>
      </c>
      <c r="N127" s="177" t="n">
        <f aca="false">IF(M105="YES", N89*N57, 0)</f>
        <v>631.638</v>
      </c>
      <c r="O127" s="177"/>
      <c r="P127" s="177" t="n">
        <f aca="false">N91</f>
        <v>1479.3658544137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1694.64961685199</v>
      </c>
      <c r="B128" s="321" t="n">
        <f aca="false">IF(A105="YES", B89, 0)</f>
        <v>65.169</v>
      </c>
      <c r="C128" s="325"/>
      <c r="D128" s="321" t="n">
        <f aca="false">B91</f>
        <v>1759.81861685199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1694.64961685199</v>
      </c>
      <c r="C131" s="317"/>
      <c r="D131" s="38" t="n">
        <f aca="false">IF(A105="YES", B89*B57, 0)</f>
        <v>65.169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9939.43701811355</v>
      </c>
      <c r="H133" s="103" t="n">
        <f aca="false">IF(G105="YES", H89*H57, 0)</f>
        <v>757.9656</v>
      </c>
      <c r="I133" s="221"/>
      <c r="J133" s="184" t="n">
        <f aca="false">H91*H57</f>
        <v>10697.4026181136</v>
      </c>
      <c r="K133" s="216"/>
      <c r="L133" s="63"/>
      <c r="M133" s="185" t="n">
        <f aca="false">N90*N57</f>
        <v>8244.55712648222</v>
      </c>
      <c r="N133" s="103" t="n">
        <f aca="false">IF(M105="YES", N89*N57, 0)</f>
        <v>631.638</v>
      </c>
      <c r="O133" s="221"/>
      <c r="P133" s="184" t="n">
        <f aca="false">N91*N57</f>
        <v>8876.19512648222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1759.81861685199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0.33681</v>
      </c>
      <c r="H136" s="103" t="n">
        <f aca="false">IF(G105="YES", E15*0.000002, 0)</f>
        <v>0.11227</v>
      </c>
      <c r="I136" s="103"/>
      <c r="J136" s="103" t="n">
        <f aca="false">G136+H136</f>
        <v>0.44908</v>
      </c>
      <c r="K136" s="105"/>
      <c r="L136" s="63"/>
      <c r="M136" s="111" t="n">
        <f aca="false">E15*0.000006</f>
        <v>0.33681</v>
      </c>
      <c r="N136" s="103" t="n">
        <f aca="false">IF(M105="YES", E15*0.000002, 0)</f>
        <v>0.11227</v>
      </c>
      <c r="O136" s="103"/>
      <c r="P136" s="103" t="n">
        <f aca="false">M136+N136</f>
        <v>0.44908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1694.64961685199</v>
      </c>
      <c r="B137" s="38" t="n">
        <f aca="false">IF(A105="YES", B89, 0)</f>
        <v>65.169</v>
      </c>
      <c r="C137" s="317"/>
      <c r="D137" s="38" t="n">
        <f aca="false">B91</f>
        <v>1759.81861685199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905.484375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905.484375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39.9492</v>
      </c>
      <c r="B140" s="343" t="n">
        <f aca="false">IF(A105="YES", G18*0.000002, 0)*1.2*100</f>
        <v>13.3164</v>
      </c>
      <c r="C140" s="317"/>
      <c r="D140" s="343" t="n">
        <f aca="false">A140+B140</f>
        <v>53.2656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35.091</v>
      </c>
      <c r="H142" s="103" t="n">
        <f aca="false">G102-100</f>
        <v>99.99</v>
      </c>
      <c r="I142" s="103"/>
      <c r="J142" s="103" t="n">
        <f aca="false">(H139+J139+G142+H142)-H145</f>
        <v>1040.565375</v>
      </c>
      <c r="K142" s="105"/>
      <c r="L142" s="63"/>
      <c r="M142" s="111" t="n">
        <f aca="false">IF(M105="YES", ((B36*N105)*0.1)*(M130), 0)</f>
        <v>35.091</v>
      </c>
      <c r="N142" s="103" t="n">
        <f aca="false">M102-100</f>
        <v>99.99</v>
      </c>
      <c r="O142" s="103"/>
      <c r="P142" s="103" t="n">
        <f aca="false">(N139+P139+M142+N142)-N145</f>
        <v>1040.565375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1086.58125</v>
      </c>
      <c r="B148" s="103" t="n">
        <f aca="false">B102</f>
        <v>0</v>
      </c>
      <c r="C148" s="38"/>
      <c r="D148" s="38" t="n">
        <f aca="false">IF(A105="YES", (B40*B105)*B125, 0)*0.1</f>
        <v>52.6365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1239.20775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1782.90043635226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1479.3658544137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1759.81861685199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1694.64961685199</v>
      </c>
      <c r="B177" s="355" t="n">
        <f aca="false">IF(A105="YES", B89, 0)</f>
        <v>65.169</v>
      </c>
      <c r="C177" s="357"/>
      <c r="D177" s="355" t="n">
        <f aca="false">B91</f>
        <v>1759.81861685199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1694.64961685199</v>
      </c>
      <c r="C180" s="353"/>
      <c r="D180" s="103" t="n">
        <f aca="false">IF(A105="YES", B89*B57, 0)</f>
        <v>65.169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1759.81861685199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1694.64961685199</v>
      </c>
      <c r="B186" s="103" t="n">
        <f aca="false">IF(A105="YES", B89, 0)</f>
        <v>65.169</v>
      </c>
      <c r="C186" s="353"/>
      <c r="D186" s="103" t="n">
        <f aca="false">B91</f>
        <v>1759.81861685199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39.9492</v>
      </c>
      <c r="B189" s="365" t="n">
        <f aca="false">IF(A105="YES", G18*0.000002, 0)*1.2*100</f>
        <v>13.3164</v>
      </c>
      <c r="C189" s="353"/>
      <c r="D189" s="365" t="n">
        <f aca="false">A189+B189</f>
        <v>53.2656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1086.58125</v>
      </c>
      <c r="B197" s="103" t="n">
        <f aca="false">B102</f>
        <v>0</v>
      </c>
      <c r="C197" s="103"/>
      <c r="D197" s="103" t="n">
        <f aca="false">IF(A105="YES", (B40*B105)*B125, 0)*0.1</f>
        <v>52.6365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1239.20775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1086.58125</v>
      </c>
      <c r="C211" s="320" t="s">
        <v>217</v>
      </c>
      <c r="D211" s="370" t="n">
        <f aca="false">B225+E221+B221+B223</f>
        <v>626.355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9539.77375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1086.58125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9539.77375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526.365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498.226987354485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258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388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275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287</v>
      </c>
      <c r="B105" s="312" t="s">
        <v>268</v>
      </c>
      <c r="C105" s="312"/>
      <c r="D105" s="421" t="n">
        <v>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345</v>
      </c>
      <c r="B135" s="328" t="s">
        <v>253</v>
      </c>
      <c r="C135" s="328"/>
      <c r="D135" s="328" t="s">
        <v>119</v>
      </c>
      <c r="E135" s="216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346</v>
      </c>
      <c r="B138" s="215" t="s">
        <v>242</v>
      </c>
      <c r="C138" s="215"/>
      <c r="D138" s="215" t="s">
        <v>246</v>
      </c>
      <c r="E138" s="216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255</v>
      </c>
      <c r="B141" s="215" t="s">
        <v>256</v>
      </c>
      <c r="C141" s="215"/>
      <c r="D141" s="215" t="s">
        <v>260</v>
      </c>
      <c r="E141" s="216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313</v>
      </c>
      <c r="C144" s="215"/>
      <c r="D144" s="215" t="s">
        <v>314</v>
      </c>
      <c r="E144" s="216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316</v>
      </c>
      <c r="B147" s="215" t="s">
        <v>317</v>
      </c>
      <c r="C147" s="215"/>
      <c r="D147" s="215" t="s">
        <v>318</v>
      </c>
      <c r="E147" s="216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320</v>
      </c>
      <c r="B150" s="215" t="s">
        <v>321</v>
      </c>
      <c r="C150" s="215"/>
      <c r="D150" s="215"/>
      <c r="E150" s="216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326</v>
      </c>
      <c r="B154" s="215"/>
      <c r="C154" s="215"/>
      <c r="D154" s="282"/>
      <c r="E154" s="283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11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209.28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2791.62666666667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232.635555555556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10564.352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74.5769100443727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10638.9289100444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886.577409170364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886.577409170364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908.439903791851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886.577409170364</v>
      </c>
      <c r="B128" s="321" t="n">
        <f aca="false">IF(A105="YES", B89, 0)</f>
        <v>0</v>
      </c>
      <c r="C128" s="326"/>
      <c r="D128" s="321" t="n">
        <f aca="false">B91</f>
        <v>886.577409170364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908.439903791851</v>
      </c>
      <c r="H130" s="177" t="n">
        <f aca="false">IF(G105="YES", H89*H57, 0)</f>
        <v>0</v>
      </c>
      <c r="I130" s="177"/>
      <c r="J130" s="334" t="n">
        <f aca="false">H91</f>
        <v>908.439903791851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886.577409170364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0</v>
      </c>
      <c r="I133" s="221"/>
      <c r="J133" s="184" t="n">
        <f aca="false">H91*H57</f>
        <v>908.439903791851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886.577409170364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886.577409170364</v>
      </c>
      <c r="B137" s="38" t="n">
        <f aca="false">IF(A105="YES", B89, 0)</f>
        <v>0</v>
      </c>
      <c r="C137" s="317"/>
      <c r="D137" s="38" t="n">
        <f aca="false">B91</f>
        <v>886.577409170364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1324.628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209.28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709.27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908.439903791851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886.577409170364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886.577409170364</v>
      </c>
      <c r="B171" s="355" t="n">
        <f aca="false">IF(A105="YES", B89, 0)</f>
        <v>0</v>
      </c>
      <c r="C171" s="358"/>
      <c r="D171" s="355" t="n">
        <f aca="false">B91</f>
        <v>886.577409170364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Monthly in advance</v>
      </c>
      <c r="B174" s="103" t="n">
        <f aca="false">B90*B57</f>
        <v>886.577409170364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886.577409170364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886.577409170364</v>
      </c>
      <c r="B180" s="103" t="n">
        <f aca="false">IF(A105="YES", B89, 0)</f>
        <v>0</v>
      </c>
      <c r="C180" s="353"/>
      <c r="D180" s="103" t="n">
        <f aca="false">B91</f>
        <v>886.577409170364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209.28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709.27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209.28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1595.67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209.28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1595.67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74.5769100443727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8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str">
        <f aca="false">IF(A32=Z101,A41,IF(A32=Z102,A41,IF(A32=Z103,(A41*3),IF(A32=Z104,(A41*6),IF(A32=Z105,(A41*9),IF(A32=Z106,(A41*12),IF(A32=Z107,A41,IF(A32=Z108,A41,IF(A32=Z109,A41,0)))))))))</f>
        <v>70</v>
      </c>
      <c r="E32" s="226"/>
      <c r="F32" s="63"/>
      <c r="G32" s="227" t="s">
        <v>244</v>
      </c>
      <c r="H32" s="225" t="str">
        <f aca="false">A41</f>
        <v>70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570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389</v>
      </c>
      <c r="B41" s="241" t="n">
        <f aca="false">IF(B38="YES", D38+A41, D38)</f>
        <v>570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s">
        <v>350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70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571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840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571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578.85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5378.61666666667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448.218055555556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11390.6166666667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96.4917103670835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11487.1083770338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70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100.8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957.259031419479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957.259031419479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1272.49258941778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957.259031419479</v>
      </c>
      <c r="B128" s="321" t="n">
        <f aca="false">IF(A105="YES", B89, 0)</f>
        <v>0</v>
      </c>
      <c r="C128" s="326"/>
      <c r="D128" s="321" t="n">
        <f aca="false">B91</f>
        <v>957.259031419479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1171.69258941778</v>
      </c>
      <c r="H130" s="177" t="n">
        <f aca="false">IF(G105="YES", H89*H57, 0)</f>
        <v>100.8</v>
      </c>
      <c r="I130" s="177"/>
      <c r="J130" s="334" t="n">
        <f aca="false">H91</f>
        <v>1272.49258941778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957.259031419479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100.8</v>
      </c>
      <c r="I133" s="221"/>
      <c r="J133" s="184" t="n">
        <f aca="false">H91*H57</f>
        <v>1272.49258941778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957.259031419479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957.259031419479</v>
      </c>
      <c r="B137" s="38" t="n">
        <f aca="false">IF(A105="YES", B89, 0)</f>
        <v>0</v>
      </c>
      <c r="C137" s="317"/>
      <c r="D137" s="38" t="n">
        <f aca="false">B91</f>
        <v>957.259031419479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10.08</v>
      </c>
      <c r="H142" s="103" t="n">
        <f aca="false">G102-100</f>
        <v>139.988</v>
      </c>
      <c r="I142" s="103"/>
      <c r="J142" s="103" t="n">
        <f aca="false">(H139+J139+G142+H142)-H145</f>
        <v>1519.493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1272.49258941778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957.259031419479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957.259031419479</v>
      </c>
      <c r="B171" s="355" t="n">
        <f aca="false">IF(A105="YES", B89, 0)</f>
        <v>0</v>
      </c>
      <c r="C171" s="358"/>
      <c r="D171" s="355" t="n">
        <f aca="false">B91</f>
        <v>957.259031419479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Monthly in advance</v>
      </c>
      <c r="B174" s="103" t="n">
        <f aca="false">B90*B57</f>
        <v>957.259031419479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957.259031419479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957.259031419479</v>
      </c>
      <c r="B180" s="103" t="n">
        <f aca="false">IF(A105="YES", B89, 0)</f>
        <v>0</v>
      </c>
      <c r="C180" s="353"/>
      <c r="D180" s="103" t="n">
        <f aca="false">B91</f>
        <v>957.259031419479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578.85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1078.84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578.85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3813.09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578.85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4966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2023-11-24T11:51:20Z</dcterms:modified>
  <cp:revision>895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