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<sst xmlns="http://schemas.openxmlformats.org/spreadsheetml/2006/main" count="33185" uniqueCount="422">
  <si>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</si>
  <si>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</si>
  <si>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</si>
  <si>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</si>
  <si>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</si>
  <si>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</si>
  <si>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</si>
  <si>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</si>
  <si>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</si>
  <si>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</si>
  <si>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</si>
  <si>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</si>
  <si>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</si>
  <si>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</si>
  <si>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</si>
  <si>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</si>
  <si>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</si>
  <si>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</si>
  <si>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</si>
  <si>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</si>
  <si>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</si>
  <si>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</si>
  <si>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</si>
  <si>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</si>
  <si>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</si>
  <si>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</si>
  <si>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</si>
  <si>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</si>
  <si>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</si>
  <si>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</si>
  <si>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</si>
  <si>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</si>
  <si>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</si>
  <si>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</si>
  <si>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</si>
  <si>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</si>
  <si>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</si>
  <si>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</si>
  <si>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</si>
  <si>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</si>
  <si>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</si>
  <si>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</si>
  <si>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</si>
  <si>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</si>
  <si>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</si>
  <si>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</si>
  <si>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</si>
  <si>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</si>
  <si>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</si>
  <si>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</si>
  <si>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</si>
  <si>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</si>
  <si>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</si>
  <si>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</si>
  <si>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</si>
  <si>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</si>
  <si>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</si>
  <si>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</si>
  <si>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</si>
  <si>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</si>
  <si>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</si>
  <si>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</si>
  <si>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</si>
  <si>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</si>
  <si>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</si>
  <si>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</si>
  <si>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</si>
  <si>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</si>
  <si>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</si>
  <si>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</si>
  <si>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</si>
  <si>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</si>
  <si>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</si>
  <si>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</si>
  <si>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</si>
  <si>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</si>
  <si>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</si>
  <si>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</si>
  <si>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</si>
  <si>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</si>
  <si>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</si>
  <si>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</si>
  <si>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</si>
  <si>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</si>
  <si>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</si>
  <si>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</si>
  <si>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</si>
  <si>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</si>
  <si>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</si>
  <si>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</si>
  <si>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</si>
  <si>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</si>
  <si>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</si>
  <si>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</si>
  <si>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</si>
  <si>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</si>
  <si>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</si>
  <si>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</si>
  <si>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</si>
  <si>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</si>
  <si>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</si>
  <si>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</si>
  <si>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</si>
  <si>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</si>
  <si>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</si>
  <si>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</si>
  <si>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</si>
  <si>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</si>
  <si>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</si>
  <si>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</si>
  <si>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</si>
  <si>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</si>
  <si>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</si>
  <si>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</si>
  <si>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</si>
  <si>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</si>
  <si>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</si>
  <si>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</si>
  <si>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</si>
  <si>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</si>
  <si>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</si>
  <si>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</si>
  <si>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</si>
  <si>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</si>
  <si>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</si>
  <si>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</si>
  <si>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</si>
  <si>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</si>
  <si>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</si>
  <si>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</si>
  <si>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</si>
  <si>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</si>
  <si>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</si>
  <si>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</si>
  <si>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</si>
  <si>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</si>
  <si>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</si>
  <si>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</si>
  <si>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</si>
  <si>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</si>
  <si>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</si>
  <si>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</si>
  <si>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</si>
  <si>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</si>
  <si>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</si>
  <si>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</si>
  <si>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</si>
  <si>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</si>
  <si>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</si>
  <si>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</si>
  <si>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</si>
  <si>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</si>
  <si>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</si>
  <si>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</si>
  <si>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</si>
  <si>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</si>
  <si>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</si>
  <si>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</si>
  <si>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</si>
  <si>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</si>
  <si>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</si>
  <si>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</si>
  <si>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</si>
  <si>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</si>
  <si>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</si>
  <si>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</si>
  <si>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</si>
  <si>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</si>
  <si>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</si>
  <si>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</si>
  <si>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</si>
  <si>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</si>
  <si>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</si>
  <si>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</si>
  <si>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</si>
  <si>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</si>
  <si>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</si>
  <si>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</si>
  <si>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</si>
  <si>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</si>
  <si>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</si>
  <si>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</si>
  <si>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</si>
  <si>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</si>
  <si>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</si>
  <si>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</si>
  <si>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</si>
  <si>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</si>
  <si>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</si>
  <si>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</si>
  <si>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</si>
  <si>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</si>
  <si>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</si>
  <si>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</si>
  <si>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</si>
  <si>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</si>
  <si>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</si>
  <si>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</si>
  <si>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</si>
  <si>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</si>
  <si>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</si>
  <si>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</si>
  <si>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</si>
  <si>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</si>
  <si>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</si>
  <si>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</si>
  <si>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</si>
  <si>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</si>
  <si>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</si>
  <si>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</si>
  <si>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</si>
  <si>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</si>
  <si>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</si>
  <si>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</si>
  <si>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</si>
  <si>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</si>
  <si>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</si>
  <si>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</si>
  <si>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</si>
  <si>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</si>
  <si>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</si>
  <si>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</si>
  <si>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</si>
  <si>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</si>
  <si>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</si>
  <si>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</si>
  <si>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</si>
  <si>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</si>
  <si>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</si>
  <si>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</si>
  <si>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</si>
  <si>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</si>
  <si>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</si>
  <si>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</si>
  <si>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</si>
  <si>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</si>
  <si>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</si>
  <si>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</si>
  <si>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</si>
  <si>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</si>
  <si>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</si>
  <si>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</si>
  <si>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</si>
  <si>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</si>
  <si>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</si>
  <si>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</si>
  <si>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</si>
  <si>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</si>
  <si>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</si>
  <si>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</si>
  <si>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</si>
  <si>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</si>
  <si>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</si>
  <si>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</si>
  <si>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</si>
  <si>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</si>
  <si>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</si>
  <si>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</si>
  <si>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</si>
  <si>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</si>
  <si>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</si>
  <si>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</si>
  <si>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</si>
  <si>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</si>
  <si>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</si>
  <si>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</si>
  <si>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</si>
  <si>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</si>
  <si>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</si>
  <si>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</si>
  <si>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</si>
  <si>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</si>
  <si>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</si>
  <si>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</si>
  <si>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</si>
  <si>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</si>
  <si>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</si>
  <si>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</si>
  <si>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</si>
  <si>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</si>
  <si>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</si>
  <si>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</si>
  <si>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</si>
  <si>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</si>
  <si>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</si>
  <si>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</si>
  <si>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</si>
  <si>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</si>
  <si>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</si>
  <si>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</si>
  <si>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</si>
  <si>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</si>
  <si>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</si>
  <si>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</si>
  <si>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</si>
  <si>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</si>
  <si>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</si>
  <si>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</si>
  <si>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</si>
  <si>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</si>
  <si>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</si>
  <si>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</si>
  <si>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</si>
  <si>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</si>
  <si>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</si>
  <si>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</si>
  <si>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</si>
  <si>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</si>
  <si>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</si>
  <si>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</si>
  <si>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</si>
  <si>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</si>
  <si>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</si>
  <si>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</si>
  <si>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</si>
  <si>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</si>
  <si>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</si>
  <si>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</si>
  <si>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</si>
  <si>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</si>
  <si>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</si>
  <si>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</si>
  <si>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</si>
  <si>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</si>
  <si>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</si>
  <si>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</si>
  <si>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</si>
  <si>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</si>
  <si>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</si>
  <si>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</si>
  <si>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</si>
  <si>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</si>
  <si>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</si>
  <si>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</si>
  <si>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</si>
  <si>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</si>
  <si>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</si>
  <si>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</si>
  <si>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</si>
  <si>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</si>
  <si>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</si>
  <si>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</si>
  <si>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</si>
  <si>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</si>
  <si>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</si>
  <si>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</si>
  <si>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</si>
  <si>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</si>
  <si>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</si>
  <si>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</si>
  <si>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</si>
  <si>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</si>
  <si>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</si>
  <si>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</si>
  <si>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</si>
  <si>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</si>
  <si>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</si>
  <si>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</si>
  <si>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</si>
  <si>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</si>
  <si>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</si>
  <si>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</si>
  <si>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</si>
  <si>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</si>
  <si>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</si>
  <si>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</si>
  <si>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</si>
  <si>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</si>
  <si>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</si>
  <si>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</si>
  <si>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</si>
  <si>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</si>
  <si>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</si>
  <si>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</si>
  <si>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</si>
  <si>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</si>
  <si>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</si>
  <si>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</si>
  <si>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</si>
  <si>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</si>
  <si>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</si>
  <si>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</si>
  <si>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</si>
  <si>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</si>
  <si>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5.28</t>
  </si>
  <si>
    <t xml:space="preserve">60</t>
  </si>
  <si>
    <t xml:space="preserve">2</t>
  </si>
  <si>
    <t xml:space="preserve">58535.00</t>
  </si>
  <si>
    <t xml:space="preserve">Yes</t>
  </si>
  <si>
    <t xml:space="preserve">RFL included?</t>
  </si>
  <si>
    <t xml:space="preserve">70</t>
  </si>
  <si>
    <t>1000</t>
  </si>
  <si>
    <t>12</t>
  </si>
  <si>
    <t>500</t>
  </si>
  <si>
    <t>6000</t>
  </si>
  <si>
    <t>20</t>
  </si>
  <si>
    <t>50</t>
  </si>
  <si>
    <t>10</t>
  </si>
  <si>
    <t>YES</t>
  </si>
  <si>
    <t>NO</t>
  </si>
  <si>
    <t>1</t>
  </si>
  <si>
    <t>0</t>
  </si>
  <si>
    <t>60</t>
  </si>
  <si>
    <t>70</t>
  </si>
  <si>
    <t>200</t>
  </si>
  <si>
    <t xml:space="preserve"> Terminal pause with 6 down </t>
  </si>
  <si>
    <t>Yes</t>
  </si>
  <si>
    <t>72000.00</t>
  </si>
  <si>
    <t>33</t>
  </si>
  <si>
    <t>5000</t>
  </si>
  <si>
    <t>0.00</t>
  </si>
  <si>
    <t>74310.00</t>
  </si>
  <si>
    <t>14.24</t>
  </si>
  <si>
    <t>22050.00</t>
  </si>
  <si>
    <t>199.99</t>
  </si>
  <si>
    <t>Limited Credit</t>
  </si>
  <si>
    <t>0.0</t>
  </si>
  <si>
    <t>1030.00</t>
  </si>
  <si>
    <t>36</t>
  </si>
  <si>
    <t>10000</t>
  </si>
  <si>
    <t>58535.00</t>
  </si>
  <si>
    <t>A1 Credit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</si>
</sst>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18375.0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408</v>
      </c>
      <c r="C35" s="223"/>
      <c r="D35" s="223" t="s">
        <v>409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33000.0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23150</v>
      </c>
      <c r="C2" s="4" t="s">
        <v>2</v>
      </c>
      <c r="D2" s="5" t="n">
        <f aca="false">C9</f>
        <v>4630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27780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18375.0</v>
      </c>
      <c r="C9" s="14" t="n">
        <f aca="false">B9*0.2</f>
        <v>4630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23150</v>
      </c>
      <c r="C15" s="14" t="n">
        <f aca="false">SUM(C9:C13)</f>
        <v>4630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27780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23150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350.14518673694</v>
      </c>
      <c r="F33" s="232"/>
      <c r="G33" s="232"/>
      <c r="H33" s="47"/>
      <c r="I33" s="2"/>
      <c r="J33" s="34" t="s">
        <v>356</v>
      </c>
      <c r="K33" s="48" t="n">
        <f aca="false">E21</f>
        <v>23150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350.14518673694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23150</v>
      </c>
      <c r="L39" s="2" t="n">
        <f aca="false">(L47*K46)+K44</f>
        <v>37719.2069181402</v>
      </c>
      <c r="N39" s="1" t="n">
        <f aca="false">K39-L39</f>
        <v>-14569.2069181402</v>
      </c>
      <c r="P39" s="212"/>
    </row>
    <row r="40" customFormat="false" ht="17.35" hidden="false" customHeight="false" outlineLevel="0" collapsed="false">
      <c r="A40" s="107" t="n">
        <f aca="false">E36*A45/100</f>
        <v>15100.0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-14569.2069181402</v>
      </c>
      <c r="N40" s="1" t="n">
        <f aca="false">N38-N39</f>
        <v>17480.8869181402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11339.9646431664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350.14518673694</v>
      </c>
      <c r="L47" s="2" t="n">
        <f aca="false">L49-K42</f>
        <v>800</v>
      </c>
      <c r="M47" s="1" t="n">
        <f aca="false">K47-L47</f>
        <v>-449.85481326306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350.14518673694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350.14518673694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2231.38385370847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350.14518673694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350.14518673694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350.14518673694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350.14518673694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17575</v>
      </c>
      <c r="C82" s="93"/>
      <c r="D82" s="93"/>
      <c r="E82" s="113"/>
      <c r="F82" s="31" t="s">
        <v>106</v>
      </c>
      <c r="G82" s="33" t="n">
        <f aca="false">IF(A111="YES",A40,0)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23150</v>
      </c>
      <c r="C121" s="121" t="n">
        <v>20208.33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27780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27780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27780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23150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23150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4630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27780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27780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-441.669999999997</v>
      </c>
      <c r="I148" s="1" t="n">
        <f aca="false">(H148-G81)/1.2</f>
        <v>-20993.055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-441.669999999997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-441.669999999997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-135.430033333331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19" colorId="64" zoomScale="85" zoomScaleNormal="85" zoomScalePageLayoutView="100" workbookViewId="0">
      <selection pane="topLeft" activeCell="A37" activeCellId="0" sqref="A37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13.0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391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394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395</v>
      </c>
      <c r="B44" s="104" t="s">
        <v>397</v>
      </c>
      <c r="C44" s="104"/>
      <c r="D44" s="104" t="s">
        <v>397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4711.95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392.6625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2096.45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17.7593586123437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2114.20935861234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176.184113217695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241.184113217695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399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176.184113217695</v>
      </c>
      <c r="B134" s="321" t="n">
        <f aca="false">IF(A111="YES", B95, 0)</f>
        <v>65</v>
      </c>
      <c r="C134" s="326"/>
      <c r="D134" s="321" t="n">
        <f aca="false">B97</f>
        <v>241.184113217695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176.184113217695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241.184113217695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176.184113217695</v>
      </c>
      <c r="B143" s="38" t="n">
        <f aca="false">IF(A111="YES", B95, 0)</f>
        <v>65</v>
      </c>
      <c r="C143" s="317"/>
      <c r="D143" s="38" t="n">
        <f aca="false">B97</f>
        <v>241.184113217695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241.184113217695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176.184113217695</v>
      </c>
      <c r="B177" s="355" t="n">
        <f aca="false">IF(A111="YES", B95, 0)</f>
        <v>65</v>
      </c>
      <c r="C177" s="358"/>
      <c r="D177" s="355" t="n">
        <f aca="false">B91</f>
        <v>2096.45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176.184113217695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241.184113217695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176.184113217695</v>
      </c>
      <c r="B186" s="103" t="n">
        <f aca="false">IF(A111="YES", B95, 0)</f>
        <v>65</v>
      </c>
      <c r="C186" s="353"/>
      <c r="D186" s="103" t="n">
        <f aca="false">B97</f>
        <v>241.184113217695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279.99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3753.09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3753.09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17.7593586123437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244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14.24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386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402</v>
      </c>
      <c r="B41" s="241" t="n">
        <f aca="false">IF(B38="YES", D38+A41, D38)</f>
        <v>560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396</v>
      </c>
      <c r="B41" s="241" t="n">
        <f aca="false">IF(B38="YES", D38+A41, D38)</f>
        <v>550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400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408</v>
      </c>
      <c r="C35" s="223"/>
      <c r="D35" s="223" t="s">
        <v>409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416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59031.3444847288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52833.3541842807</v>
      </c>
      <c r="C88" s="93" t="n">
        <f aca="false">B81-B86</f>
        <v>52833.3541842807</v>
      </c>
      <c r="D88" s="93"/>
      <c r="E88" s="113"/>
      <c r="F88" s="31" t="s">
        <v>112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1860.79516855687</v>
      </c>
      <c r="C89" s="93" t="n">
        <f aca="false">(B88/B87)</f>
        <v>1860.79516855687</v>
      </c>
      <c r="D89" s="93"/>
      <c r="E89" s="113"/>
      <c r="F89" s="31" t="s">
        <v>113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59545.4453938197</v>
      </c>
      <c r="C90" s="93"/>
      <c r="D90" s="93"/>
      <c r="E90" s="113"/>
      <c r="F90" s="31" t="s">
        <v>114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59545.4453938197</v>
      </c>
      <c r="C92" s="93"/>
      <c r="D92" s="93"/>
      <c r="E92" s="113"/>
      <c r="F92" s="56" t="s">
        <v>116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1860.79516855687</v>
      </c>
      <c r="C95" s="93"/>
      <c r="D95" s="93"/>
      <c r="E95" s="113"/>
      <c r="F95" s="95" t="s">
        <v>118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1877.79504355687</v>
      </c>
      <c r="C96" s="93"/>
      <c r="D96" s="93"/>
      <c r="E96" s="113"/>
      <c r="F96" s="97" t="s">
        <v>119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415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1860.79516855687</v>
      </c>
      <c r="B167" s="177" t="n">
        <f aca="false">B94</f>
        <v>16.999875</v>
      </c>
      <c r="C167" s="174"/>
      <c r="D167" s="174"/>
      <c r="E167" s="177" t="n">
        <f aca="false">B96</f>
        <v>1877.79504355687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7010.44539381974</v>
      </c>
      <c r="B182" s="103" t="str">
        <f aca="false">B114</f>
        <v>199.99</v>
      </c>
      <c r="C182" s="103"/>
      <c r="D182" s="23"/>
      <c r="E182" s="103" t="n">
        <f aca="false">E179+A182+(B182*1.2)+A185</f>
        <v>65795.4333938197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1877.79504355687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1860.79516855687</v>
      </c>
      <c r="B212" s="177" t="n">
        <f aca="false">B167</f>
        <v>16.999875</v>
      </c>
      <c r="C212" s="174"/>
      <c r="D212" s="174"/>
      <c r="E212" s="177" t="n">
        <f aca="false">E167</f>
        <v>1877.79504355687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7010.44539381974</v>
      </c>
      <c r="B224" s="103" t="str">
        <f aca="false">B182</f>
        <v>199.99</v>
      </c>
      <c r="C224" s="103"/>
      <c r="D224" s="113"/>
      <c r="E224" s="103" t="n">
        <f aca="false">E182</f>
        <v>65795.4333938197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1860.79516855687</v>
      </c>
      <c r="B230" s="103" t="n">
        <f aca="false">B167</f>
        <v>16.999875</v>
      </c>
      <c r="C230" s="186"/>
      <c r="D230" s="186"/>
      <c r="E230" s="103" t="n">
        <f aca="false">E167</f>
        <v>1877.79504355687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2216.24539381974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1767.46976881974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2216.24539381974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1767.46976881974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1030.0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1080.07983828132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1080.07983828132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39749.1981958661</v>
      </c>
      <c r="N39" s="1" t="n">
        <f aca="false">K39-L39</f>
        <v>9138.30180413388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9138.30180413388</v>
      </c>
      <c r="N40" s="1" t="n">
        <f aca="false">N38-N39</f>
        <v>-6226.62180413388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35240.2928941323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1080.07983828132</v>
      </c>
      <c r="L47" s="2" t="n">
        <f aca="false">L49-K42</f>
        <v>800</v>
      </c>
      <c r="M47" s="1" t="n">
        <f aca="false">K47-L47</f>
        <v>280.079838281316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1080.07983828132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1080.07983828132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20820.4244178606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12823.0830818257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-282.176487431614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-282.176487431614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564.516633333333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4341.375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578.85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454.68749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1080.07983828132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1080.07983828132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1080.07983828132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1080.07983828132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67741.996</v>
      </c>
      <c r="C81" s="93"/>
      <c r="D81" s="93"/>
      <c r="E81" s="113"/>
      <c r="F81" s="25" t="s">
        <v>105</v>
      </c>
      <c r="G81" s="27" t="n">
        <f aca="false">G158</f>
        <v>67741.996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52413.4394489359</v>
      </c>
      <c r="C88" s="93"/>
      <c r="D88" s="93"/>
      <c r="E88" s="113"/>
      <c r="F88" s="31" t="s">
        <v>112</v>
      </c>
      <c r="G88" s="33" t="n">
        <f aca="false">G81-G86</f>
        <v>51276.6406267706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31939.3920474456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31939.3920474456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1705.80853131394</v>
      </c>
      <c r="C89" s="93"/>
      <c r="D89" s="93"/>
      <c r="E89" s="113"/>
      <c r="F89" s="31" t="s">
        <v>113</v>
      </c>
      <c r="G89" s="33" t="n">
        <f aca="false">(G88/G87)</f>
        <v>1612.2589663643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1102.87707687702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1102.87707687702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59703.2985959879</v>
      </c>
      <c r="C90" s="93"/>
      <c r="D90" s="93"/>
      <c r="E90" s="113"/>
      <c r="F90" s="31" t="s">
        <v>114</v>
      </c>
      <c r="G90" s="33" t="n">
        <f aca="false">((G89*(G85))+G77)</f>
        <v>56429.0638227505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38600.6976906957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38600.6976906957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59703.2985959879</v>
      </c>
      <c r="C92" s="93"/>
      <c r="D92" s="93"/>
      <c r="E92" s="113"/>
      <c r="F92" s="56" t="s">
        <v>116</v>
      </c>
      <c r="G92" s="65" t="n">
        <f aca="false">(G90+G91)</f>
        <v>56429.0638227505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38600.6976906957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38600.6976906957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1705.80853131394</v>
      </c>
      <c r="C95" s="93"/>
      <c r="D95" s="93"/>
      <c r="E95" s="113"/>
      <c r="F95" s="95" t="s">
        <v>118</v>
      </c>
      <c r="G95" s="96" t="n">
        <f aca="false">G92/(G85)</f>
        <v>1612.2589663643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1102.87707687702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1102.87707687702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1705.80853131394</v>
      </c>
      <c r="C96" s="93"/>
      <c r="D96" s="93"/>
      <c r="E96" s="113"/>
      <c r="F96" s="97" t="s">
        <v>119</v>
      </c>
      <c r="G96" s="98" t="n">
        <f aca="false">G94+G95</f>
        <v>1612.2589663643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1102.87707687702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1102.87707687702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421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1705.80853131394</v>
      </c>
      <c r="B167" s="177" t="str">
        <f aca="false">B94</f>
        <v>0</v>
      </c>
      <c r="C167" s="174"/>
      <c r="D167" s="174"/>
      <c r="E167" s="177" t="n">
        <f aca="false">B96</f>
        <v>1705.80853131394</v>
      </c>
      <c r="F167" s="23"/>
      <c r="G167" s="23" t="n">
        <f aca="false">G95</f>
        <v>1612.2589663643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1102.87707687702</v>
      </c>
      <c r="T167" s="177" t="n">
        <f aca="false">T94</f>
        <v>0</v>
      </c>
      <c r="U167" s="174"/>
      <c r="V167" s="174"/>
      <c r="W167" s="177" t="n">
        <f aca="false">T96</f>
        <v>1102.87707687702</v>
      </c>
      <c r="X167" s="23"/>
      <c r="Y167" s="23"/>
      <c r="Z167" s="33"/>
      <c r="AB167" s="176" t="n">
        <f aca="false">AC95</f>
        <v>1102.87707687702</v>
      </c>
      <c r="AC167" s="177" t="n">
        <f aca="false">AC94</f>
        <v>0</v>
      </c>
      <c r="AD167" s="174"/>
      <c r="AE167" s="174"/>
      <c r="AF167" s="177" t="n">
        <f aca="false">AC96</f>
        <v>1102.87707687702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11961.3025959879</v>
      </c>
      <c r="B182" s="103" t="str">
        <f aca="false">B114</f>
        <v>199.99</v>
      </c>
      <c r="C182" s="103"/>
      <c r="D182" s="23"/>
      <c r="E182" s="103" t="n">
        <f aca="false">E179+A182+(B182*1.2)+A185</f>
        <v>79953.2865959879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13131.9486906957</v>
      </c>
      <c r="T182" s="103" t="n">
        <f aca="false">T114</f>
        <v>199.99</v>
      </c>
      <c r="U182" s="103"/>
      <c r="V182" s="23"/>
      <c r="W182" s="103" t="n">
        <f aca="false">W179+S182+T182+S185</f>
        <v>58810.6876906958</v>
      </c>
      <c r="X182" s="23"/>
      <c r="Y182" s="23"/>
      <c r="Z182" s="105"/>
      <c r="AB182" s="111" t="n">
        <f aca="false">(AB167*AC59)+AF185-AF179-AB185</f>
        <v>13131.9486906957</v>
      </c>
      <c r="AC182" s="103" t="n">
        <f aca="false">AC114</f>
        <v>239.99</v>
      </c>
      <c r="AD182" s="103"/>
      <c r="AE182" s="23"/>
      <c r="AF182" s="103" t="n">
        <f aca="false">AF179+AB182+AC182+AB185</f>
        <v>58850.6876906957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564.516633333333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378.906241666667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378.906241666667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664.506633333333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1478.89624166667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1518.89624166667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1705.80853131394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1102.87707687702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1102.87707687702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8687.06782275053</v>
      </c>
      <c r="B201" s="186" t="n">
        <f aca="false">E179+A201+(B182*1.2)+A185</f>
        <v>76679.0518227505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1705.80853131394</v>
      </c>
      <c r="B212" s="177" t="str">
        <f aca="false">B167</f>
        <v>0</v>
      </c>
      <c r="C212" s="174"/>
      <c r="D212" s="174"/>
      <c r="E212" s="177" t="n">
        <f aca="false">E167</f>
        <v>1705.80853131394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11961.3025959879</v>
      </c>
      <c r="B224" s="103" t="str">
        <f aca="false">B182</f>
        <v>199.99</v>
      </c>
      <c r="C224" s="103"/>
      <c r="D224" s="113"/>
      <c r="E224" s="103" t="n">
        <f aca="false">E182</f>
        <v>79953.2865959879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1705.80853131394</v>
      </c>
      <c r="B230" s="103" t="str">
        <f aca="false">B167</f>
        <v>0</v>
      </c>
      <c r="C230" s="186"/>
      <c r="D230" s="186"/>
      <c r="E230" s="103" t="n">
        <f aca="false">E167</f>
        <v>1705.80853131394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564.516633333333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10420.3366333333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3284.2347732374</v>
      </c>
      <c r="C254" s="197"/>
      <c r="D254" s="198" t="s">
        <v>216</v>
      </c>
      <c r="E254" s="198"/>
      <c r="F254" s="200" t="n">
        <f aca="false">F261+F267+F269+B270+B271</f>
        <v>677.41996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2706.8048132374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3284.2347732374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677.41996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2706.8048132374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616.403057245105</v>
      </c>
      <c r="F33" s="232"/>
      <c r="G33" s="232"/>
      <c r="H33" s="47"/>
      <c r="I33" s="2"/>
      <c r="J33" s="34" t="s">
        <v>356</v>
      </c>
      <c r="K33" s="48" t="n">
        <f aca="false">H21-H11+(H16*20%)</f>
        <v>21611.67</v>
      </c>
      <c r="L33" s="1" t="n">
        <f aca="false">H21-H11+(H16*20%)</f>
        <v>21611.67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566.273057245104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21611.67</v>
      </c>
      <c r="L39" s="2" t="n">
        <f aca="false">(L47*K46)+K44</f>
        <v>27450.8277595291</v>
      </c>
      <c r="N39" s="1" t="n">
        <f aca="false">K39-L39</f>
        <v>-5839.15775952915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-5839.15775952915</v>
      </c>
      <c r="N40" s="1" t="n">
        <f aca="false">N38-N39</f>
        <v>8750.83775952915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18009.8735121061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566.273057245104</v>
      </c>
      <c r="L47" s="2" t="n">
        <f aca="false">L49-K42</f>
        <v>749.87</v>
      </c>
      <c r="M47" s="1" t="n">
        <f aca="false">K47-L47</f>
        <v>-183.596942754896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616.403057245105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616.403057245105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25640.004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25640.004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25640.004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9788.53095194232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31081.2649617922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8107.06209418189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1022.69481951427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245.922669444444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1896.2919625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251.0583725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204.878424583333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566.273057245104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566.273057245104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616.403057245105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616.403057245105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30138.608</v>
      </c>
      <c r="C81" s="93"/>
      <c r="D81" s="93"/>
      <c r="E81" s="113"/>
      <c r="F81" s="25" t="s">
        <v>105</v>
      </c>
      <c r="G81" s="27" t="n">
        <f aca="false">G158</f>
        <v>30138.608</v>
      </c>
      <c r="H81" s="33"/>
      <c r="J81" s="25" t="s">
        <v>105</v>
      </c>
      <c r="K81" s="27" t="n">
        <f aca="false">P158</f>
        <v>37425.008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26815.4915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20923.754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26085.0191218103</v>
      </c>
      <c r="C88" s="93"/>
      <c r="D88" s="93"/>
      <c r="E88" s="113"/>
      <c r="F88" s="31" t="s">
        <v>112</v>
      </c>
      <c r="G88" s="33" t="n">
        <f aca="false">G81-G86</f>
        <v>25793.040537356</v>
      </c>
      <c r="H88" s="33"/>
      <c r="J88" s="31" t="s">
        <v>112</v>
      </c>
      <c r="K88" s="33" t="n">
        <f aca="false">K81-K86</f>
        <v>37425.008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23225.2652364373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17333.5277364373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870.826116338852</v>
      </c>
      <c r="C89" s="93"/>
      <c r="D89" s="93"/>
      <c r="E89" s="113"/>
      <c r="F89" s="31" t="s">
        <v>113</v>
      </c>
      <c r="G89" s="33" t="n">
        <f aca="false">(G88/G87)</f>
        <v>832.664941753864</v>
      </c>
      <c r="H89" s="33"/>
      <c r="J89" s="31" t="s">
        <v>113</v>
      </c>
      <c r="K89" s="33" t="n">
        <f aca="false">(K88/K87)</f>
        <v>1497.0829989815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821.371149934134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613.007406561557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29608.087955521</v>
      </c>
      <c r="C90" s="93"/>
      <c r="D90" s="93"/>
      <c r="E90" s="113"/>
      <c r="F90" s="31" t="s">
        <v>114</v>
      </c>
      <c r="G90" s="33" t="n">
        <f aca="false">((G89*(G85))+G77)</f>
        <v>28310.6080196314</v>
      </c>
      <c r="H90" s="33"/>
      <c r="J90" s="31" t="s">
        <v>114</v>
      </c>
      <c r="K90" s="33" t="n">
        <f aca="false">((K89*(K85))+K77)</f>
        <v>52397.9049643524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27926.6190977605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20842.2518230929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29608.087955521</v>
      </c>
      <c r="C92" s="93"/>
      <c r="D92" s="93"/>
      <c r="E92" s="113"/>
      <c r="F92" s="56" t="s">
        <v>116</v>
      </c>
      <c r="G92" s="65" t="n">
        <f aca="false">(G90+G91)</f>
        <v>28310.6080196314</v>
      </c>
      <c r="H92" s="33"/>
      <c r="J92" s="56" t="s">
        <v>116</v>
      </c>
      <c r="K92" s="65" t="n">
        <f aca="false">(K90+K91)</f>
        <v>52397.9049643524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27926.6190977605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20842.2518230929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870.826116338852</v>
      </c>
      <c r="C95" s="93"/>
      <c r="D95" s="93"/>
      <c r="E95" s="113"/>
      <c r="F95" s="95" t="s">
        <v>118</v>
      </c>
      <c r="G95" s="96" t="n">
        <f aca="false">G92/(G85)</f>
        <v>832.664941753864</v>
      </c>
      <c r="H95" s="33"/>
      <c r="J95" s="95" t="s">
        <v>118</v>
      </c>
      <c r="K95" s="96" t="n">
        <f aca="false">K92/(K85)</f>
        <v>1497.0829989815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821.371149934134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613.007406561557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932.751410456499</v>
      </c>
      <c r="C96" s="93"/>
      <c r="D96" s="93"/>
      <c r="E96" s="113"/>
      <c r="F96" s="97" t="s">
        <v>119</v>
      </c>
      <c r="G96" s="98" t="n">
        <f aca="false">G94+G95</f>
        <v>894.590235871511</v>
      </c>
      <c r="H96" s="33"/>
      <c r="J96" s="97" t="s">
        <v>119</v>
      </c>
      <c r="K96" s="98" t="n">
        <f aca="false">(K94+K95)</f>
        <v>1575.2857989815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883.296444051781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687.317759502733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25" t="s">
        <v>149</v>
      </c>
      <c r="K121" s="120" t="n">
        <f aca="false">B3</f>
        <v>19837.5</v>
      </c>
      <c r="L121" s="121" t="n">
        <v>28629.17</v>
      </c>
      <c r="M121" s="120" t="n">
        <f aca="false">D3</f>
        <v>479.17</v>
      </c>
      <c r="N121" s="121" t="n">
        <f aca="false">M121</f>
        <v>479.17</v>
      </c>
      <c r="O121" s="120" t="n">
        <f aca="false">F3</f>
        <v>500</v>
      </c>
      <c r="P121" s="121" t="n">
        <f aca="false">O121</f>
        <v>500</v>
      </c>
      <c r="Q121" s="122" t="n">
        <f aca="false">H3</f>
        <v>0</v>
      </c>
      <c r="S121" s="25" t="s">
        <v>149</v>
      </c>
      <c r="T121" s="120" t="n">
        <f aca="false">B3</f>
        <v>19837.5</v>
      </c>
      <c r="U121" s="121" t="n">
        <f aca="false">T121</f>
        <v>19837.5</v>
      </c>
      <c r="V121" s="120" t="n">
        <f aca="false">D3</f>
        <v>479.17</v>
      </c>
      <c r="W121" s="121" t="n">
        <f aca="false">V121</f>
        <v>479.17</v>
      </c>
      <c r="X121" s="120" t="n">
        <f aca="false">F3</f>
        <v>500</v>
      </c>
      <c r="Y121" s="121" t="n">
        <f aca="false">X121</f>
        <v>500</v>
      </c>
      <c r="Z121" s="122" t="n">
        <f aca="false">H3</f>
        <v>0</v>
      </c>
      <c r="AB121" s="25" t="s">
        <v>149</v>
      </c>
      <c r="AC121" s="120" t="n">
        <f aca="false">B3</f>
        <v>19837.5</v>
      </c>
      <c r="AD121" s="121" t="n">
        <f aca="false">AC121</f>
        <v>19837.5</v>
      </c>
      <c r="AE121" s="120" t="n">
        <f aca="false">D3</f>
        <v>479.17</v>
      </c>
      <c r="AF121" s="121" t="n">
        <f aca="false">AE121</f>
        <v>479.17</v>
      </c>
      <c r="AG121" s="120" t="n">
        <f aca="false">F3</f>
        <v>500</v>
      </c>
      <c r="AH121" s="121" t="n">
        <f aca="false">AG121</f>
        <v>500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49.59375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4959.375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19837.5</v>
      </c>
      <c r="C125" s="133" t="n">
        <f aca="false">C121-C124</f>
        <v>23382.17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56" t="s">
        <v>153</v>
      </c>
      <c r="K125" s="132" t="n">
        <f aca="false">K121-K124</f>
        <v>19837.5</v>
      </c>
      <c r="L125" s="133" t="n">
        <f aca="false">L121-L124</f>
        <v>28629.17</v>
      </c>
      <c r="M125" s="132" t="n">
        <f aca="false">M121-M124</f>
        <v>479.17</v>
      </c>
      <c r="N125" s="133" t="n">
        <f aca="false">N121-N124</f>
        <v>479.17</v>
      </c>
      <c r="O125" s="132" t="n">
        <f aca="false">O121-O124</f>
        <v>500</v>
      </c>
      <c r="P125" s="133" t="n">
        <f aca="false">P121-P124</f>
        <v>500</v>
      </c>
      <c r="Q125" s="65"/>
      <c r="S125" s="56" t="s">
        <v>153</v>
      </c>
      <c r="T125" s="132" t="n">
        <f aca="false">T121-T124</f>
        <v>19837.5</v>
      </c>
      <c r="U125" s="133" t="n">
        <f aca="false">U121-U124</f>
        <v>19787.90625</v>
      </c>
      <c r="V125" s="132" t="n">
        <f aca="false">V121-V124</f>
        <v>479.17</v>
      </c>
      <c r="W125" s="133" t="n">
        <f aca="false">W121-W124</f>
        <v>479.17</v>
      </c>
      <c r="X125" s="132" t="n">
        <f aca="false">X121-X124</f>
        <v>500</v>
      </c>
      <c r="Y125" s="133" t="n">
        <f aca="false">Y121-Y124</f>
        <v>500</v>
      </c>
      <c r="Z125" s="65"/>
      <c r="AB125" s="56" t="s">
        <v>153</v>
      </c>
      <c r="AC125" s="132" t="n">
        <f aca="false">AC121-AC124</f>
        <v>19837.5</v>
      </c>
      <c r="AD125" s="133" t="n">
        <f aca="false">AD121-AD124</f>
        <v>14878.125</v>
      </c>
      <c r="AE125" s="132" t="n">
        <f aca="false">AE121-AE124</f>
        <v>479.17</v>
      </c>
      <c r="AF125" s="133" t="n">
        <f aca="false">AF121-AF124</f>
        <v>479.17</v>
      </c>
      <c r="AG125" s="132" t="n">
        <f aca="false">AG121-AG124</f>
        <v>500</v>
      </c>
      <c r="AH125" s="133" t="n">
        <f aca="false">AH121-AH124</f>
        <v>500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24361.34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20816.67</v>
      </c>
      <c r="Q135" s="153" t="n">
        <f aca="false">L125+N125+P125+Q128</f>
        <v>29608.34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20816.67</v>
      </c>
      <c r="Z135" s="153" t="n">
        <f aca="false">U125+W125+Y125+Z128</f>
        <v>20767.07625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20816.67</v>
      </c>
      <c r="AI135" s="153" t="n">
        <f aca="false">AD125+AF125+AH125+AI128</f>
        <v>15857.295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4982.268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4273.334</v>
      </c>
      <c r="Q137" s="33" t="n">
        <f aca="false">(Q135+Q136)*20%</f>
        <v>6031.668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4273.334</v>
      </c>
      <c r="Z137" s="33" t="n">
        <f aca="false">(Z135+Z136)*20%</f>
        <v>4263.41525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4273.334</v>
      </c>
      <c r="AI137" s="33" t="n">
        <f aca="false">(AI135+AI136)*20%</f>
        <v>3281.459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180</v>
      </c>
      <c r="Q139" s="33" t="n">
        <f aca="false">P139</f>
        <v>180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180</v>
      </c>
      <c r="Z139" s="33" t="n">
        <f aca="false">Y139</f>
        <v>180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180</v>
      </c>
      <c r="AI139" s="33" t="n">
        <f aca="false">AH139</f>
        <v>180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30138.608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25885.004</v>
      </c>
      <c r="Q141" s="157" t="n">
        <f aca="false">(Q135+Q136+Q139+Q140+Q137)-Q138</f>
        <v>36425.008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25885.004</v>
      </c>
      <c r="Z141" s="157" t="n">
        <f aca="false">(Z135+Z136+Z139+Z140+Z137)-Z138</f>
        <v>25815.4915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25885.004</v>
      </c>
      <c r="AI141" s="157" t="n">
        <f aca="false">(AI135+AI136+AI139+AI140+AI137)-AI138</f>
        <v>19923.754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30138.608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25885.004</v>
      </c>
      <c r="Q147" s="164" t="n">
        <f aca="false">Q141-((Q144*1.2)+(Q145*1.2)+(Q146*1.2)+(Q142*1.2))</f>
        <v>36425.008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25885.004</v>
      </c>
      <c r="Z147" s="164" t="n">
        <f aca="false">Z141-((Z144*1.2)+(Z145*1.2)+(Z146*1.2)+(Z142*1.2))</f>
        <v>25815.4915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25885.004</v>
      </c>
      <c r="AI147" s="164" t="n">
        <f aca="false">AI141-((AI144*1.2)+(AI145*1.2)+(AI146*1.2)+(AI142*1.2))</f>
        <v>19923.754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-22161.615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10540.004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-69.5125000000007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-5961.25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30138.608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37425.008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26815.4915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20923.754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870.826116338852</v>
      </c>
      <c r="B167" s="177" t="n">
        <f aca="false">B94</f>
        <v>61.9252941176471</v>
      </c>
      <c r="C167" s="174"/>
      <c r="D167" s="174"/>
      <c r="E167" s="177" t="n">
        <f aca="false">B96</f>
        <v>932.751410456499</v>
      </c>
      <c r="F167" s="23"/>
      <c r="G167" s="23" t="n">
        <f aca="false">G95</f>
        <v>832.664941753864</v>
      </c>
      <c r="H167" s="33"/>
      <c r="J167" s="176" t="n">
        <f aca="false">K95</f>
        <v>1497.0829989815</v>
      </c>
      <c r="K167" s="177" t="n">
        <f aca="false">K94</f>
        <v>78.2028</v>
      </c>
      <c r="L167" s="174"/>
      <c r="M167" s="174"/>
      <c r="N167" s="177" t="n">
        <f aca="false">K96</f>
        <v>1575.2857989815</v>
      </c>
      <c r="O167" s="23"/>
      <c r="P167" s="23"/>
      <c r="Q167" s="33"/>
      <c r="S167" s="176" t="n">
        <f aca="false">T95</f>
        <v>821.371149934134</v>
      </c>
      <c r="T167" s="177" t="n">
        <f aca="false">T94</f>
        <v>61.9252941176471</v>
      </c>
      <c r="U167" s="174"/>
      <c r="V167" s="174"/>
      <c r="W167" s="177" t="n">
        <f aca="false">T96</f>
        <v>883.296444051781</v>
      </c>
      <c r="X167" s="23"/>
      <c r="Y167" s="23"/>
      <c r="Z167" s="33"/>
      <c r="AB167" s="176" t="n">
        <f aca="false">AC95</f>
        <v>613.007406561557</v>
      </c>
      <c r="AC167" s="177" t="n">
        <f aca="false">AC94</f>
        <v>74.3103529411765</v>
      </c>
      <c r="AD167" s="174"/>
      <c r="AE167" s="174"/>
      <c r="AF167" s="177" t="n">
        <f aca="false">AC96</f>
        <v>687.317759502733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24911.34</v>
      </c>
      <c r="B173" s="103" t="n">
        <f aca="false">H137</f>
        <v>4982.268</v>
      </c>
      <c r="C173" s="186"/>
      <c r="D173" s="23"/>
      <c r="E173" s="182" t="n">
        <f aca="false">H139+H140</f>
        <v>245</v>
      </c>
      <c r="F173" s="23"/>
      <c r="G173" s="23"/>
      <c r="H173" s="33"/>
      <c r="J173" s="185" t="n">
        <f aca="false">Q141-Q137-Q139-Q140</f>
        <v>30158.34</v>
      </c>
      <c r="K173" s="103" t="n">
        <f aca="false">Q137</f>
        <v>6031.668</v>
      </c>
      <c r="L173" s="186"/>
      <c r="M173" s="23"/>
      <c r="N173" s="182" t="n">
        <f aca="false">Q139+Q140</f>
        <v>235</v>
      </c>
      <c r="O173" s="23"/>
      <c r="P173" s="23"/>
      <c r="Q173" s="33"/>
      <c r="S173" s="185" t="n">
        <f aca="false">Z141-Z137-Z139-Z140</f>
        <v>21317.07625</v>
      </c>
      <c r="T173" s="103" t="n">
        <f aca="false">Z137</f>
        <v>4263.41525</v>
      </c>
      <c r="U173" s="186"/>
      <c r="V173" s="23"/>
      <c r="W173" s="182" t="n">
        <f aca="false">Z139+Z140</f>
        <v>235</v>
      </c>
      <c r="X173" s="23"/>
      <c r="Y173" s="23"/>
      <c r="Z173" s="33"/>
      <c r="AB173" s="185" t="n">
        <f aca="false">AI141-AI137-AI139-AI140</f>
        <v>16407.295</v>
      </c>
      <c r="AC173" s="103" t="n">
        <f aca="false">AI137</f>
        <v>3281.459</v>
      </c>
      <c r="AD173" s="186"/>
      <c r="AE173" s="23"/>
      <c r="AF173" s="182" t="n">
        <f aca="false">AI139+AI140</f>
        <v>235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30138.608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36425.008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25815.4915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19923.754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30138.608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37425.008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26815.4915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20923.754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4719.47995552099</v>
      </c>
      <c r="B182" s="103" t="str">
        <f aca="false">B114</f>
        <v>199.99</v>
      </c>
      <c r="C182" s="103"/>
      <c r="D182" s="23"/>
      <c r="E182" s="103" t="n">
        <f aca="false">E179+A182+(B182*1.2)+A185</f>
        <v>35108.075955521</v>
      </c>
      <c r="F182" s="23"/>
      <c r="G182" s="23"/>
      <c r="H182" s="105"/>
      <c r="J182" s="111" t="n">
        <f aca="false">(J167*K59)+N185-N179-J185</f>
        <v>18725.8139653709</v>
      </c>
      <c r="K182" s="103" t="n">
        <f aca="false">K114</f>
        <v>239.99</v>
      </c>
      <c r="L182" s="103"/>
      <c r="M182" s="23"/>
      <c r="N182" s="103" t="n">
        <f aca="false">N179+J182+K182+J185</f>
        <v>56410.8119653709</v>
      </c>
      <c r="O182" s="23"/>
      <c r="P182" s="23"/>
      <c r="Q182" s="105"/>
      <c r="S182" s="111" t="n">
        <f aca="false">(S167*T59)+W185-W179-S185</f>
        <v>6361.12759776055</v>
      </c>
      <c r="T182" s="103" t="n">
        <f aca="false">T114</f>
        <v>199.99</v>
      </c>
      <c r="U182" s="103"/>
      <c r="V182" s="23"/>
      <c r="W182" s="103" t="n">
        <f aca="false">W179+S182+T182+S185</f>
        <v>33386.6090977605</v>
      </c>
      <c r="X182" s="23"/>
      <c r="Y182" s="23"/>
      <c r="Z182" s="105"/>
      <c r="AB182" s="111" t="n">
        <f aca="false">(AB167*AC59)+AF185-AF179-AB185</f>
        <v>5168.49782309293</v>
      </c>
      <c r="AC182" s="103" t="n">
        <f aca="false">AC114</f>
        <v>239.99</v>
      </c>
      <c r="AD182" s="103"/>
      <c r="AE182" s="23"/>
      <c r="AF182" s="103" t="n">
        <f aca="false">AF179+AB182+AC182+AB185</f>
        <v>26342.2418230929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5.1280008</v>
      </c>
      <c r="B188" s="103" t="n">
        <f aca="false">(G158*B67)/1.2</f>
        <v>245.922669444444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0.051770008</v>
      </c>
      <c r="K188" s="103" t="n">
        <f aca="false">(P158*K67)/1.2</f>
        <v>2306.57601388889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218.806961892361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170.732020486111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381.003669444444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3499.20251388889</v>
      </c>
      <c r="L191" s="93"/>
      <c r="M191" s="93"/>
      <c r="N191" s="103" t="n">
        <f aca="false">Q148</f>
        <v>10540.004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1353.88796189236</v>
      </c>
      <c r="U191" s="93"/>
      <c r="V191" s="93"/>
      <c r="W191" s="103" t="n">
        <f aca="false">Z148</f>
        <v>-69.5125000000007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1345.81302048611</v>
      </c>
      <c r="AD191" s="93"/>
      <c r="AE191" s="93"/>
      <c r="AF191" s="103" t="n">
        <f aca="false">AI148</f>
        <v>-5961.25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932.751410456499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1575.2857989815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883.296444051781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687.317759502733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3422.00001963139</v>
      </c>
      <c r="B201" s="186" t="n">
        <f aca="false">E179+A201+(B182*1.2)+A185</f>
        <v>33810.5960196314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870.826116338852</v>
      </c>
      <c r="B212" s="177" t="n">
        <f aca="false">B167</f>
        <v>61.9252941176471</v>
      </c>
      <c r="C212" s="174"/>
      <c r="D212" s="174"/>
      <c r="E212" s="177" t="n">
        <f aca="false">E167</f>
        <v>932.751410456499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24911.34</v>
      </c>
      <c r="B215" s="103" t="n">
        <f aca="false">B173</f>
        <v>4982.268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30138.608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30138.608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4719.47995552099</v>
      </c>
      <c r="B224" s="103" t="str">
        <f aca="false">B182</f>
        <v>199.99</v>
      </c>
      <c r="C224" s="103"/>
      <c r="D224" s="113"/>
      <c r="E224" s="103" t="n">
        <f aca="false">E182</f>
        <v>35108.075955521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870.826116338852</v>
      </c>
      <c r="B230" s="103" t="n">
        <f aca="false">B167</f>
        <v>61.9252941176471</v>
      </c>
      <c r="C230" s="186"/>
      <c r="D230" s="186"/>
      <c r="E230" s="103" t="n">
        <f aca="false">E167</f>
        <v>932.751410456499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15.3840024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5.1280008</v>
      </c>
      <c r="B236" s="103" t="n">
        <f aca="false">E233+A236</f>
        <v>20.5120032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245.922669444444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3925.67366944444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1307.4799358896</v>
      </c>
      <c r="C254" s="197"/>
      <c r="D254" s="198" t="s">
        <v>216</v>
      </c>
      <c r="E254" s="198"/>
      <c r="F254" s="200" t="n">
        <f aca="false">F261+F267+F269+B270+B271</f>
        <v>295.107203333333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1463.27273255626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1307.4799358896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295.107203333333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1463.27273255626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58415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16475.0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926.291376084132</v>
      </c>
      <c r="E33" s="216"/>
      <c r="F33" s="63"/>
      <c r="G33" s="219" t="s">
        <v>356</v>
      </c>
      <c r="H33" s="460" t="n">
        <f aca="false">E21-E11+((E16*20%)+(E19*20%)+(E20*20%))</f>
        <v>48787.5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897.680264973021</v>
      </c>
      <c r="B36" s="103" t="n">
        <f aca="false">IF(B26="YES", H42, "")</f>
        <v>28.6111111111111</v>
      </c>
      <c r="C36" s="221"/>
      <c r="D36" s="184" t="n">
        <f aca="false">H31</f>
        <v>28575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48787.5</v>
      </c>
      <c r="I39" s="238" t="n">
        <f aca="false">(I48*H46)+H44</f>
        <v>64243.4228508843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28575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A40/1.2</f>
        <v>23812.5</v>
      </c>
      <c r="I40" s="238" t="n">
        <f aca="false">H39-I39</f>
        <v>-15455.9228508843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19498.4471525085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29289.0528474915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897.680264973021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926.291376084132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926.291376084132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1157.7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897.680264973021</v>
      </c>
      <c r="C83" s="473"/>
      <c r="D83" s="215"/>
      <c r="E83" s="466" t="n">
        <f aca="false">B83+E80+E77+E64</f>
        <v>1239.5629810224</v>
      </c>
      <c r="F83" s="63"/>
      <c r="G83" s="305" t="s">
        <v>104</v>
      </c>
      <c r="H83" s="306" t="n">
        <f aca="false">H47</f>
        <v>897.680264973021</v>
      </c>
      <c r="I83" s="215"/>
      <c r="J83" s="215"/>
      <c r="K83" s="216"/>
      <c r="L83" s="63"/>
      <c r="M83" s="305" t="s">
        <v>104</v>
      </c>
      <c r="N83" s="306" t="n">
        <f aca="false">H47</f>
        <v>897.680264973021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44846.4895390288</v>
      </c>
      <c r="C85" s="473"/>
      <c r="D85" s="473"/>
      <c r="E85" s="466" t="n">
        <f aca="false">B85/(B58+B57)</f>
        <v>1245.73582052858</v>
      </c>
      <c r="F85" s="63"/>
      <c r="G85" s="288" t="s">
        <v>114</v>
      </c>
      <c r="H85" s="131" t="n">
        <f aca="false">((H83*H29)+H81)*1.2</f>
        <v>47352.1974468345</v>
      </c>
      <c r="I85" s="215"/>
      <c r="J85" s="215"/>
      <c r="K85" s="216"/>
      <c r="L85" s="63"/>
      <c r="M85" s="288" t="s">
        <v>114</v>
      </c>
      <c r="N85" s="131" t="n">
        <f aca="false">((N83*H29)+N81)</f>
        <v>39116.4145390288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379.9016862927</v>
      </c>
      <c r="C86" s="473" t="s">
        <v>230</v>
      </c>
      <c r="D86" s="215"/>
      <c r="E86" s="466" t="n">
        <f aca="false">B86/(B58+B57)</f>
        <v>10.5528246192417</v>
      </c>
      <c r="F86" s="63"/>
      <c r="G86" s="214" t="s">
        <v>115</v>
      </c>
      <c r="H86" s="300" t="n">
        <f aca="false">((((H83*H29)+H81))/(1-H70))*H70</f>
        <v>334.273277660187</v>
      </c>
      <c r="I86" s="215"/>
      <c r="J86" s="215"/>
      <c r="K86" s="216"/>
      <c r="L86" s="63"/>
      <c r="M86" s="214" t="s">
        <v>115</v>
      </c>
      <c r="N86" s="300" t="n">
        <f aca="false">(N85/(1-N70))*N70</f>
        <v>331.361317192257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45226.3912253215</v>
      </c>
      <c r="C87" s="473"/>
      <c r="D87" s="475"/>
      <c r="E87" s="466" t="n">
        <f aca="false">E86+E85</f>
        <v>1256.28864514782</v>
      </c>
      <c r="F87" s="63"/>
      <c r="G87" s="285" t="s">
        <v>116</v>
      </c>
      <c r="H87" s="133" t="n">
        <f aca="false">IF(H110="YES",((H85+H86)-K114),(H85+H86))</f>
        <v>47686.4707244947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39447.775856221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35.3142857142857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1277.89689215204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1163.08465181694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962.140874541976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1313.21117786633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1199.26026157304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992.287216005391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1163.08465181694</v>
      </c>
      <c r="H127" s="177" t="n">
        <f aca="false">IF(G105="YES", H89*H57, 0)</f>
        <v>217.053658536585</v>
      </c>
      <c r="I127" s="177"/>
      <c r="J127" s="334" t="n">
        <f aca="false">H91</f>
        <v>1199.26026157304</v>
      </c>
      <c r="K127" s="216"/>
      <c r="L127" s="63"/>
      <c r="M127" s="333" t="n">
        <f aca="false">N90</f>
        <v>962.140874541976</v>
      </c>
      <c r="N127" s="177" t="n">
        <f aca="false">IF(M105="YES", N89*N57, 0)</f>
        <v>180.878048780488</v>
      </c>
      <c r="O127" s="177"/>
      <c r="P127" s="177" t="n">
        <f aca="false">N91</f>
        <v>992.287216005391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1277.89689215204</v>
      </c>
      <c r="B128" s="321" t="n">
        <f aca="false">IF(A105="YES", B89, 0)</f>
        <v>35.3142857142857</v>
      </c>
      <c r="C128" s="325"/>
      <c r="D128" s="321" t="n">
        <f aca="false">B91</f>
        <v>1313.21117786633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1277.89689215204</v>
      </c>
      <c r="C131" s="317"/>
      <c r="D131" s="38" t="n">
        <f aca="false">IF(A105="YES", B89*B57, 0)</f>
        <v>35.3142857142857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6978.50791090166</v>
      </c>
      <c r="H133" s="103" t="n">
        <f aca="false">IF(G105="YES", H89*H57, 0)</f>
        <v>217.053658536585</v>
      </c>
      <c r="I133" s="221"/>
      <c r="J133" s="184" t="n">
        <f aca="false">H91*H57</f>
        <v>7195.56156943825</v>
      </c>
      <c r="K133" s="216"/>
      <c r="L133" s="63"/>
      <c r="M133" s="185" t="n">
        <f aca="false">N90*N57</f>
        <v>5772.84524725186</v>
      </c>
      <c r="N133" s="103" t="n">
        <f aca="false">IF(M105="YES", N89*N57, 0)</f>
        <v>180.878048780488</v>
      </c>
      <c r="O133" s="221"/>
      <c r="P133" s="184" t="n">
        <f aca="false">N91*N57</f>
        <v>5953.72329603234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1313.21117786633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1277.89689215204</v>
      </c>
      <c r="B137" s="38" t="n">
        <f aca="false">IF(A105="YES", B89, 0)</f>
        <v>35.3142857142857</v>
      </c>
      <c r="C137" s="317"/>
      <c r="D137" s="38" t="n">
        <f aca="false">B91</f>
        <v>1313.21117786633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1085.34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1085.34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1157.7</v>
      </c>
      <c r="B148" s="103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1678.29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1199.26026157304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992.287216005391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1313.21117786633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1277.89689215204</v>
      </c>
      <c r="B177" s="355" t="n">
        <f aca="false">IF(A105="YES", B89, 0)</f>
        <v>35.3142857142857</v>
      </c>
      <c r="C177" s="357"/>
      <c r="D177" s="355" t="n">
        <f aca="false">B91</f>
        <v>1313.21117786633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1277.89689215204</v>
      </c>
      <c r="C180" s="353"/>
      <c r="D180" s="103" t="n">
        <f aca="false">IF(A105="YES", B89*B57, 0)</f>
        <v>35.3142857142857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1313.21117786633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1277.89689215204</v>
      </c>
      <c r="B186" s="103" t="n">
        <f aca="false">IF(A105="YES", B89, 0)</f>
        <v>35.3142857142857</v>
      </c>
      <c r="C186" s="353"/>
      <c r="D186" s="103" t="n">
        <f aca="false">B91</f>
        <v>1313.21117786633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1157.7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1678.29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1157.7</v>
      </c>
      <c r="C211" s="320" t="s">
        <v>217</v>
      </c>
      <c r="D211" s="370" t="n">
        <f aca="false">B225+E221+B221+B223</f>
        <v>545.99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9388.29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1157.7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9388.29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379.9016862927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389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570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s">
        <v>400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399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399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2024-01-03T18:59:16Z</dcterms:modified>
  <cp:revision>896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