
<file path=[Content_Types].xml><?xml version="1.0" encoding="utf-8"?>
<Types xmlns="http://schemas.openxmlformats.org/package/2006/content-types">
  <Default ContentType="image/jpeg" Extension="jpeg"/>
  <Default ContentType="image/png" Extension="png"/>
  <Default ContentType="application/vnd.openxmlformats-package.relationships+xml" Extension="rels"/>
  <Default ContentType="application/xml" Extension="xml"/>
  <Override ContentType="application/vnd.openxmlformats-package.relationships+xml" PartName="/_rels/.rels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custom-properties+xml" PartName="/docProps/custom.xml"/>
  <Override ContentType="application/vnd.openxmlformats-package.relationships+xml" PartName="/xl/_rels/workbook.xml.rels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Relationship Id="rId4" Target="docProps/custom.xml" Type="http://schemas.openxmlformats.org/officeDocument/2006/relationships/custom-properties"/>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46"/>
  </bookViews>
  <sheets>
    <sheet name="CP(F2)-PCP_Used_LCV" sheetId="1" state="visible" r:id="rId2"/>
    <sheet name="CP(F2)-CP_Used_LCV" sheetId="2" state="visible" r:id="rId3"/>
    <sheet name="HPNR(F3)-PCP_Used_LCV" sheetId="3" state="visible" r:id="rId4"/>
    <sheet name="HPNR(F3)-CP_Used_LCV" sheetId="4" state="visible" r:id="rId5"/>
    <sheet name="HPNR(F3)-HPR_Used_LCV" sheetId="5" state="visible" r:id="rId6"/>
    <sheet name="HPNR(F3)-HPNR_Used_LCV" sheetId="6" state="visible" r:id="rId7"/>
    <sheet name="BCH-F3-PCH_Used_LCV" sheetId="7" state="visible" r:id="rId8"/>
    <sheet name="BCH-F3-BCH_Used_LCV" sheetId="8" state="visible" r:id="rId9"/>
    <sheet name="CP(F3)-PCH_Used_LCV" sheetId="9" state="visible" r:id="rId10"/>
    <sheet name="CP(F3)-BCH_Used_LCV" sheetId="10" state="visible" r:id="rId11"/>
    <sheet name="FL(F3)-FL_Used_LCV" sheetId="11" state="visible" r:id="rId12"/>
    <sheet name="FL(F3)-PCH_Used_LCV" sheetId="12" state="visible" r:id="rId13"/>
    <sheet name="FL(F3)-BCH_Used_LCV" sheetId="13" state="visible" r:id="rId14"/>
    <sheet name="HPNR (F3)-FL_Used_LCV" sheetId="14" state="visible" r:id="rId15"/>
    <sheet name="HPNR (F3)-PCH_Used_LCV" sheetId="15" state="visible" r:id="rId16"/>
    <sheet name="HPNR (F3)-BCH_Used_LCV" sheetId="16" state="visible" r:id="rId17"/>
    <sheet name="PCP_used_LCV" sheetId="17" state="visible" r:id="rId18"/>
    <sheet name="CP_used_LCV" sheetId="18" state="visible" r:id="rId19"/>
    <sheet name="HPR_used_LCV" sheetId="19" state="visible" r:id="rId20"/>
    <sheet name="HPNR_used_LCV" sheetId="20" state="visible" r:id="rId21"/>
    <sheet name="Formula1-FL_Used_LCV" sheetId="21" state="visible" r:id="rId22"/>
    <sheet name="Formula1-PCH_Used_LCV" sheetId="22" state="visible" r:id="rId23"/>
    <sheet name="Formula1-BCH_Used_LCV" sheetId="23" state="visible" r:id="rId24"/>
    <sheet name="CP(F2)-PCP_Used_car" sheetId="24" state="visible" r:id="rId25"/>
    <sheet name="CP(F2)-CP_Used_car" sheetId="25" state="visible" r:id="rId26"/>
    <sheet name="HPNR(F3)-PCP_Used_car" sheetId="26" state="visible" r:id="rId27"/>
    <sheet name="HPNR(F3)-CP_Used_car" sheetId="27" state="visible" r:id="rId28"/>
    <sheet name="HPNR(F3)-HPR_Used_car" sheetId="28" state="visible" r:id="rId29"/>
    <sheet name="HPNR(F3)-HPNR_Used_car" sheetId="29" state="visible" r:id="rId30"/>
    <sheet name="CP(F3)-PCH_Used_car" sheetId="30" state="visible" r:id="rId31"/>
    <sheet name="CP(F3)-BCH_Used_car" sheetId="31" state="visible" r:id="rId32"/>
    <sheet name="FL(F3)-FL_Used_car" sheetId="32" state="visible" r:id="rId33"/>
    <sheet name="FL(F3)-PCH_Used_car" sheetId="33" state="visible" r:id="rId34"/>
    <sheet name="FL(F3)-BCH_Used_car" sheetId="34" state="visible" r:id="rId35"/>
    <sheet name="HPNR (F3)-FL_Used_car" sheetId="35" state="visible" r:id="rId36"/>
    <sheet name="HPNR (F3)-PCH_Used_car" sheetId="36" state="visible" r:id="rId37"/>
    <sheet name="HPNR (F3)-BCH_Used_car" sheetId="37" state="visible" r:id="rId38"/>
    <sheet name="PCP_used_car" sheetId="38" state="visible" r:id="rId39"/>
    <sheet name="CP_used_car" sheetId="39" state="visible" r:id="rId40"/>
    <sheet name="HPR_used_car" sheetId="40" state="visible" r:id="rId41"/>
    <sheet name="HPNR_used_car" sheetId="41" state="visible" r:id="rId42"/>
    <sheet name="BCH-F3-PCH_Used_car" sheetId="42" state="visible" r:id="rId43"/>
    <sheet name="BCH-F3-BCH_Used_car" sheetId="43" state="visible" r:id="rId44"/>
    <sheet name="Formula1-FL_Used_car" sheetId="44" state="visible" r:id="rId45"/>
    <sheet name="Formula1-PCH_Used_car" sheetId="45" state="visible" r:id="rId46"/>
    <sheet name="CP (Formula 3) - PCH" sheetId="46" state="visible" r:id="rId47"/>
    <sheet name="CP (Formula 3) - BCH" sheetId="47" state="visible" r:id="rId48"/>
    <sheet name="CP (Formula 2) - CP" sheetId="48" state="visible" r:id="rId49"/>
    <sheet name="CP (Formula 2) - PCP" sheetId="49" state="visible" r:id="rId50"/>
    <sheet name="Formula1-BCH_Used_car" sheetId="50" state="visible" r:id="rId51"/>
    <sheet name="HPNR (Formula 3) - PCP" sheetId="51" state="visible" r:id="rId52"/>
    <sheet name="HPNR (Formula 3) - CP" sheetId="52" state="visible" r:id="rId53"/>
    <sheet name="HPNR (Formula 3) - HPR" sheetId="53" state="visible" r:id="rId54"/>
    <sheet name="HPNR (Formula 3) - FL" sheetId="54" state="visible" r:id="rId55"/>
    <sheet name="HPNR (Formula 3) - PCH" sheetId="55" state="visible" r:id="rId56"/>
    <sheet name="HPNR (Formula 3) - BCH" sheetId="56" state="visible" r:id="rId57"/>
    <sheet name="FL (Formula 3) - FL" sheetId="57" state="visible" r:id="rId58"/>
    <sheet name="FL (Formula 3) - PCH" sheetId="58" state="visible" r:id="rId59"/>
    <sheet name="FL (Formula 3) - BCH" sheetId="59" state="visible" r:id="rId60"/>
    <sheet name="HPNR (Formula 3) - HPNR" sheetId="60" state="visible" r:id="rId61"/>
    <sheet name="HirePurchaseNonRegulated" sheetId="61" state="visible" r:id="rId62"/>
    <sheet name="HirePurchaseRegulated" sheetId="62" state="visible" r:id="rId63"/>
    <sheet name="PersonalContractPurchase" sheetId="63" state="visible" r:id="rId64"/>
    <sheet name="ContractPurchase" sheetId="64" state="visible" r:id="rId65"/>
    <sheet name="Formula1-FL" sheetId="65" state="visible" r:id="rId66"/>
    <sheet name="Formula1-PCH" sheetId="66" state="visible" r:id="rId67"/>
    <sheet name="Formula1-BCH" sheetId="67" state="visible" r:id="rId68"/>
    <sheet name="FL (Formula 3) - BCH, PCH, FL" sheetId="68" state="visible" r:id="rId69"/>
    <sheet name="BCH (Formula 3) - PCH" sheetId="69" state="visible" r:id="rId70"/>
    <sheet name="BCH (Formula 3) - BCH" sheetId="70" state="visible" r:id="rId71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<sst xmlns="http://schemas.openxmlformats.org/spreadsheetml/2006/main" count="32791" uniqueCount="418">
  <si>
    <t xml:space="preserve">Calculations</t>
  </si>
  <si>
    <t xml:space="preserve">Cost price ex. VAT &amp; RFL </t>
  </si>
  <si>
    <t xml:space="preserve">VAT </t>
  </si>
  <si>
    <t xml:space="preserve">RFL &amp; FRF </t>
  </si>
  <si>
    <t xml:space="preserve"> </t>
  </si>
  <si>
    <t xml:space="preserve">Cost OTR price </t>
  </si>
  <si>
    <t xml:space="preserve">OTR component </t>
  </si>
  <si>
    <t xml:space="preserve">Cost price</t>
  </si>
  <si>
    <t xml:space="preserve">Vehicle cost price </t>
  </si>
  <si>
    <t xml:space="preserve">Options and preparation cost </t>
  </si>
  <si>
    <t xml:space="preserve">RFL </t>
  </si>
  <si>
    <t xml:space="preserve">Target OTR</t>
  </si>
  <si>
    <t xml:space="preserve">OTR price </t>
  </si>
  <si>
    <t xml:space="preserve">Buying group</t>
  </si>
  <si>
    <t xml:space="preserve">P11D</t>
  </si>
  <si>
    <t xml:space="preserve">Dealer</t>
  </si>
  <si>
    <t xml:space="preserve">Manufacturer</t>
  </si>
  <si>
    <t xml:space="preserve">OTR for invoice </t>
  </si>
  <si>
    <t xml:space="preserve">YES</t>
  </si>
  <si>
    <t xml:space="preserve">NO</t>
  </si>
  <si>
    <t xml:space="preserve">                  </t>
  </si>
  <si>
    <t xml:space="preserve">Holding cost - formula - 2</t>
  </si>
  <si>
    <t xml:space="preserve">      Funder information</t>
  </si>
  <si>
    <t xml:space="preserve">Payment profile</t>
  </si>
  <si>
    <t xml:space="preserve">Monthly Advance</t>
  </si>
  <si>
    <t xml:space="preserve">Number of Monthly Advance</t>
  </si>
  <si>
    <t xml:space="preserve">Monthly advance</t>
  </si>
  <si>
    <t xml:space="preserve">Advance payment in Value</t>
  </si>
  <si>
    <t xml:space="preserve">Duration</t>
  </si>
  <si>
    <t xml:space="preserve">Funder</t>
  </si>
  <si>
    <t xml:space="preserve">Quote reference</t>
  </si>
  <si>
    <t xml:space="preserve">Quote expiry date</t>
  </si>
  <si>
    <t xml:space="preserve">Mileage</t>
  </si>
  <si>
    <t xml:space="preserve">sadasa</t>
  </si>
  <si>
    <t xml:space="preserve">dsfsfds</t>
  </si>
  <si>
    <t xml:space="preserve">Residual Value</t>
  </si>
  <si>
    <t xml:space="preserve">Maintenance Cost (SMR) Annual Value</t>
  </si>
  <si>
    <t xml:space="preserve">TOTAL CASH PRICE</t>
  </si>
  <si>
    <t xml:space="preserve">23125.00</t>
  </si>
  <si>
    <t xml:space="preserve">Term</t>
  </si>
  <si>
    <t xml:space="preserve">Miles per annum</t>
  </si>
  <si>
    <t xml:space="preserve">Contract mileage</t>
  </si>
  <si>
    <t xml:space="preserve">12</t>
  </si>
  <si>
    <t xml:space="preserve">5000</t>
  </si>
  <si>
    <t xml:space="preserve">CASH DEPOSIT</t>
  </si>
  <si>
    <t xml:space="preserve">1000</t>
  </si>
  <si>
    <t xml:space="preserve">Interest Rate (annual)</t>
  </si>
  <si>
    <t xml:space="preserve">Total cash price</t>
  </si>
  <si>
    <t xml:space="preserve">Cash deposit</t>
  </si>
  <si>
    <t xml:space="preserve">Balance to finance</t>
  </si>
  <si>
    <t xml:space="preserve">Subsequence term</t>
  </si>
  <si>
    <t xml:space="preserve">BALANCE TO FINANCE</t>
  </si>
  <si>
    <t xml:space="preserve">Calculation</t>
  </si>
  <si>
    <t xml:space="preserve">Document fee</t>
  </si>
  <si>
    <t xml:space="preserve">Number of monthly payments</t>
  </si>
  <si>
    <t xml:space="preserve">Monthly payment</t>
  </si>
  <si>
    <t xml:space="preserve">funderQuouteMonthlyPayment</t>
  </si>
  <si>
    <t xml:space="preserve">500</t>
  </si>
  <si>
    <t xml:space="preserve">vat</t>
  </si>
  <si>
    <t xml:space="preserve">maintenanceCost</t>
  </si>
  <si>
    <t xml:space="preserve">Optional final payment</t>
  </si>
  <si>
    <t xml:space="preserve">Option to purchase fee</t>
  </si>
  <si>
    <t xml:space="preserve">Maintenance included</t>
  </si>
  <si>
    <t xml:space="preserve">optionalFinalPayment</t>
  </si>
  <si>
    <t xml:space="preserve">fundingContractPeriod</t>
  </si>
  <si>
    <t xml:space="preserve">vatElement</t>
  </si>
  <si>
    <t xml:space="preserve">Monthly maint. Payment</t>
  </si>
  <si>
    <t xml:space="preserve">Pence per excess mile - finance</t>
  </si>
  <si>
    <t xml:space="preserve">Pence per excess mile - maint</t>
  </si>
  <si>
    <t xml:space="preserve">Holding Cost</t>
  </si>
  <si>
    <t xml:space="preserve">rfl</t>
  </si>
  <si>
    <t xml:space="preserve">DocumentTermCal</t>
  </si>
  <si>
    <t xml:space="preserve">Pence per excess mile - total</t>
  </si>
  <si>
    <t xml:space="preserve">Option to Purchase fee</t>
  </si>
  <si>
    <t xml:space="preserve">monthlyHoldingCost</t>
  </si>
  <si>
    <t xml:space="preserve">monthlyFinanceCost</t>
  </si>
  <si>
    <t xml:space="preserve">% CAP residual value used</t>
  </si>
  <si>
    <t xml:space="preserve">% CAP maintenance cost used</t>
  </si>
  <si>
    <t xml:space="preserve">Total Cap Maint. Value</t>
  </si>
  <si>
    <t xml:space="preserve">108.00</t>
  </si>
  <si>
    <t xml:space="preserve">Total Maint value</t>
  </si>
  <si>
    <t xml:space="preserve">    Own book holding cost matrix</t>
  </si>
  <si>
    <t xml:space="preserve">Term (months)</t>
  </si>
  <si>
    <t xml:space="preserve">Mileage per annum</t>
  </si>
  <si>
    <t xml:space="preserve">Advance</t>
  </si>
  <si>
    <t xml:space="preserve">Subsequent monthly rentals</t>
  </si>
  <si>
    <t xml:space="preserve">Options to purchase fee</t>
  </si>
  <si>
    <t xml:space="preserve">Period Supplement</t>
  </si>
  <si>
    <t xml:space="preserve">Base Rate</t>
  </si>
  <si>
    <t xml:space="preserve">Rate Over Base Rate</t>
  </si>
  <si>
    <t xml:space="preserve">Default Margin</t>
  </si>
  <si>
    <t xml:space="preserve">Minimum Margin (%) for broker Vrb</t>
  </si>
  <si>
    <t xml:space="preserve">Margin Required (%) for broker vrb</t>
  </si>
  <si>
    <t xml:space="preserve">Default VRB Paid to Broker</t>
  </si>
  <si>
    <t xml:space="preserve">contingency insurance multiplier (holding cost)</t>
  </si>
  <si>
    <t xml:space="preserve">Insurance Premium Tax</t>
  </si>
  <si>
    <t xml:space="preserve">contingency insurance multiplier (Customer cost)</t>
  </si>
  <si>
    <t xml:space="preserve">Tracker Cost EX VAT</t>
  </si>
  <si>
    <t xml:space="preserve">Tracker subs per month EX VAT</t>
  </si>
  <si>
    <t xml:space="preserve">Tracker subs Total EX VAT</t>
  </si>
  <si>
    <t xml:space="preserve">Disposal Costs</t>
  </si>
  <si>
    <t xml:space="preserve">Delivery and collection EX VAT</t>
  </si>
  <si>
    <t xml:space="preserve">Total Additional Cost</t>
  </si>
  <si>
    <t xml:space="preserve">Monthly additioanl cost</t>
  </si>
  <si>
    <t xml:space="preserve">Holding cost</t>
  </si>
  <si>
    <t xml:space="preserve">Advance(Balance To finanace)</t>
  </si>
  <si>
    <t xml:space="preserve">Residual</t>
  </si>
  <si>
    <t xml:space="preserve">Annual Interest Rate</t>
  </si>
  <si>
    <t xml:space="preserve">R</t>
  </si>
  <si>
    <t xml:space="preserve">Subsequent Rentals (n)</t>
  </si>
  <si>
    <t xml:space="preserve">Step 1</t>
  </si>
  <si>
    <t xml:space="preserve">Step 2</t>
  </si>
  <si>
    <t xml:space="preserve">Step 3</t>
  </si>
  <si>
    <t xml:space="preserve">Monthly rental </t>
  </si>
  <si>
    <t xml:space="preserve">Total exc. contingency insurance</t>
  </si>
  <si>
    <t xml:space="preserve">Insurance</t>
  </si>
  <si>
    <t xml:space="preserve">Total inc. contingency insurance</t>
  </si>
  <si>
    <t xml:space="preserve">Monthly maintenance rental</t>
  </si>
  <si>
    <t xml:space="preserve">Monthly finance rental</t>
  </si>
  <si>
    <t xml:space="preserve">Total monthly rental (Ex. VAT)</t>
  </si>
  <si>
    <t xml:space="preserve">Hire purchase - NON Regulated</t>
  </si>
  <si>
    <t xml:space="preserve">Hire purchase - Regulated</t>
  </si>
  <si>
    <t xml:space="preserve">Contract purchase</t>
  </si>
  <si>
    <t xml:space="preserve">Personal contract purchase</t>
  </si>
  <si>
    <t xml:space="preserve">       Own book customer quote</t>
  </si>
  <si>
    <t xml:space="preserve">Contract type</t>
  </si>
  <si>
    <t xml:space="preserve">Maintenance include</t>
  </si>
  <si>
    <t xml:space="preserve">Hire purchase - NON regulated</t>
  </si>
  <si>
    <t xml:space="preserve"> Monthly in advance </t>
  </si>
  <si>
    <t xml:space="preserve">Maintenance margin %</t>
  </si>
  <si>
    <t xml:space="preserve">Credit type</t>
  </si>
  <si>
    <t xml:space="preserve">APR</t>
  </si>
  <si>
    <t xml:space="preserve">Limited Cedit</t>
  </si>
  <si>
    <t xml:space="preserve">Limited credit</t>
  </si>
  <si>
    <t xml:space="preserve">A1  Crdit</t>
  </si>
  <si>
    <t xml:space="preserve">Included balloon payment</t>
  </si>
  <si>
    <t xml:space="preserve">Order deposit</t>
  </si>
  <si>
    <t xml:space="preserve">Finance deposit</t>
  </si>
  <si>
    <t xml:space="preserve">Total deposit</t>
  </si>
  <si>
    <t xml:space="preserve">Document fee (Ex. VAT)</t>
  </si>
  <si>
    <t xml:space="preserve">Initial payment</t>
  </si>
  <si>
    <t xml:space="preserve">239.99</t>
  </si>
  <si>
    <t xml:space="preserve">       Sales price</t>
  </si>
  <si>
    <t xml:space="preserve">Vehicle</t>
  </si>
  <si>
    <t xml:space="preserve">Paint</t>
  </si>
  <si>
    <t xml:space="preserve">Options</t>
  </si>
  <si>
    <t xml:space="preserve">Accessories</t>
  </si>
  <si>
    <t xml:space="preserve">OTR price</t>
  </si>
  <si>
    <t xml:space="preserve">Sales price</t>
  </si>
  <si>
    <t xml:space="preserve">Basic list price</t>
  </si>
  <si>
    <t xml:space="preserve">Discount (%)</t>
  </si>
  <si>
    <t xml:space="preserve">Additional discount</t>
  </si>
  <si>
    <t xml:space="preserve">Discount total</t>
  </si>
  <si>
    <t xml:space="preserve">After discount price</t>
  </si>
  <si>
    <t xml:space="preserve">Accessories list price</t>
  </si>
  <si>
    <t xml:space="preserve">Accessories name</t>
  </si>
  <si>
    <t xml:space="preserve">Listing price</t>
  </si>
  <si>
    <t xml:space="preserve">Discount in %</t>
  </si>
  <si>
    <t xml:space="preserve">Accessories1</t>
  </si>
  <si>
    <t xml:space="preserve">Accessories2</t>
  </si>
  <si>
    <t xml:space="preserve">Accessories3</t>
  </si>
  <si>
    <t xml:space="preserve">Subtotal after discounts         </t>
  </si>
  <si>
    <t xml:space="preserve">Manufacturer delivery charges           </t>
  </si>
  <si>
    <t xml:space="preserve">VAT           </t>
  </si>
  <si>
    <t xml:space="preserve">Grant           </t>
  </si>
  <si>
    <t xml:space="preserve">Road tax for first year           </t>
  </si>
  <si>
    <t xml:space="preserve">First registration fee           </t>
  </si>
  <si>
    <t xml:space="preserve">On the road price for invoice           </t>
  </si>
  <si>
    <t xml:space="preserve">Rebate           </t>
  </si>
  <si>
    <t xml:space="preserve">Other support           </t>
  </si>
  <si>
    <t xml:space="preserve">Remarks</t>
  </si>
  <si>
    <t xml:space="preserve">On the road price for calculation           </t>
  </si>
  <si>
    <t xml:space="preserve">Sales profit          </t>
  </si>
  <si>
    <t xml:space="preserve">       Part exchange</t>
  </si>
  <si>
    <t xml:space="preserve">Part exchange</t>
  </si>
  <si>
    <t xml:space="preserve">Less finance settlement</t>
  </si>
  <si>
    <t xml:space="preserve">Net part exchange allowance</t>
  </si>
  <si>
    <t xml:space="preserve">Part exchange profit</t>
  </si>
  <si>
    <t xml:space="preserve">Deposit required</t>
  </si>
  <si>
    <t xml:space="preserve">Balance to finanace</t>
  </si>
  <si>
    <t xml:space="preserve">       Summary</t>
  </si>
  <si>
    <t xml:space="preserve">Target rental</t>
  </si>
  <si>
    <t xml:space="preserve">Monthly finance payment</t>
  </si>
  <si>
    <t xml:space="preserve">Monthly maintenance payment</t>
  </si>
  <si>
    <t xml:space="preserve">Total monthly payment</t>
  </si>
  <si>
    <t xml:space="preserve">Monthly Finance Payment</t>
  </si>
  <si>
    <t xml:space="preserve">Balloon</t>
  </si>
  <si>
    <t xml:space="preserve">Basic cash price</t>
  </si>
  <si>
    <t xml:space="preserve">VAT</t>
  </si>
  <si>
    <t xml:space="preserve">NON - VAT</t>
  </si>
  <si>
    <t xml:space="preserve">Total Cash price</t>
  </si>
  <si>
    <t xml:space="preserve">Finanace charges</t>
  </si>
  <si>
    <t xml:space="preserve">Balance payable</t>
  </si>
  <si>
    <t xml:space="preserve">Options to puchase fee</t>
  </si>
  <si>
    <t xml:space="preserve">Initial cash payment</t>
  </si>
  <si>
    <t xml:space="preserve">Final payment (inc. Option to puchase fee</t>
  </si>
  <si>
    <t xml:space="preserve">Pence per excess mile - Maintenance</t>
  </si>
  <si>
    <t xml:space="preserve">Default comission</t>
  </si>
  <si>
    <t xml:space="preserve">Maintenance comission</t>
  </si>
  <si>
    <t xml:space="preserve">Document fee comission </t>
  </si>
  <si>
    <t xml:space="preserve">Total comission</t>
  </si>
  <si>
    <t xml:space="preserve">Vehicle profit</t>
  </si>
  <si>
    <t xml:space="preserve">     Own book holding cost matrix</t>
  </si>
  <si>
    <t xml:space="preserve">Holding Finance Charges</t>
  </si>
  <si>
    <t xml:space="preserve">Holding Balance Payable</t>
  </si>
  <si>
    <t xml:space="preserve">Contract Purchase</t>
  </si>
  <si>
    <t xml:space="preserve">Followed by</t>
  </si>
  <si>
    <t xml:space="preserve">Guaranteed future value</t>
  </si>
  <si>
    <t xml:space="preserve">Final payment (inc. option to purchase fee)</t>
  </si>
  <si>
    <t xml:space="preserve">Pence per excess mile - maint.</t>
  </si>
  <si>
    <t xml:space="preserve">       Commission due</t>
  </si>
  <si>
    <t xml:space="preserve">Vehicle comm.</t>
  </si>
  <si>
    <t xml:space="preserve">        Configuration</t>
  </si>
  <si>
    <t xml:space="preserve">Base interest rate</t>
  </si>
  <si>
    <t xml:space="preserve">Customer interest rate</t>
  </si>
  <si>
    <t xml:space="preserve">Finance margin</t>
  </si>
  <si>
    <t xml:space="preserve">Deductions</t>
  </si>
  <si>
    <t xml:space="preserve">Additional margin</t>
  </si>
  <si>
    <t xml:space="preserve">Total margin</t>
  </si>
  <si>
    <t xml:space="preserve">Customer rate over base</t>
  </si>
  <si>
    <t xml:space="preserve">Period supplement</t>
  </si>
  <si>
    <t xml:space="preserve">Default broker margin</t>
  </si>
  <si>
    <t xml:space="preserve">Maint. Margin</t>
  </si>
  <si>
    <t xml:space="preserve">Document fee margin</t>
  </si>
  <si>
    <t xml:space="preserve">       Additional items</t>
  </si>
  <si>
    <t xml:space="preserve">Tracker cost</t>
  </si>
  <si>
    <t xml:space="preserve">Tracker subs per month</t>
  </si>
  <si>
    <t xml:space="preserve">Total tracker cost</t>
  </si>
  <si>
    <t xml:space="preserve">Contingency insurance multiplier</t>
  </si>
  <si>
    <t xml:space="preserve">Insurance tax</t>
  </si>
  <si>
    <t xml:space="preserve">Contingency insurance value</t>
  </si>
  <si>
    <t xml:space="preserve">Disposal cost</t>
  </si>
  <si>
    <t xml:space="preserve">Delivery &amp; collection cost</t>
  </si>
  <si>
    <t xml:space="preserve">50</t>
  </si>
  <si>
    <t xml:space="preserve">162.00</t>
  </si>
  <si>
    <t xml:space="preserve">Limited Credit</t>
  </si>
  <si>
    <t xml:space="preserve">199.99</t>
  </si>
  <si>
    <t xml:space="preserve">Holding cost - formula - 3</t>
  </si>
  <si>
    <t xml:space="preserve">       Funder information</t>
  </si>
  <si>
    <t xml:space="preserve">Quote expiry date </t>
  </si>
  <si>
    <t xml:space="preserve">Test</t>
  </si>
  <si>
    <t xml:space="preserve">Initial finance rental(Ex. VAT)</t>
  </si>
  <si>
    <t xml:space="preserve">Initial maintenance rental (Ex. VAT)</t>
  </si>
  <si>
    <t xml:space="preserve">Finance Rental Monthly</t>
  </si>
  <si>
    <t xml:space="preserve">Maintenance monthly</t>
  </si>
  <si>
    <t xml:space="preserve">19458.33</t>
  </si>
  <si>
    <t xml:space="preserve">Total initial rental (Ex. VAT)</t>
  </si>
  <si>
    <t xml:space="preserve">Term (months) </t>
  </si>
  <si>
    <t xml:space="preserve">Document Fee</t>
  </si>
  <si>
    <t xml:space="preserve">33</t>
  </si>
  <si>
    <t xml:space="preserve">0.00</t>
  </si>
  <si>
    <t xml:space="preserve">Maintenance</t>
  </si>
  <si>
    <t xml:space="preserve">Monthly finance rental(Ex. VAT)</t>
  </si>
  <si>
    <t xml:space="preserve">Monthly maintenance rental (Ex. VAT)</t>
  </si>
  <si>
    <t xml:space="preserve">Final balloon payment (Ex. VAT)</t>
  </si>
  <si>
    <t xml:space="preserve">Pence per excess mile - finance (Ex. VAT)</t>
  </si>
  <si>
    <t xml:space="preserve">Pence per excess mile - maintenance (Ex. VAT)</t>
  </si>
  <si>
    <t xml:space="preserve">Monthly Fianance Cost</t>
  </si>
  <si>
    <t xml:space="preserve">Maintenanace Cost</t>
  </si>
  <si>
    <t xml:space="preserve">Holding Cost (Monthly)</t>
  </si>
  <si>
    <t xml:space="preserve">Pence per excess mile - total (Ex. VAT)</t>
  </si>
  <si>
    <t xml:space="preserve">Percentage of sale proceed to customer</t>
  </si>
  <si>
    <t xml:space="preserve">Secondary hire period rental (Ex. VAT)</t>
  </si>
  <si>
    <t xml:space="preserve">Fianance Cost</t>
  </si>
  <si>
    <t xml:space="preserve"> Spread rentals initial payment </t>
  </si>
  <si>
    <t xml:space="preserve"> Spread rentals with 3 down </t>
  </si>
  <si>
    <t xml:space="preserve"> Spread rentals with 6 down </t>
  </si>
  <si>
    <t xml:space="preserve"> Spread rentals with 9 down </t>
  </si>
  <si>
    <t xml:space="preserve"> Spread rentals with 12 down </t>
  </si>
  <si>
    <t xml:space="preserve"> Terminal pause with 3 down </t>
  </si>
  <si>
    <t xml:space="preserve"> Terminal Pause with 6 down </t>
  </si>
  <si>
    <t xml:space="preserve"> Terminal Pause with 9 down </t>
  </si>
  <si>
    <t xml:space="preserve">Hire purchase – Regulated</t>
  </si>
  <si>
    <t xml:space="preserve">A1 Credit</t>
  </si>
  <si>
    <t xml:space="preserve">Hire Purchase Non-Regulated</t>
  </si>
  <si>
    <t xml:space="preserve">Upload document</t>
  </si>
  <si>
    <t xml:space="preserve">`</t>
  </si>
  <si>
    <t xml:space="preserve">otr   </t>
  </si>
  <si>
    <t xml:space="preserve">Minimum Margin (%)</t>
  </si>
  <si>
    <t xml:space="preserve">Margin Required (%)</t>
  </si>
  <si>
    <t xml:space="preserve">Additional RFL Per annum</t>
  </si>
  <si>
    <t xml:space="preserve">Additional RFL Premium Vehicle (Over £40k) Per annum</t>
  </si>
  <si>
    <t xml:space="preserve">Additional RFL Total</t>
  </si>
  <si>
    <t xml:space="preserve">Upsell</t>
  </si>
  <si>
    <t xml:space="preserve">Refferal commision</t>
  </si>
  <si>
    <t xml:space="preserve">Customer Quote - Personal Contract Hire</t>
  </si>
  <si>
    <t xml:space="preserve">Order deposit (No VAT)</t>
  </si>
  <si>
    <t xml:space="preserve">Business Contract Hire</t>
  </si>
  <si>
    <t xml:space="preserve"> Terminal pause with 9 down </t>
  </si>
  <si>
    <t xml:space="preserve">Document fee (Inc. VAT)</t>
  </si>
  <si>
    <t xml:space="preserve">Upsell (Ex. VAT)</t>
  </si>
  <si>
    <t xml:space="preserve">Referral commission (Ex. VAT)</t>
  </si>
  <si>
    <t xml:space="preserve">200</t>
  </si>
  <si>
    <t xml:space="preserve">        Part exchange</t>
  </si>
  <si>
    <t xml:space="preserve">Add part exchange to montly rental</t>
  </si>
  <si>
    <t xml:space="preserve">Balance due</t>
  </si>
  <si>
    <t xml:space="preserve">        Summary</t>
  </si>
  <si>
    <t xml:space="preserve">Monthly maint. rental</t>
  </si>
  <si>
    <t xml:space="preserve">Total monthly rental</t>
  </si>
  <si>
    <t xml:space="preserve">Monthly finance rental (In. VAT)</t>
  </si>
  <si>
    <t xml:space="preserve">Monthly maintenance rental (In. VAT)</t>
  </si>
  <si>
    <t xml:space="preserve">Total monthly rental (In. VAT)</t>
  </si>
  <si>
    <t xml:space="preserve">Initial finance rental</t>
  </si>
  <si>
    <t xml:space="preserve">Initial maint. rental</t>
  </si>
  <si>
    <t xml:space="preserve">Initial finance rental (In. VAT)</t>
  </si>
  <si>
    <t xml:space="preserve">Initial maintenance rental (In. VAT)</t>
  </si>
  <si>
    <t xml:space="preserve">Total initial rental (In. VAT)</t>
  </si>
  <si>
    <t xml:space="preserve">Total initial rental</t>
  </si>
  <si>
    <t xml:space="preserve">Part exchange value</t>
  </si>
  <si>
    <t xml:space="preserve">Pence per excess mile - finance (In. VAT)</t>
  </si>
  <si>
    <t xml:space="preserve">Pence per excess mile - maintenance (In. VAT)</t>
  </si>
  <si>
    <t xml:space="preserve">Pence per excess mile - total (In. VAT)</t>
  </si>
  <si>
    <t xml:space="preserve">Document fee (In. VAT)</t>
  </si>
  <si>
    <t xml:space="preserve">Default commission (Ex. VAT)</t>
  </si>
  <si>
    <t xml:space="preserve">Upsell commission (Ex. VAT)</t>
  </si>
  <si>
    <t xml:space="preserve">Pence per excess mile - main.</t>
  </si>
  <si>
    <t xml:space="preserve">Maintenance commission (Ex. VAT)</t>
  </si>
  <si>
    <t xml:space="preserve">Document fee commission (Ex. VAT)</t>
  </si>
  <si>
    <t xml:space="preserve">Total commission (Ex. VAT)</t>
  </si>
  <si>
    <t xml:space="preserve">Subsidy requested</t>
  </si>
  <si>
    <t xml:space="preserve">Subsidy Requested</t>
  </si>
  <si>
    <t xml:space="preserve">Subsidy Commission Deduction</t>
  </si>
  <si>
    <t xml:space="preserve">Commission due</t>
  </si>
  <si>
    <t xml:space="preserve">Default finance comm.</t>
  </si>
  <si>
    <t xml:space="preserve">Upsell comm.</t>
  </si>
  <si>
    <t xml:space="preserve">Maint. comm.</t>
  </si>
  <si>
    <t xml:space="preserve">Own book holding cost matrix</t>
  </si>
  <si>
    <t xml:space="preserve">Document fee comm.</t>
  </si>
  <si>
    <t xml:space="preserve">Referrer comm.</t>
  </si>
  <si>
    <t xml:space="preserve">Broker upsell margin</t>
  </si>
  <si>
    <t xml:space="preserve">Referrer margin</t>
  </si>
  <si>
    <t xml:space="preserve">Maintnance Margin</t>
  </si>
  <si>
    <t xml:space="preserve">            Additional items</t>
  </si>
  <si>
    <t xml:space="preserve">Additional RFL per annum</t>
  </si>
  <si>
    <t xml:space="preserve">Additional RFL (List price over 40k) per annum</t>
  </si>
  <si>
    <t xml:space="preserve">Customer Quote - Business Contract Hire</t>
  </si>
  <si>
    <t xml:space="preserve">6000</t>
  </si>
  <si>
    <t xml:space="preserve">20</t>
  </si>
  <si>
    <t xml:space="preserve">10</t>
  </si>
  <si>
    <t xml:space="preserve">          </t>
  </si>
  <si>
    <t xml:space="preserve">  </t>
  </si>
  <si>
    <t xml:space="preserve">without maintenance Holding cost</t>
  </si>
  <si>
    <t xml:space="preserve">Referrer commision</t>
  </si>
  <si>
    <t xml:space="preserve">Customer Quote - Finance Lease</t>
  </si>
  <si>
    <t xml:space="preserve">With balloon</t>
  </si>
  <si>
    <t xml:space="preserve">Monthly finance rental (Ex. VAT)</t>
  </si>
  <si>
    <t xml:space="preserve">Initial finance rental (Ex. VAT)</t>
  </si>
  <si>
    <t xml:space="preserve">Final Balloon Payment</t>
  </si>
  <si>
    <t xml:space="preserve">Percentage of sales proceeds to customer</t>
  </si>
  <si>
    <t xml:space="preserve">0</t>
  </si>
  <si>
    <t xml:space="preserve">1</t>
  </si>
  <si>
    <t xml:space="preserve">Customer Quote – Finance Lease</t>
  </si>
  <si>
    <t xml:space="preserve">13.50</t>
  </si>
  <si>
    <t xml:space="preserve">8.92</t>
  </si>
  <si>
    <t xml:space="preserve">Holding cost - formula - 1</t>
  </si>
  <si>
    <t xml:space="preserve">Total monthly holding cost</t>
  </si>
  <si>
    <t xml:space="preserve">Advance for Holding Cost (Retrived From OTR Screen)</t>
  </si>
  <si>
    <t xml:space="preserve">Monthly finance cost</t>
  </si>
  <si>
    <t xml:space="preserve">Monthly maintenance cost</t>
  </si>
  <si>
    <t xml:space="preserve">CAP Residual value (Inc. VAT)</t>
  </si>
  <si>
    <t xml:space="preserve">Residual value used (Inc. VAT)</t>
  </si>
  <si>
    <t xml:space="preserve">Maintenance value used(Ex. VAT)</t>
  </si>
  <si>
    <t xml:space="preserve">CAP maintenance value (Ex. VAT)</t>
  </si>
  <si>
    <t xml:space="preserve">Monthly Interest (total/12)</t>
  </si>
  <si>
    <t xml:space="preserve">Monthly Mintenance</t>
  </si>
  <si>
    <t xml:space="preserve">Finance Cost</t>
  </si>
  <si>
    <t xml:space="preserve">Step 1 (Residual/(1+r)^(n+1) ))  = X</t>
  </si>
  <si>
    <t xml:space="preserve">Step 2 (Advance - (Residual/(1+r)^(n+1) )))  Y</t>
  </si>
  <si>
    <t xml:space="preserve">Step 3 ((1-1/(1+r)^n )/r)  Z</t>
  </si>
  <si>
    <t xml:space="preserve">Step 4 (Finance Cost)</t>
  </si>
  <si>
    <t xml:space="preserve">Holding Cost (Monthly)
Finance Cost + Maintenance Cost</t>
  </si>
  <si>
    <t xml:space="preserve">Target Holding cost</t>
  </si>
  <si>
    <t xml:space="preserve">Subsequence rental</t>
  </si>
  <si>
    <t xml:space="preserve">Step 1 (Residual/(1+r)^(n+1) ))</t>
  </si>
  <si>
    <t xml:space="preserve">Step 2 (Advance - (Residual/(1+r)^(n+1) )))</t>
  </si>
  <si>
    <t xml:space="preserve">Step 3 ((1-1/(1+r)^n )/r)</t>
  </si>
  <si>
    <t xml:space="preserve">Otr   </t>
  </si>
  <si>
    <t xml:space="preserve">Select Caste</t>
  </si>
  <si>
    <t xml:space="preserve">Referrer commission (Ex. VAT)</t>
  </si>
  <si>
    <t xml:space="preserve">           </t>
  </si>
  <si>
    <t xml:space="preserve">20958.33</t>
  </si>
  <si>
    <t xml:space="preserve">OTR Calculation</t>
  </si>
  <si>
    <t xml:space="preserve">296.00</t>
  </si>
  <si>
    <t xml:space="preserve">17780.00</t>
  </si>
  <si>
    <t xml:space="preserve">5.28</t>
  </si>
  <si>
    <t xml:space="preserve">60</t>
  </si>
  <si>
    <t xml:space="preserve">2</t>
  </si>
  <si>
    <t xml:space="preserve">58535.00</t>
  </si>
  <si>
    <t xml:space="preserve">Yes</t>
  </si>
  <si>
    <t xml:space="preserve">RFL included?</t>
  </si>
  <si>
    <t xml:space="preserve">70</t>
  </si>
  <si>
    <t>1000</t>
  </si>
  <si>
    <t>12</t>
  </si>
  <si>
    <t>500</t>
  </si>
  <si>
    <t>6000</t>
  </si>
  <si>
    <t>20</t>
  </si>
  <si>
    <t>50</t>
  </si>
  <si>
    <t>10</t>
  </si>
  <si>
    <t>YES</t>
  </si>
  <si>
    <t>NO</t>
  </si>
  <si>
    <t>1</t>
  </si>
  <si>
    <t>0</t>
  </si>
  <si>
    <t>60</t>
  </si>
  <si>
    <t>70</t>
  </si>
  <si>
    <t>200</t>
  </si>
  <si>
    <t xml:space="preserve"> Terminal pause with 6 down </t>
  </si>
  <si>
    <t>Yes</t>
  </si>
  <si>
    <t>72000.00</t>
  </si>
  <si>
    <t>33</t>
  </si>
  <si>
    <t>5000</t>
  </si>
  <si>
    <t>0.00</t>
  </si>
  <si>
    <t>74310.00</t>
  </si>
  <si>
    <t>14.24</t>
  </si>
  <si>
    <t>22050.00</t>
  </si>
  <si>
    <t>199.99</t>
  </si>
  <si>
    <t>Limited Credit</t>
  </si>
  <si>
    <t>0.0</t>
  </si>
  <si>
    <t>1030.00</t>
  </si>
</sst>
</file>

<file path=xl/styles.xml><?xml version="1.0" encoding="utf-8"?>
<styleSheet xmlns="http://schemas.openxmlformats.org/spreadsheetml/2006/main">
  <numFmts count="24">
    <numFmt numFmtId="164" formatCode="General"/>
    <numFmt numFmtId="165" formatCode="\£#,##0.00"/>
    <numFmt numFmtId="166" formatCode="General"/>
    <numFmt numFmtId="167" formatCode="0%"/>
    <numFmt numFmtId="168" formatCode="0.00%"/>
    <numFmt numFmtId="169" formatCode="#,##0.00"/>
    <numFmt numFmtId="170" formatCode="[$-409]m/d/yyyy"/>
    <numFmt numFmtId="171" formatCode="&quot;TRUE&quot;;&quot;TRUE&quot;;&quot;FALSE&quot;"/>
    <numFmt numFmtId="172" formatCode="0.00"/>
    <numFmt numFmtId="173" formatCode="_(* #,##0.00_);_(* \(#,##0.00\);_(* \-??_);_(@_)"/>
    <numFmt numFmtId="174" formatCode="_(* #,##0_);_(* \(#,##0\);_(* \-??_);_(@_)"/>
    <numFmt numFmtId="175" formatCode="\£#,##0.00000"/>
    <numFmt numFmtId="176" formatCode="\£#,##0.0000"/>
    <numFmt numFmtId="177" formatCode="0.0000%"/>
    <numFmt numFmtId="178" formatCode="#,##0.0000000"/>
    <numFmt numFmtId="179" formatCode="#,##0.000000000"/>
    <numFmt numFmtId="180" formatCode="#,##0.0"/>
    <numFmt numFmtId="181" formatCode="0.0000000000000"/>
    <numFmt numFmtId="182" formatCode="0.0000"/>
    <numFmt numFmtId="183" formatCode="0.000%"/>
    <numFmt numFmtId="184" formatCode="#,##0.00000"/>
    <numFmt numFmtId="185" formatCode="#,##0.000"/>
    <numFmt numFmtId="186" formatCode="#,##0.0000000000"/>
    <numFmt numFmtId="187" formatCode="#,##0.0000"/>
  </numFmts>
  <fonts count="35">
    <font>
      <sz val="11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4"/>
      <color rgb="FF000000"/>
      <name val="Calibri"/>
      <family val="2"/>
      <charset val="1"/>
    </font>
    <font>
      <b val="true"/>
      <sz val="32"/>
      <color rgb="FFFFFFFF"/>
      <name val="Calibri"/>
      <family val="2"/>
      <charset val="1"/>
    </font>
    <font>
      <b val="true"/>
      <sz val="11"/>
      <color rgb="FFC9211E"/>
      <name val="Arial"/>
      <family val="0"/>
      <charset val="1"/>
    </font>
    <font>
      <b val="true"/>
      <sz val="14"/>
      <color rgb="FFC9211E"/>
      <name val="Calibri"/>
      <family val="2"/>
      <charset val="1"/>
    </font>
    <font>
      <sz val="11"/>
      <color rgb="FF000000"/>
      <name val="Calibri"/>
      <family val="2"/>
      <charset val="1"/>
    </font>
    <font>
      <b val="true"/>
      <sz val="11"/>
      <color rgb="FF000000"/>
      <name val="Arial"/>
      <family val="0"/>
      <charset val="1"/>
    </font>
    <font>
      <b val="true"/>
      <sz val="9"/>
      <color rgb="FF000000"/>
      <name val="Arial"/>
      <family val="0"/>
      <charset val="1"/>
    </font>
    <font>
      <b val="true"/>
      <sz val="18"/>
      <color rgb="FF000000"/>
      <name val="Arial"/>
      <family val="0"/>
      <charset val="1"/>
    </font>
    <font>
      <b val="true"/>
      <sz val="36"/>
      <color rgb="FFFFFFFF"/>
      <name val="Calibri"/>
      <family val="2"/>
      <charset val="1"/>
    </font>
    <font>
      <b val="true"/>
      <sz val="18"/>
      <color rgb="FF000000"/>
      <name val="Calibri"/>
      <family val="2"/>
      <charset val="1"/>
    </font>
    <font>
      <sz val="14"/>
      <color rgb="FF000000"/>
      <name val="Calibri2"/>
      <family val="0"/>
      <charset val="1"/>
    </font>
    <font>
      <b val="true"/>
      <sz val="14"/>
      <color rgb="FF000000"/>
      <name val="Calibri"/>
      <family val="2"/>
      <charset val="1"/>
    </font>
    <font>
      <b val="true"/>
      <sz val="12"/>
      <color rgb="FF000000"/>
      <name val="Arial"/>
      <family val="0"/>
      <charset val="1"/>
    </font>
    <font>
      <b val="true"/>
      <u val="single"/>
      <sz val="14"/>
      <color rgb="FFFFFFFF"/>
      <name val="Calibri"/>
      <family val="2"/>
      <charset val="1"/>
    </font>
    <font>
      <b val="true"/>
      <sz val="14"/>
      <color rgb="FF000000"/>
      <name val="Calibri2"/>
      <family val="0"/>
      <charset val="1"/>
    </font>
    <font>
      <b val="true"/>
      <sz val="14"/>
      <color rgb="FFFFFFFF"/>
      <name val="Calibri"/>
      <family val="2"/>
      <charset val="1"/>
    </font>
    <font>
      <b val="true"/>
      <sz val="16"/>
      <color rgb="FFFFFFFF"/>
      <name val="Calibri"/>
      <family val="2"/>
      <charset val="1"/>
    </font>
    <font>
      <b val="true"/>
      <sz val="14"/>
      <color rgb="FFC00000"/>
      <name val="Calibri"/>
      <family val="2"/>
      <charset val="1"/>
    </font>
    <font>
      <b val="true"/>
      <u val="single"/>
      <sz val="14"/>
      <color rgb="FF000000"/>
      <name val="Calibri"/>
      <family val="2"/>
      <charset val="1"/>
    </font>
    <font>
      <b val="true"/>
      <sz val="16"/>
      <color rgb="FF000000"/>
      <name val="Calibri"/>
      <family val="2"/>
      <charset val="1"/>
    </font>
    <font>
      <sz val="16"/>
      <color rgb="FF000000"/>
      <name val="Calibri"/>
      <family val="2"/>
      <charset val="1"/>
    </font>
    <font>
      <b val="true"/>
      <u val="single"/>
      <sz val="16"/>
      <color rgb="FF000000"/>
      <name val="Calibri"/>
      <family val="2"/>
      <charset val="1"/>
    </font>
    <font>
      <b val="true"/>
      <sz val="16"/>
      <color rgb="FFFF0000"/>
      <name val="Calibri"/>
      <family val="2"/>
      <charset val="1"/>
    </font>
    <font>
      <i val="true"/>
      <sz val="12"/>
      <color rgb="FFBFBFBF"/>
      <name val="Calibri"/>
      <family val="2"/>
      <charset val="1"/>
    </font>
    <font>
      <b val="true"/>
      <sz val="14"/>
      <color rgb="FFFF0000"/>
      <name val="Calibri"/>
      <family val="2"/>
      <charset val="1"/>
    </font>
    <font>
      <sz val="14"/>
      <color rgb="FFFF0000"/>
      <name val="Calibri"/>
      <family val="2"/>
      <charset val="1"/>
    </font>
    <font>
      <sz val="11"/>
      <color rgb="FFFF0000"/>
      <name val="Calibri"/>
      <family val="2"/>
      <charset val="1"/>
    </font>
    <font>
      <sz val="11"/>
      <color rgb="FF7E3794"/>
      <name val="Inconsolata"/>
      <family val="0"/>
      <charset val="1"/>
    </font>
    <font>
      <strike val="true"/>
      <sz val="14"/>
      <color rgb="FF000000"/>
      <name val="Calibri"/>
      <family val="2"/>
      <charset val="1"/>
    </font>
    <font>
      <b val="true"/>
      <u val="single"/>
      <sz val="16"/>
      <color rgb="FFFFFFFF"/>
      <name val="Calibri"/>
      <family val="2"/>
      <charset val="1"/>
    </font>
    <font>
      <sz val="14"/>
      <color rgb="FFC9211E"/>
      <name val="Calibri"/>
      <family val="2"/>
      <charset val="1"/>
    </font>
  </fonts>
  <fills count="21">
    <fill>
      <patternFill patternType="none"/>
    </fill>
    <fill>
      <patternFill patternType="gray125"/>
    </fill>
    <fill>
      <patternFill patternType="solid">
        <fgColor rgb="FFC9211E"/>
        <bgColor rgb="FFC00000"/>
      </patternFill>
    </fill>
    <fill>
      <patternFill patternType="solid">
        <fgColor rgb="FFFFFFD7"/>
        <bgColor rgb="FFFFFFFF"/>
      </patternFill>
    </fill>
    <fill>
      <patternFill patternType="solid">
        <fgColor rgb="FF81D41A"/>
        <bgColor rgb="FF70AD47"/>
      </patternFill>
    </fill>
    <fill>
      <patternFill patternType="solid">
        <fgColor rgb="FFFFFF00"/>
        <bgColor rgb="FFFFFF00"/>
      </patternFill>
    </fill>
    <fill>
      <patternFill patternType="solid">
        <fgColor rgb="FFFFFFFF"/>
        <bgColor rgb="FFFFFFD7"/>
      </patternFill>
    </fill>
    <fill>
      <patternFill patternType="solid">
        <fgColor rgb="FFC00000"/>
        <bgColor rgb="FFC9211E"/>
      </patternFill>
    </fill>
    <fill>
      <patternFill patternType="solid">
        <fgColor rgb="FF70AD47"/>
        <bgColor rgb="FF81D41A"/>
      </patternFill>
    </fill>
    <fill>
      <patternFill patternType="solid">
        <fgColor rgb="FFE7E6E6"/>
        <bgColor rgb="FFD9D9D9"/>
      </patternFill>
    </fill>
    <fill>
      <patternFill patternType="solid">
        <fgColor rgb="FF000000"/>
        <bgColor rgb="FF003300"/>
      </patternFill>
    </fill>
    <fill>
      <patternFill patternType="solid">
        <fgColor rgb="FFA6A6A6"/>
        <bgColor rgb="FFA5A5A5"/>
      </patternFill>
    </fill>
    <fill>
      <patternFill patternType="solid">
        <fgColor rgb="FFBFBFBF"/>
        <bgColor rgb="FFD0CECE"/>
      </patternFill>
    </fill>
    <fill>
      <patternFill patternType="solid">
        <fgColor rgb="FFA9D18E"/>
        <bgColor rgb="FFA8D08D"/>
      </patternFill>
    </fill>
    <fill>
      <patternFill patternType="solid">
        <fgColor rgb="FFFFC000"/>
        <bgColor rgb="FFFF9900"/>
      </patternFill>
    </fill>
    <fill>
      <patternFill patternType="solid">
        <fgColor rgb="FF2A6099"/>
        <bgColor rgb="FF666699"/>
      </patternFill>
    </fill>
    <fill>
      <patternFill patternType="solid">
        <fgColor rgb="FFA8D08D"/>
        <bgColor rgb="FFA9D18E"/>
      </patternFill>
    </fill>
    <fill>
      <patternFill patternType="solid">
        <fgColor rgb="FFAFD095"/>
        <bgColor rgb="FFA9D18E"/>
      </patternFill>
    </fill>
    <fill>
      <patternFill patternType="solid">
        <fgColor rgb="FFFFEBEB"/>
        <bgColor rgb="FFE7E6E6"/>
      </patternFill>
    </fill>
    <fill>
      <patternFill patternType="solid">
        <fgColor rgb="FFD0CECE"/>
        <bgColor rgb="FFD8D8D8"/>
      </patternFill>
    </fill>
    <fill>
      <patternFill patternType="solid">
        <fgColor rgb="FFA5A5A5"/>
        <bgColor rgb="FFA6A6A6"/>
      </patternFill>
    </fill>
  </fills>
  <borders count="50">
    <border diagonalUp="false" diagonalDown="false">
      <left/>
      <right/>
      <top/>
      <bottom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medium"/>
      <right style="medium"/>
      <top style="medium"/>
      <bottom style="medium"/>
      <diagonal/>
    </border>
    <border diagonalUp="false" diagonalDown="false">
      <left style="medium"/>
      <right/>
      <top style="medium"/>
      <bottom/>
      <diagonal/>
    </border>
    <border diagonalUp="false" diagonalDown="false">
      <left/>
      <right/>
      <top style="medium"/>
      <bottom/>
      <diagonal/>
    </border>
    <border diagonalUp="false" diagonalDown="false">
      <left/>
      <right style="medium"/>
      <top style="medium"/>
      <bottom/>
      <diagonal/>
    </border>
    <border diagonalUp="false" diagonalDown="false">
      <left style="medium"/>
      <right style="medium"/>
      <top/>
      <bottom style="thick">
        <color rgb="FFFF0000"/>
      </bottom>
      <diagonal/>
    </border>
    <border diagonalUp="false" diagonalDown="false">
      <left style="medium"/>
      <right/>
      <top/>
      <bottom/>
      <diagonal/>
    </border>
    <border diagonalUp="false" diagonalDown="false">
      <left/>
      <right style="medium"/>
      <top/>
      <bottom/>
      <diagonal/>
    </border>
    <border diagonalUp="false" diagonalDown="false">
      <left/>
      <right style="medium"/>
      <top/>
      <bottom style="medium"/>
      <diagonal/>
    </border>
    <border diagonalUp="false" diagonalDown="false">
      <left style="medium"/>
      <right/>
      <top/>
      <bottom style="medium"/>
      <diagonal/>
    </border>
    <border diagonalUp="false" diagonalDown="false">
      <left/>
      <right/>
      <top/>
      <bottom style="medium"/>
      <diagonal/>
    </border>
    <border diagonalUp="false" diagonalDown="false">
      <left style="medium"/>
      <right/>
      <top/>
      <bottom style="thin">
        <color rgb="FFD9D9D9"/>
      </bottom>
      <diagonal/>
    </border>
    <border diagonalUp="false" diagonalDown="false">
      <left/>
      <right/>
      <top/>
      <bottom style="thin">
        <color rgb="FFD9D9D9"/>
      </bottom>
      <diagonal/>
    </border>
    <border diagonalUp="false" diagonalDown="false">
      <left/>
      <right style="medium"/>
      <top/>
      <bottom style="thin">
        <color rgb="FFD9D9D9"/>
      </bottom>
      <diagonal/>
    </border>
    <border diagonalUp="false" diagonalDown="false">
      <left/>
      <right/>
      <top style="thin">
        <color rgb="FFD9D9D9"/>
      </top>
      <bottom/>
      <diagonal/>
    </border>
    <border diagonalUp="false" diagonalDown="false">
      <left style="thin">
        <color rgb="FFBFBFBF"/>
      </left>
      <right style="thin">
        <color rgb="FFBFBFBF"/>
      </right>
      <top style="thin">
        <color rgb="FFBFBFBF"/>
      </top>
      <bottom/>
      <diagonal/>
    </border>
    <border diagonalUp="false" diagonalDown="false">
      <left style="medium"/>
      <right/>
      <top/>
      <bottom style="medium">
        <color rgb="FFD9D9D9"/>
      </bottom>
      <diagonal/>
    </border>
    <border diagonalUp="false" diagonalDown="false">
      <left style="medium"/>
      <right style="medium"/>
      <top style="medium"/>
      <bottom/>
      <diagonal/>
    </border>
    <border diagonalUp="false" diagonalDown="false">
      <left style="medium"/>
      <right/>
      <top style="medium"/>
      <bottom style="medium"/>
      <diagonal/>
    </border>
    <border diagonalUp="false" diagonalDown="false">
      <left style="medium"/>
      <right/>
      <top/>
      <bottom style="thin">
        <color rgb="FFFF0000"/>
      </bottom>
      <diagonal/>
    </border>
    <border diagonalUp="false" diagonalDown="false">
      <left/>
      <right/>
      <top/>
      <bottom style="thin">
        <color rgb="FFFF0000"/>
      </bottom>
      <diagonal/>
    </border>
    <border diagonalUp="false" diagonalDown="false">
      <left/>
      <right style="medium"/>
      <top/>
      <bottom style="thin">
        <color rgb="FFFF0000"/>
      </bottom>
      <diagonal/>
    </border>
    <border diagonalUp="false" diagonalDown="false">
      <left style="medium"/>
      <right/>
      <top/>
      <bottom style="thin"/>
      <diagonal/>
    </border>
    <border diagonalUp="false" diagonalDown="false">
      <left style="medium"/>
      <right style="thin"/>
      <top style="thin"/>
      <bottom style="thin"/>
      <diagonal/>
    </border>
    <border diagonalUp="false" diagonalDown="false">
      <left style="medium"/>
      <right style="thin"/>
      <top style="thin"/>
      <bottom style="medium"/>
      <diagonal/>
    </border>
    <border diagonalUp="false" diagonalDown="false">
      <left style="thin"/>
      <right style="thin"/>
      <top style="thin"/>
      <bottom style="medium"/>
      <diagonal/>
    </border>
    <border diagonalUp="false" diagonalDown="false">
      <left/>
      <right/>
      <top/>
      <bottom style="thin">
        <color rgb="FFBFBFBF"/>
      </bottom>
      <diagonal/>
    </border>
    <border diagonalUp="false" diagonalDown="false">
      <left style="thin">
        <color rgb="FFBFBFBF"/>
      </left>
      <right style="thin">
        <color rgb="FFBFBFBF"/>
      </right>
      <top style="thin">
        <color rgb="FFBFBFBF"/>
      </top>
      <bottom style="medium"/>
      <diagonal/>
    </border>
    <border diagonalUp="false" diagonalDown="false">
      <left style="medium"/>
      <right style="medium"/>
      <top style="medium"/>
      <bottom style="thick">
        <color rgb="FFFF0000"/>
      </bottom>
      <diagonal/>
    </border>
    <border diagonalUp="false" diagonalDown="false">
      <left style="medium"/>
      <right style="medium"/>
      <top/>
      <bottom style="medium"/>
      <diagonal/>
    </border>
    <border diagonalUp="false" diagonalDown="false">
      <left/>
      <right/>
      <top/>
      <bottom style="thin"/>
      <diagonal/>
    </border>
    <border diagonalUp="false" diagonalDown="false">
      <left/>
      <right style="medium"/>
      <top/>
      <bottom style="thin"/>
      <diagonal/>
    </border>
    <border diagonalUp="false" diagonalDown="false">
      <left style="medium"/>
      <right style="medium"/>
      <top style="medium"/>
      <bottom style="thin"/>
      <diagonal/>
    </border>
    <border diagonalUp="false" diagonalDown="false">
      <left/>
      <right/>
      <top style="thin">
        <color rgb="FFD8D8D8"/>
      </top>
      <bottom/>
      <diagonal/>
    </border>
    <border diagonalUp="false" diagonalDown="false">
      <left style="medium"/>
      <right/>
      <top style="medium">
        <color rgb="FFD8D8D8"/>
      </top>
      <bottom/>
      <diagonal/>
    </border>
    <border diagonalUp="false" diagonalDown="false">
      <left/>
      <right style="medium">
        <color rgb="FFD8D8D8"/>
      </right>
      <top style="medium">
        <color rgb="FFD8D8D8"/>
      </top>
      <bottom/>
      <diagonal/>
    </border>
    <border diagonalUp="false" diagonalDown="false">
      <left style="medium">
        <color rgb="FFD8D8D8"/>
      </left>
      <right style="medium">
        <color rgb="FFD8D8D8"/>
      </right>
      <top style="medium">
        <color rgb="FFD8D8D8"/>
      </top>
      <bottom/>
      <diagonal/>
    </border>
    <border diagonalUp="false" diagonalDown="false">
      <left style="medium"/>
      <right/>
      <top style="thin"/>
      <bottom style="medium">
        <color rgb="FFD8D8D8"/>
      </bottom>
      <diagonal/>
    </border>
    <border diagonalUp="false" diagonalDown="false">
      <left style="hair"/>
      <right/>
      <top/>
      <bottom/>
      <diagonal/>
    </border>
    <border diagonalUp="false" diagonalDown="false">
      <left/>
      <right style="hair"/>
      <top/>
      <bottom/>
      <diagonal/>
    </border>
    <border diagonalUp="false" diagonalDown="false">
      <left/>
      <right/>
      <top/>
      <bottom style="hair"/>
      <diagonal/>
    </border>
    <border diagonalUp="false" diagonalDown="false">
      <left/>
      <right style="hair"/>
      <top/>
      <bottom style="hair"/>
      <diagonal/>
    </border>
    <border diagonalUp="false" diagonalDown="false">
      <left/>
      <right/>
      <top style="hair"/>
      <bottom/>
      <diagonal/>
    </border>
    <border diagonalUp="false" diagonalDown="false">
      <left style="medium"/>
      <right/>
      <top/>
      <bottom style="thin">
        <color rgb="FFD8D8D8"/>
      </bottom>
      <diagonal/>
    </border>
    <border diagonalUp="false" diagonalDown="false">
      <left/>
      <right/>
      <top/>
      <bottom style="thin">
        <color rgb="FFD8D8D8"/>
      </bottom>
      <diagonal/>
    </border>
    <border diagonalUp="false" diagonalDown="false">
      <left/>
      <right style="medium"/>
      <top/>
      <bottom style="thin">
        <color rgb="FFD8D8D8"/>
      </bottom>
      <diagonal/>
    </border>
    <border diagonalUp="false" diagonalDown="false">
      <left/>
      <right style="medium"/>
      <top style="medium"/>
      <bottom style="medium"/>
      <diagonal/>
    </border>
    <border diagonalUp="false" diagonalDown="false">
      <left style="thin"/>
      <right style="medium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173" fontId="0" fillId="0" borderId="0" applyFont="true" applyBorder="false" applyAlignment="true" applyProtection="false">
      <alignment horizontal="general" vertical="bottom" textRotation="0" wrapText="false" indent="0" shrinkToFit="false"/>
    </xf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167" fontId="8" fillId="0" borderId="0" applyFont="true" applyBorder="false" applyAlignment="true" applyProtection="false">
      <alignment horizontal="general" vertical="bottom" textRotation="0" wrapText="false" indent="0" shrinkToFit="false"/>
    </xf>
  </cellStyleXfs>
  <cellXfs count="51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3" borderId="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6" fontId="7" fillId="3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6" fillId="3" borderId="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7" fillId="3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0" fillId="0" borderId="1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6" fontId="4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0" fillId="4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4" fillId="5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1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0" fillId="6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2" fillId="7" borderId="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4" fillId="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3" fillId="6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4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4" fillId="8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4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4" fillId="9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4" fillId="9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5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5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4" fillId="5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5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5" fontId="1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6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15" fillId="6" borderId="0" xfId="0" applyFont="true" applyBorder="false" applyAlignment="true" applyProtection="false">
      <alignment horizontal="left" vertical="bottom" textRotation="0" wrapText="true" indent="0" shrinkToFit="false"/>
      <protection locked="true" hidden="false"/>
    </xf>
    <xf numFmtId="165" fontId="15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7" fillId="10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8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4" fontId="15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6" fontId="0" fillId="6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9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5" fontId="4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7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0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1" fillId="6" borderId="1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1" fillId="6" borderId="1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0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6" borderId="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1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1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6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6" borderId="1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6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13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3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1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2" fillId="7" borderId="1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0" fillId="6" borderId="6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9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5" borderId="2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6" borderId="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15" fillId="6" borderId="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4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6" borderId="8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12" borderId="1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3" fillId="12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5" fillId="12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12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2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6" borderId="8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4" fillId="11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4" fillId="11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11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1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4" fillId="11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3" fillId="11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2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2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2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15" fillId="5" borderId="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1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5" fillId="11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6" fillId="14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6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2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7" fillId="6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2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7" fillId="6" borderId="2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6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4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6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6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8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15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15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15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7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0" fillId="7" borderId="2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1" fillId="6" borderId="2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13" fillId="6" borderId="3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9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9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0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8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13" fillId="6" borderId="3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28" fillId="0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29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29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28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8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9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9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6" borderId="3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3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5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3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3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5" fillId="6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5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0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2" fillId="7" borderId="34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4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3" fillId="6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4" fillId="9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0" fontId="4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5" fontId="4" fillId="0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8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8" fontId="15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6" fontId="4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4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9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1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9" fillId="1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8" fontId="4" fillId="1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3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0" fillId="7" borderId="3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0" fillId="7" borderId="3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21" fillId="6" borderId="3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1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21" fillId="6" borderId="3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4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12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12" borderId="1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5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6" borderId="1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5" fillId="5" borderId="2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9" fontId="28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1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3" borderId="4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3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4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7" fillId="3" borderId="4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4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0" fillId="0" borderId="44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4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40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5" fontId="4" fillId="5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4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4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4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0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5" fillId="6" borderId="4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7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15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4" fillId="17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2" fillId="1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5" borderId="2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1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18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4" fontId="28" fillId="18" borderId="0" xfId="15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4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4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8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28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6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2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3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3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4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3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6" borderId="3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4" fontId="28" fillId="18" borderId="0" xfId="15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4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1" fontId="4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7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28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7" fontId="4" fillId="5" borderId="3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8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75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4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15" fillId="1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6" fontId="15" fillId="19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1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19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19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1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0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8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31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2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8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8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5" fillId="5" borderId="4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1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0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12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1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8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8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3" fillId="1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1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4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4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10" borderId="1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33" fillId="10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4" fillId="5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4" fillId="5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26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9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9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80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26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6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5" fontId="17" fillId="10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2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1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2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3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4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5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6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7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" fillId="7" borderId="1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23" fillId="12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23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3" fillId="20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2" fillId="20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" fillId="6" borderId="2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7" fillId="6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0" fillId="10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4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20" fillId="10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6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23" fillId="1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2" fillId="20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4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4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3" fillId="10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8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9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9" fontId="4" fillId="5" borderId="3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22" fillId="20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C00000"/>
      <rgbColor rgb="FF008000"/>
      <rgbColor rgb="FF000080"/>
      <rgbColor rgb="FF808000"/>
      <rgbColor rgb="FF800080"/>
      <rgbColor rgb="FF008080"/>
      <rgbColor rgb="FFBFBFBF"/>
      <rgbColor rgb="FF808080"/>
      <rgbColor rgb="FFA6A6A6"/>
      <rgbColor rgb="FF7E3794"/>
      <rgbColor rgb="FFFFFFD7"/>
      <rgbColor rgb="FFE7E6E6"/>
      <rgbColor rgb="FF660066"/>
      <rgbColor rgb="FFFF8080"/>
      <rgbColor rgb="FF2A6099"/>
      <rgbColor rgb="FFD0CECE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A9D18E"/>
      <rgbColor rgb="FFD9D9D9"/>
      <rgbColor rgb="FFFFEBEB"/>
      <rgbColor rgb="FFAFD095"/>
      <rgbColor rgb="FFFF99CC"/>
      <rgbColor rgb="FFA8D08D"/>
      <rgbColor rgb="FFD8D8D8"/>
      <rgbColor rgb="FF3366FF"/>
      <rgbColor rgb="FF33CCCC"/>
      <rgbColor rgb="FF81D41A"/>
      <rgbColor rgb="FFFFC000"/>
      <rgbColor rgb="FFFF9900"/>
      <rgbColor rgb="FFFF6600"/>
      <rgbColor rgb="FF666699"/>
      <rgbColor rgb="FFA5A5A5"/>
      <rgbColor rgb="FF003366"/>
      <rgbColor rgb="FF70AD47"/>
      <rgbColor rgb="FF003300"/>
      <rgbColor rgb="FF333300"/>
      <rgbColor rgb="FFC9211E"/>
      <rgbColor rgb="FF993366"/>
      <rgbColor rgb="FF333399"/>
      <rgbColor rgb="FF333333"/>
    </indexedColors>
  </colors>
</styleSheet>
</file>

<file path=xl/_rels/workbook.xml.rels><?xml version="1.0" encoding="UTF-8" standalone="no"?><Relationships xmlns="http://schemas.openxmlformats.org/package/2006/relationships"><Relationship Id="rId1" Target="styles.xml" Type="http://schemas.openxmlformats.org/officeDocument/2006/relationships/styles"/><Relationship Id="rId10" Target="worksheets/sheet9.xml" Type="http://schemas.openxmlformats.org/officeDocument/2006/relationships/worksheet"/><Relationship Id="rId11" Target="worksheets/sheet10.xml" Type="http://schemas.openxmlformats.org/officeDocument/2006/relationships/worksheet"/><Relationship Id="rId12" Target="worksheets/sheet11.xml" Type="http://schemas.openxmlformats.org/officeDocument/2006/relationships/worksheet"/><Relationship Id="rId13" Target="worksheets/sheet12.xml" Type="http://schemas.openxmlformats.org/officeDocument/2006/relationships/worksheet"/><Relationship Id="rId14" Target="worksheets/sheet13.xml" Type="http://schemas.openxmlformats.org/officeDocument/2006/relationships/worksheet"/><Relationship Id="rId15" Target="worksheets/sheet14.xml" Type="http://schemas.openxmlformats.org/officeDocument/2006/relationships/worksheet"/><Relationship Id="rId16" Target="worksheets/sheet15.xml" Type="http://schemas.openxmlformats.org/officeDocument/2006/relationships/worksheet"/><Relationship Id="rId17" Target="worksheets/sheet16.xml" Type="http://schemas.openxmlformats.org/officeDocument/2006/relationships/worksheet"/><Relationship Id="rId18" Target="worksheets/sheet17.xml" Type="http://schemas.openxmlformats.org/officeDocument/2006/relationships/worksheet"/><Relationship Id="rId19" Target="worksheets/sheet18.xml" Type="http://schemas.openxmlformats.org/officeDocument/2006/relationships/worksheet"/><Relationship Id="rId2" Target="worksheets/sheet1.xml" Type="http://schemas.openxmlformats.org/officeDocument/2006/relationships/worksheet"/><Relationship Id="rId20" Target="worksheets/sheet19.xml" Type="http://schemas.openxmlformats.org/officeDocument/2006/relationships/worksheet"/><Relationship Id="rId21" Target="worksheets/sheet20.xml" Type="http://schemas.openxmlformats.org/officeDocument/2006/relationships/worksheet"/><Relationship Id="rId22" Target="worksheets/sheet21.xml" Type="http://schemas.openxmlformats.org/officeDocument/2006/relationships/worksheet"/><Relationship Id="rId23" Target="worksheets/sheet22.xml" Type="http://schemas.openxmlformats.org/officeDocument/2006/relationships/worksheet"/><Relationship Id="rId24" Target="worksheets/sheet23.xml" Type="http://schemas.openxmlformats.org/officeDocument/2006/relationships/worksheet"/><Relationship Id="rId25" Target="worksheets/sheet24.xml" Type="http://schemas.openxmlformats.org/officeDocument/2006/relationships/worksheet"/><Relationship Id="rId26" Target="worksheets/sheet25.xml" Type="http://schemas.openxmlformats.org/officeDocument/2006/relationships/worksheet"/><Relationship Id="rId27" Target="worksheets/sheet26.xml" Type="http://schemas.openxmlformats.org/officeDocument/2006/relationships/worksheet"/><Relationship Id="rId28" Target="worksheets/sheet27.xml" Type="http://schemas.openxmlformats.org/officeDocument/2006/relationships/worksheet"/><Relationship Id="rId29" Target="worksheets/sheet28.xml" Type="http://schemas.openxmlformats.org/officeDocument/2006/relationships/worksheet"/><Relationship Id="rId3" Target="worksheets/sheet2.xml" Type="http://schemas.openxmlformats.org/officeDocument/2006/relationships/worksheet"/><Relationship Id="rId30" Target="worksheets/sheet29.xml" Type="http://schemas.openxmlformats.org/officeDocument/2006/relationships/worksheet"/><Relationship Id="rId31" Target="worksheets/sheet30.xml" Type="http://schemas.openxmlformats.org/officeDocument/2006/relationships/worksheet"/><Relationship Id="rId32" Target="worksheets/sheet31.xml" Type="http://schemas.openxmlformats.org/officeDocument/2006/relationships/worksheet"/><Relationship Id="rId33" Target="worksheets/sheet32.xml" Type="http://schemas.openxmlformats.org/officeDocument/2006/relationships/worksheet"/><Relationship Id="rId34" Target="worksheets/sheet33.xml" Type="http://schemas.openxmlformats.org/officeDocument/2006/relationships/worksheet"/><Relationship Id="rId35" Target="worksheets/sheet34.xml" Type="http://schemas.openxmlformats.org/officeDocument/2006/relationships/worksheet"/><Relationship Id="rId36" Target="worksheets/sheet35.xml" Type="http://schemas.openxmlformats.org/officeDocument/2006/relationships/worksheet"/><Relationship Id="rId37" Target="worksheets/sheet36.xml" Type="http://schemas.openxmlformats.org/officeDocument/2006/relationships/worksheet"/><Relationship Id="rId38" Target="worksheets/sheet37.xml" Type="http://schemas.openxmlformats.org/officeDocument/2006/relationships/worksheet"/><Relationship Id="rId39" Target="worksheets/sheet38.xml" Type="http://schemas.openxmlformats.org/officeDocument/2006/relationships/worksheet"/><Relationship Id="rId4" Target="worksheets/sheet3.xml" Type="http://schemas.openxmlformats.org/officeDocument/2006/relationships/worksheet"/><Relationship Id="rId40" Target="worksheets/sheet39.xml" Type="http://schemas.openxmlformats.org/officeDocument/2006/relationships/worksheet"/><Relationship Id="rId41" Target="worksheets/sheet40.xml" Type="http://schemas.openxmlformats.org/officeDocument/2006/relationships/worksheet"/><Relationship Id="rId42" Target="worksheets/sheet41.xml" Type="http://schemas.openxmlformats.org/officeDocument/2006/relationships/worksheet"/><Relationship Id="rId43" Target="worksheets/sheet42.xml" Type="http://schemas.openxmlformats.org/officeDocument/2006/relationships/worksheet"/><Relationship Id="rId44" Target="worksheets/sheet43.xml" Type="http://schemas.openxmlformats.org/officeDocument/2006/relationships/worksheet"/><Relationship Id="rId45" Target="worksheets/sheet44.xml" Type="http://schemas.openxmlformats.org/officeDocument/2006/relationships/worksheet"/><Relationship Id="rId46" Target="worksheets/sheet45.xml" Type="http://schemas.openxmlformats.org/officeDocument/2006/relationships/worksheet"/><Relationship Id="rId47" Target="worksheets/sheet46.xml" Type="http://schemas.openxmlformats.org/officeDocument/2006/relationships/worksheet"/><Relationship Id="rId48" Target="worksheets/sheet47.xml" Type="http://schemas.openxmlformats.org/officeDocument/2006/relationships/worksheet"/><Relationship Id="rId49" Target="worksheets/sheet48.xml" Type="http://schemas.openxmlformats.org/officeDocument/2006/relationships/worksheet"/><Relationship Id="rId5" Target="worksheets/sheet4.xml" Type="http://schemas.openxmlformats.org/officeDocument/2006/relationships/worksheet"/><Relationship Id="rId50" Target="worksheets/sheet49.xml" Type="http://schemas.openxmlformats.org/officeDocument/2006/relationships/worksheet"/><Relationship Id="rId51" Target="worksheets/sheet50.xml" Type="http://schemas.openxmlformats.org/officeDocument/2006/relationships/worksheet"/><Relationship Id="rId52" Target="worksheets/sheet51.xml" Type="http://schemas.openxmlformats.org/officeDocument/2006/relationships/worksheet"/><Relationship Id="rId53" Target="worksheets/sheet52.xml" Type="http://schemas.openxmlformats.org/officeDocument/2006/relationships/worksheet"/><Relationship Id="rId54" Target="worksheets/sheet53.xml" Type="http://schemas.openxmlformats.org/officeDocument/2006/relationships/worksheet"/><Relationship Id="rId55" Target="worksheets/sheet54.xml" Type="http://schemas.openxmlformats.org/officeDocument/2006/relationships/worksheet"/><Relationship Id="rId56" Target="worksheets/sheet55.xml" Type="http://schemas.openxmlformats.org/officeDocument/2006/relationships/worksheet"/><Relationship Id="rId57" Target="worksheets/sheet56.xml" Type="http://schemas.openxmlformats.org/officeDocument/2006/relationships/worksheet"/><Relationship Id="rId58" Target="worksheets/sheet57.xml" Type="http://schemas.openxmlformats.org/officeDocument/2006/relationships/worksheet"/><Relationship Id="rId59" Target="worksheets/sheet58.xml" Type="http://schemas.openxmlformats.org/officeDocument/2006/relationships/worksheet"/><Relationship Id="rId6" Target="worksheets/sheet5.xml" Type="http://schemas.openxmlformats.org/officeDocument/2006/relationships/worksheet"/><Relationship Id="rId60" Target="worksheets/sheet59.xml" Type="http://schemas.openxmlformats.org/officeDocument/2006/relationships/worksheet"/><Relationship Id="rId61" Target="worksheets/sheet60.xml" Type="http://schemas.openxmlformats.org/officeDocument/2006/relationships/worksheet"/><Relationship Id="rId62" Target="worksheets/sheet61.xml" Type="http://schemas.openxmlformats.org/officeDocument/2006/relationships/worksheet"/><Relationship Id="rId63" Target="worksheets/sheet62.xml" Type="http://schemas.openxmlformats.org/officeDocument/2006/relationships/worksheet"/><Relationship Id="rId64" Target="worksheets/sheet63.xml" Type="http://schemas.openxmlformats.org/officeDocument/2006/relationships/worksheet"/><Relationship Id="rId65" Target="worksheets/sheet64.xml" Type="http://schemas.openxmlformats.org/officeDocument/2006/relationships/worksheet"/><Relationship Id="rId66" Target="worksheets/sheet65.xml" Type="http://schemas.openxmlformats.org/officeDocument/2006/relationships/worksheet"/><Relationship Id="rId67" Target="worksheets/sheet66.xml" Type="http://schemas.openxmlformats.org/officeDocument/2006/relationships/worksheet"/><Relationship Id="rId68" Target="worksheets/sheet67.xml" Type="http://schemas.openxmlformats.org/officeDocument/2006/relationships/worksheet"/><Relationship Id="rId69" Target="worksheets/sheet68.xml" Type="http://schemas.openxmlformats.org/officeDocument/2006/relationships/worksheet"/><Relationship Id="rId7" Target="worksheets/sheet6.xml" Type="http://schemas.openxmlformats.org/officeDocument/2006/relationships/worksheet"/><Relationship Id="rId70" Target="worksheets/sheet69.xml" Type="http://schemas.openxmlformats.org/officeDocument/2006/relationships/worksheet"/><Relationship Id="rId71" Target="worksheets/sheet70.xml" Type="http://schemas.openxmlformats.org/officeDocument/2006/relationships/worksheet"/><Relationship Id="rId72" Target="sharedStrings.xml" Type="http://schemas.openxmlformats.org/officeDocument/2006/relationships/sharedStrings"/><Relationship Id="rId8" Target="worksheets/sheet7.xml" Type="http://schemas.openxmlformats.org/officeDocument/2006/relationships/worksheet"/><Relationship Id="rId9" Target="worksheets/sheet8.xml" Type="http://schemas.openxmlformats.org/officeDocument/2006/relationships/worksheet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33" colorId="64" zoomScale="85" zoomScaleNormal="85" zoomScalePageLayoutView="100" workbookViewId="0">
      <selection pane="topLeft" activeCell="H149" activeCellId="0" sqref="H149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2.47" collapsed="false" outlineLevel="0"/>
    <col min="14" max="14" customWidth="true" hidden="false" style="1" width="20.93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19000</v>
      </c>
      <c r="C2" s="4" t="s">
        <v>2</v>
      </c>
      <c r="D2" s="5" t="n">
        <f aca="false">C9</f>
        <v>3800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22800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19000</v>
      </c>
      <c r="C9" s="14" t="n">
        <f aca="false">B9*0.2</f>
        <v>3800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19000</v>
      </c>
      <c r="C15" s="14" t="n">
        <f aca="false">SUM(C9:C13)</f>
        <v>3800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22800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19000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42</v>
      </c>
      <c r="B34" s="32"/>
      <c r="C34" s="41" t="s">
        <v>43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1.6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s">
        <v>4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19000</v>
      </c>
      <c r="B37" s="32"/>
      <c r="C37" s="41" t="s">
        <v>45</v>
      </c>
      <c r="D37" s="41"/>
      <c r="E37" s="32"/>
      <c r="F37" s="43" t="n">
        <f aca="false">A37-C37</f>
        <v>18000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11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C15</f>
        <v>3800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233.333333333333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266.666666666667</v>
      </c>
      <c r="L45" s="2"/>
    </row>
    <row r="46" customFormat="false" ht="17.35" hidden="false" customHeight="false" outlineLevel="0" collapsed="false">
      <c r="A46" s="40" t="n">
        <v>0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269.333333333333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269.333333333333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79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269.333333333333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40526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40526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40526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40526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0.0105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12376.4536557787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126.25002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2026.3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202.63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269.333333333333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269.333333333333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269.333333333333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18000</v>
      </c>
      <c r="C90" s="32"/>
      <c r="D90" s="32"/>
      <c r="E90" s="23"/>
      <c r="F90" s="25" t="s">
        <v>105</v>
      </c>
      <c r="G90" s="27" t="n">
        <f aca="false">F37</f>
        <v>18000</v>
      </c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IF(A111="YES",A43,0)*1.2</f>
        <v>7200</v>
      </c>
      <c r="C91" s="32"/>
      <c r="D91" s="32"/>
      <c r="E91" s="23"/>
      <c r="F91" s="31" t="s">
        <v>106</v>
      </c>
      <c r="G91" s="33" t="n">
        <f aca="false">IF(A111="YES",A43,0)*1.2</f>
        <v>7200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0.1255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0.0104583333333333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31" t="s">
        <v>109</v>
      </c>
      <c r="G94" s="33" t="n">
        <f aca="false">IF(G91=0, (B68+B67), (B68))</f>
        <v>11</v>
      </c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6354.94179987962</v>
      </c>
      <c r="C95" s="32"/>
      <c r="D95" s="32"/>
      <c r="E95" s="23"/>
      <c r="F95" s="31" t="s">
        <v>110</v>
      </c>
      <c r="G95" s="33" t="n">
        <f aca="false">(G91/((1+G93)^(G94+1)))</f>
        <v>6748.06930144099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10.3399216528992</v>
      </c>
      <c r="C96" s="32"/>
      <c r="D96" s="32"/>
      <c r="E96" s="23"/>
      <c r="F96" s="31" t="s">
        <v>111</v>
      </c>
      <c r="G96" s="33" t="n">
        <f aca="false">((1-(1/((1+G93)^G94)))/G93)</f>
        <v>10.6507347822959</v>
      </c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11645.0582001204</v>
      </c>
      <c r="C97" s="32"/>
      <c r="D97" s="32"/>
      <c r="E97" s="23"/>
      <c r="F97" s="31" t="s">
        <v>112</v>
      </c>
      <c r="G97" s="33" t="n">
        <f aca="false">G90-G95</f>
        <v>11251.930698559</v>
      </c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1126.22305961624</v>
      </c>
      <c r="C98" s="32"/>
      <c r="D98" s="32"/>
      <c r="E98" s="23"/>
      <c r="F98" s="31" t="s">
        <v>113</v>
      </c>
      <c r="G98" s="33" t="n">
        <f aca="false">(G97/G96)</f>
        <v>1056.4464263313</v>
      </c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12388.4536557787</v>
      </c>
      <c r="C99" s="32"/>
      <c r="D99" s="32"/>
      <c r="E99" s="23"/>
      <c r="F99" s="31" t="s">
        <v>114</v>
      </c>
      <c r="G99" s="33" t="n">
        <f aca="false">((G98*(G94))+G86)</f>
        <v>11620.9106896443</v>
      </c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12388.4536557787</v>
      </c>
      <c r="C101" s="32"/>
      <c r="D101" s="32"/>
      <c r="E101" s="23"/>
      <c r="F101" s="56" t="s">
        <v>116</v>
      </c>
      <c r="G101" s="65" t="n">
        <f aca="false">(G99+G100)</f>
        <v>11620.9106896443</v>
      </c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A34)*A117))/(B68)*1.2</f>
        <v>0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1126.22305961624</v>
      </c>
      <c r="C104" s="32"/>
      <c r="D104" s="32"/>
      <c r="E104" s="23"/>
      <c r="F104" s="95" t="s">
        <v>118</v>
      </c>
      <c r="G104" s="96" t="n">
        <f aca="false">G101/(G94)</f>
        <v>1056.4464263313</v>
      </c>
      <c r="H104" s="33"/>
      <c r="J104" s="95" t="s">
        <v>118</v>
      </c>
      <c r="K104" s="96" t="e">
        <f aca="false">K101/(K94)</f>
        <v>#VALUE!</v>
      </c>
      <c r="L104" s="32"/>
      <c r="M104" s="32"/>
      <c r="N104" s="23"/>
      <c r="O104" s="23"/>
      <c r="P104" s="23"/>
      <c r="Q104" s="33"/>
      <c r="S104" s="95" t="s">
        <v>118</v>
      </c>
      <c r="T104" s="96" t="e">
        <f aca="false">T101/(T94)</f>
        <v>#VALUE!</v>
      </c>
      <c r="U104" s="32"/>
      <c r="V104" s="32"/>
      <c r="W104" s="23"/>
      <c r="X104" s="23"/>
      <c r="Y104" s="23"/>
      <c r="Z104" s="33"/>
      <c r="AB104" s="95" t="s">
        <v>118</v>
      </c>
      <c r="AC104" s="96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1126.22305961624</v>
      </c>
      <c r="C105" s="32"/>
      <c r="D105" s="32"/>
      <c r="E105" s="23" t="s">
        <v>19</v>
      </c>
      <c r="F105" s="97" t="s">
        <v>119</v>
      </c>
      <c r="G105" s="98" t="n">
        <f aca="false">G103+G104</f>
        <v>1056.4464263313</v>
      </c>
      <c r="H105" s="33"/>
      <c r="J105" s="97" t="s">
        <v>119</v>
      </c>
      <c r="K105" s="98" t="e">
        <f aca="false">(K103+K104)</f>
        <v>#VALUE!</v>
      </c>
      <c r="L105" s="32"/>
      <c r="M105" s="32"/>
      <c r="N105" s="23"/>
      <c r="O105" s="23"/>
      <c r="P105" s="23"/>
      <c r="Q105" s="33"/>
      <c r="S105" s="97" t="s">
        <v>119</v>
      </c>
      <c r="T105" s="98" t="e">
        <f aca="false">T103+T104</f>
        <v>#VALUE!</v>
      </c>
      <c r="U105" s="32"/>
      <c r="V105" s="32"/>
      <c r="W105" s="23"/>
      <c r="X105" s="23"/>
      <c r="Y105" s="23"/>
      <c r="Z105" s="33"/>
      <c r="AB105" s="97" t="s">
        <v>119</v>
      </c>
      <c r="AC105" s="98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 t="s">
        <v>128</v>
      </c>
      <c r="C114" s="103"/>
      <c r="D114" s="103"/>
      <c r="E114" s="104" t="s">
        <v>19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0.2</v>
      </c>
      <c r="B117" s="107" t="s">
        <v>132</v>
      </c>
      <c r="C117" s="107"/>
      <c r="D117" s="107"/>
      <c r="E117" s="108" t="n">
        <f aca="false">B92</f>
        <v>0.1255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7" t="n">
        <v>0</v>
      </c>
      <c r="C120" s="107"/>
      <c r="D120" s="107"/>
      <c r="E120" s="107" t="n">
        <v>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141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113"/>
      <c r="C127" s="113"/>
      <c r="D127" s="113"/>
      <c r="E127" s="113"/>
      <c r="F127" s="113"/>
      <c r="G127" s="11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120" t="n">
        <f aca="false">E19</f>
        <v>22800</v>
      </c>
      <c r="C130" s="121" t="n">
        <v>21041.67</v>
      </c>
      <c r="D130" s="120" t="n">
        <f aca="false">D12</f>
        <v>0</v>
      </c>
      <c r="E130" s="121" t="n">
        <f aca="false">D130</f>
        <v>0</v>
      </c>
      <c r="F130" s="120" t="n">
        <v>0</v>
      </c>
      <c r="G130" s="121" t="n">
        <f aca="false">F130</f>
        <v>0</v>
      </c>
      <c r="H130" s="122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22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22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3" t="n">
        <v>0</v>
      </c>
      <c r="C131" s="124" t="n">
        <f aca="false">B131</f>
        <v>0</v>
      </c>
      <c r="D131" s="123" t="n">
        <v>0</v>
      </c>
      <c r="E131" s="124" t="n">
        <f aca="false">D131</f>
        <v>0</v>
      </c>
      <c r="F131" s="123" t="n">
        <v>0</v>
      </c>
      <c r="G131" s="125" t="n">
        <f aca="false">F131</f>
        <v>0</v>
      </c>
      <c r="H131" s="126"/>
      <c r="J131" s="31" t="s">
        <v>150</v>
      </c>
      <c r="K131" s="127" t="n">
        <f aca="false">B4</f>
        <v>22800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str">
        <f aca="false">F4</f>
        <v> </v>
      </c>
      <c r="P131" s="128" t="str">
        <f aca="false">O131</f>
        <v> </v>
      </c>
      <c r="Q131" s="129"/>
      <c r="S131" s="31" t="s">
        <v>150</v>
      </c>
      <c r="T131" s="127" t="n">
        <f aca="false">B4</f>
        <v>22800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str">
        <f aca="false">F4</f>
        <v> </v>
      </c>
      <c r="Y131" s="128" t="str">
        <f aca="false">X131</f>
        <v> </v>
      </c>
      <c r="Z131" s="129"/>
      <c r="AB131" s="31" t="s">
        <v>150</v>
      </c>
      <c r="AC131" s="127" t="n">
        <f aca="false">B4</f>
        <v>22800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str">
        <f aca="false">F4</f>
        <v> </v>
      </c>
      <c r="AH131" s="128" t="str">
        <f aca="false">AG131</f>
        <v> </v>
      </c>
      <c r="AI131" s="129"/>
    </row>
    <row r="132" customFormat="false" ht="17.35" hidden="false" customHeight="false" outlineLevel="0" collapsed="false">
      <c r="A132" s="31" t="s">
        <v>151</v>
      </c>
      <c r="B132" s="130" t="n">
        <v>0</v>
      </c>
      <c r="C132" s="121" t="n">
        <f aca="false">B132</f>
        <v>0</v>
      </c>
      <c r="D132" s="130" t="n">
        <v>0</v>
      </c>
      <c r="E132" s="121" t="n">
        <f aca="false">D132</f>
        <v>0</v>
      </c>
      <c r="F132" s="130" t="n">
        <v>0</v>
      </c>
      <c r="G132" s="121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30" t="n">
        <f aca="false">(B130*B131)+B132</f>
        <v>0</v>
      </c>
      <c r="C133" s="131" t="n">
        <f aca="false">(C130*C131/100)+C132</f>
        <v>0</v>
      </c>
      <c r="D133" s="130" t="n">
        <f aca="false">(D130*D131)+D132</f>
        <v>0</v>
      </c>
      <c r="E133" s="131" t="n">
        <f aca="false">(E130*E131/100)+E132</f>
        <v>0</v>
      </c>
      <c r="F133" s="130" t="n">
        <f aca="false">(F130*F131)+F132</f>
        <v>0</v>
      </c>
      <c r="G133" s="131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32" t="n">
        <f aca="false">B130-B133</f>
        <v>22800</v>
      </c>
      <c r="C134" s="133" t="n">
        <f aca="false">C130-C133</f>
        <v>21041.67</v>
      </c>
      <c r="D134" s="132" t="n">
        <f aca="false">D130-D133</f>
        <v>0</v>
      </c>
      <c r="E134" s="133" t="n">
        <f aca="false">E130-E133</f>
        <v>0</v>
      </c>
      <c r="F134" s="132" t="n">
        <f aca="false">F130-F133</f>
        <v>0</v>
      </c>
      <c r="G134" s="133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93"/>
      <c r="C135" s="93"/>
      <c r="D135" s="93"/>
      <c r="E135" s="93"/>
      <c r="F135" s="93"/>
      <c r="G135" s="93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5"/>
      <c r="C136" s="135"/>
      <c r="D136" s="135"/>
      <c r="E136" s="135"/>
      <c r="F136" s="135"/>
      <c r="G136" s="136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93"/>
      <c r="C138" s="93"/>
      <c r="D138" s="93"/>
      <c r="E138" s="93"/>
      <c r="F138" s="93"/>
      <c r="G138" s="144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93"/>
      <c r="C143" s="93"/>
      <c r="D143" s="93"/>
      <c r="E143" s="93"/>
      <c r="F143" s="93"/>
      <c r="G143" s="144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6" t="n">
        <f aca="false">E21</f>
        <v>19000</v>
      </c>
      <c r="H144" s="153" t="n">
        <f aca="false">C134+E134+G134+H137</f>
        <v>21041.67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0</v>
      </c>
      <c r="Q144" s="153" t="e">
        <f aca="false">L134+N134+P134+Q137</f>
        <v>#VALUE!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0</v>
      </c>
      <c r="Z144" s="153" t="e">
        <f aca="false">U134+W134+Y134+Z137</f>
        <v>#VALUE!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0</v>
      </c>
      <c r="AI144" s="153" t="e">
        <f aca="false">AD134+AF134+AH134+AI137</f>
        <v>#VALUE!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5" t="n">
        <f aca="false">H19</f>
        <v>0</v>
      </c>
      <c r="H145" s="33" t="n">
        <f aca="false">G145</f>
        <v>0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0</v>
      </c>
      <c r="Q145" s="33" t="n">
        <f aca="false">P145</f>
        <v>0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0</v>
      </c>
      <c r="Z145" s="33" t="n">
        <f aca="false">Y145</f>
        <v>0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33" t="n">
        <f aca="false">(G144+G145)*20%</f>
        <v>3800</v>
      </c>
      <c r="H146" s="33" t="n">
        <f aca="false">(H144+H145)*20%</f>
        <v>4208.334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0</v>
      </c>
      <c r="Q146" s="33" t="e">
        <f aca="false">(Q144+Q145)*20%</f>
        <v>#VALUE!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0</v>
      </c>
      <c r="Z146" s="33" t="e">
        <f aca="false">(Z144+Z145)*20%</f>
        <v>#VALUE!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5" t="n">
        <f aca="false">H21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5" t="n">
        <f aca="false">H22</f>
        <v>0</v>
      </c>
      <c r="H148" s="33" t="n">
        <f aca="false">G148</f>
        <v>0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0</v>
      </c>
      <c r="Q148" s="33" t="n">
        <f aca="false">P148</f>
        <v>0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0</v>
      </c>
      <c r="Z148" s="33" t="n">
        <f aca="false">Y148</f>
        <v>0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5" t="n">
        <f aca="false">H23</f>
        <v>0</v>
      </c>
      <c r="H149" s="33" t="n">
        <f aca="false">G149</f>
        <v>0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0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0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7" t="n">
        <f aca="false">(G144+G145+G148+G149+G146)-G147</f>
        <v>22800</v>
      </c>
      <c r="H150" s="157" t="n">
        <f aca="false">(H144+H145+H148+H149+H146)-H147</f>
        <v>25250.004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0</v>
      </c>
      <c r="Q150" s="157" t="e">
        <f aca="false">(Q144+Q145+Q148+Q149+Q146)-Q147</f>
        <v>#VALUE!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0</v>
      </c>
      <c r="Z150" s="157" t="e">
        <f aca="false">(Z144+Z145+Z148+Z149+Z146)-Z147</f>
        <v>#VALUE!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0</v>
      </c>
      <c r="AI150" s="157" t="e">
        <f aca="false">(AI144+AI145+AI148+AI149+AI146)-AI147</f>
        <v>#VALUE!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40" t="n">
        <f aca="false">F151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3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n">
        <v>0</v>
      </c>
      <c r="C153" s="161"/>
      <c r="D153" s="161"/>
      <c r="E153" s="161"/>
      <c r="F153" s="161"/>
      <c r="G153" s="40" t="n">
        <v>0</v>
      </c>
      <c r="H153" s="40" t="n"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40" t="n"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40" t="n"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64" t="n">
        <f aca="false">G150-((G153*1.2)+(G154*1.2)+(G155*1.2)+(G151*1.2))</f>
        <v>22800</v>
      </c>
      <c r="H156" s="164" t="n">
        <f aca="false">H150-((H153*1.2)+(H154*1.2)+(H155*1.2)+(H151*1.2))</f>
        <v>25250.004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0</v>
      </c>
      <c r="Q156" s="164" t="e">
        <f aca="false">Q150-((Q153*1.2)+(Q154*1.2)+(Q155*1.2)+(Q151*1.2))</f>
        <v>#VALUE!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0</v>
      </c>
      <c r="Z156" s="164" t="e">
        <f aca="false">Z150-((Z153*1.2)+(Z154*1.2)+(Z155*1.2)+(Z151*1.2))</f>
        <v>#VALUE!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0</v>
      </c>
      <c r="AI156" s="164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5"/>
      <c r="H157" s="40" t="n">
        <f aca="false">((H156-G156)-(H146-G146))+((I155-I154)*0.2)</f>
        <v>2041.67</v>
      </c>
      <c r="I157" s="1" t="n">
        <f aca="false">(H157-G90)/1.2</f>
        <v>-13298.6083333333</v>
      </c>
      <c r="J157" s="154" t="s">
        <v>172</v>
      </c>
      <c r="K157" s="154"/>
      <c r="L157" s="154"/>
      <c r="M157" s="154"/>
      <c r="N157" s="154"/>
      <c r="O157" s="154"/>
      <c r="P157" s="156"/>
      <c r="Q157" s="40" t="e">
        <f aca="false">Q156-P156</f>
        <v>#VALUE!</v>
      </c>
      <c r="S157" s="154" t="s">
        <v>172</v>
      </c>
      <c r="T157" s="154"/>
      <c r="U157" s="154"/>
      <c r="V157" s="154"/>
      <c r="W157" s="154"/>
      <c r="X157" s="154"/>
      <c r="Y157" s="156"/>
      <c r="Z157" s="40" t="e">
        <f aca="false">Z156-Y156</f>
        <v>#VALUE!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</v>
      </c>
      <c r="F161" s="107"/>
      <c r="G161" s="107" t="n">
        <v>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25250.004</v>
      </c>
      <c r="H167" s="170"/>
      <c r="J167" s="169" t="s">
        <v>179</v>
      </c>
      <c r="K167" s="32"/>
      <c r="L167" s="32"/>
      <c r="M167" s="23"/>
      <c r="N167" s="32"/>
      <c r="O167" s="23"/>
      <c r="P167" s="170" t="e">
        <f aca="false">Q156-P163-P166</f>
        <v>#VALUE!</v>
      </c>
      <c r="Q167" s="170"/>
      <c r="S167" s="169" t="s">
        <v>179</v>
      </c>
      <c r="T167" s="32"/>
      <c r="U167" s="32"/>
      <c r="V167" s="23"/>
      <c r="W167" s="32"/>
      <c r="X167" s="23"/>
      <c r="Y167" s="170" t="e">
        <f aca="false">Z156-Y163-Y166</f>
        <v>#VALUE!</v>
      </c>
      <c r="Z167" s="170"/>
      <c r="AB167" s="169" t="s">
        <v>179</v>
      </c>
      <c r="AC167" s="32"/>
      <c r="AD167" s="32"/>
      <c r="AE167" s="23"/>
      <c r="AF167" s="32"/>
      <c r="AG167" s="23"/>
      <c r="AH167" s="170" t="e">
        <f aca="false">AI156-AH163-AH166</f>
        <v>#VALUE!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239.99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7200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1126.22305961624</v>
      </c>
      <c r="B176" s="177" t="n">
        <f aca="false">B103</f>
        <v>0</v>
      </c>
      <c r="C176" s="174"/>
      <c r="D176" s="174"/>
      <c r="E176" s="177" t="n">
        <f aca="false">B105</f>
        <v>1126.22305961624</v>
      </c>
      <c r="F176" s="23"/>
      <c r="G176" s="23" t="n">
        <f aca="false">ROUND(G104, 2)</f>
        <v>1056.45</v>
      </c>
      <c r="H176" s="33"/>
      <c r="J176" s="176" t="e">
        <f aca="false">K104</f>
        <v>#VALUE!</v>
      </c>
      <c r="K176" s="178" t="n">
        <f aca="false">K103</f>
        <v>0</v>
      </c>
      <c r="L176" s="175"/>
      <c r="M176" s="175"/>
      <c r="N176" s="178" t="e">
        <f aca="false">K105</f>
        <v>#VALUE!</v>
      </c>
      <c r="O176" s="23"/>
      <c r="P176" s="23"/>
      <c r="Q176" s="33"/>
      <c r="S176" s="176" t="e">
        <f aca="false">T104</f>
        <v>#VALUE!</v>
      </c>
      <c r="T176" s="178" t="n">
        <f aca="false">T103</f>
        <v>0</v>
      </c>
      <c r="U176" s="175"/>
      <c r="V176" s="175"/>
      <c r="W176" s="178" t="e">
        <f aca="false">T105</f>
        <v>#VALUE!</v>
      </c>
      <c r="X176" s="23"/>
      <c r="Y176" s="23"/>
      <c r="Z176" s="33"/>
      <c r="AB176" s="176" t="e">
        <f aca="false">AC104</f>
        <v>#VALUE!</v>
      </c>
      <c r="AC176" s="178" t="n">
        <f aca="false">AC103</f>
        <v>0</v>
      </c>
      <c r="AD176" s="175"/>
      <c r="AE176" s="175"/>
      <c r="AF176" s="178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n">
        <f aca="false">B38</f>
        <v>0</v>
      </c>
      <c r="B179" s="180" t="n">
        <f aca="false">B39</f>
        <v>0</v>
      </c>
      <c r="C179" s="181"/>
      <c r="D179" s="23"/>
      <c r="E179" s="182" t="n">
        <v>6000</v>
      </c>
      <c r="F179" s="23"/>
      <c r="G179" s="23"/>
      <c r="H179" s="33"/>
      <c r="J179" s="179" t="str">
        <f aca="false">K29</f>
        <v>12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12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12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21041.67</v>
      </c>
      <c r="B182" s="103" t="n">
        <f aca="false">H146</f>
        <v>4208.334</v>
      </c>
      <c r="C182" s="186"/>
      <c r="D182" s="23"/>
      <c r="E182" s="182" t="n">
        <f aca="false">H148+H149</f>
        <v>0</v>
      </c>
      <c r="F182" s="23"/>
      <c r="G182" s="23"/>
      <c r="H182" s="33"/>
      <c r="J182" s="185" t="e">
        <f aca="false">Q150-Q146-Q148-Q149</f>
        <v>#VALUE!</v>
      </c>
      <c r="K182" s="38" t="e">
        <f aca="false">Q146</f>
        <v>#VALUE!</v>
      </c>
      <c r="L182" s="43"/>
      <c r="M182" s="23"/>
      <c r="N182" s="184" t="n">
        <f aca="false">Q148+Q149</f>
        <v>55</v>
      </c>
      <c r="O182" s="23"/>
      <c r="P182" s="23"/>
      <c r="Q182" s="33"/>
      <c r="S182" s="185" t="e">
        <f aca="false">Z150-Z146-Z148-Z149</f>
        <v>#VALUE!</v>
      </c>
      <c r="T182" s="38" t="e">
        <f aca="false">Z146</f>
        <v>#VALUE!</v>
      </c>
      <c r="U182" s="43"/>
      <c r="V182" s="23"/>
      <c r="W182" s="184" t="n">
        <f aca="false">Z148+Z149</f>
        <v>55</v>
      </c>
      <c r="X182" s="23"/>
      <c r="Y182" s="23"/>
      <c r="Z182" s="33"/>
      <c r="AB182" s="185" t="e">
        <f aca="false">AI150-AI146-AI148-AI149</f>
        <v>#VALUE!</v>
      </c>
      <c r="AC182" s="38" t="e">
        <f aca="false">AI146</f>
        <v>#VALUE!</v>
      </c>
      <c r="AD182" s="43"/>
      <c r="AE182" s="23"/>
      <c r="AF182" s="184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25250.004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25250.004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-6861.55034422132</v>
      </c>
      <c r="B191" s="103" t="str">
        <f aca="false">B123</f>
        <v>239.99</v>
      </c>
      <c r="C191" s="103"/>
      <c r="D191" s="23"/>
      <c r="E191" s="103" t="n">
        <f aca="false">E188+A191+B191+A194</f>
        <v>18638.4436557787</v>
      </c>
      <c r="F191" s="23"/>
      <c r="G191" s="23"/>
      <c r="H191" s="105"/>
      <c r="J191" s="111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5"/>
      <c r="S191" s="111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5"/>
      <c r="AB191" s="111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</f>
        <v>239.99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J18*0.000002*100*1.2</f>
        <v>9.72624</v>
      </c>
      <c r="B197" s="103" t="n">
        <f aca="false">(G167*B76)/1.2</f>
        <v>105.20835</v>
      </c>
      <c r="C197" s="93"/>
      <c r="D197" s="93"/>
      <c r="E197" s="103" t="n">
        <f aca="false">IF(E114="YES",(K55*A117*0.1), 0)</f>
        <v>0</v>
      </c>
      <c r="F197" s="23"/>
      <c r="G197" s="23"/>
      <c r="H197" s="33"/>
      <c r="J197" s="111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(B191/1.2)-100</f>
        <v>99.9916666666667</v>
      </c>
      <c r="B200" s="103" t="n">
        <f aca="false">B197+E197+A200</f>
        <v>205.200016666667</v>
      </c>
      <c r="C200" s="93"/>
      <c r="D200" s="93"/>
      <c r="E200" s="103" t="n">
        <f aca="false">H157</f>
        <v>2041.67</v>
      </c>
      <c r="F200" s="23"/>
      <c r="G200" s="23"/>
      <c r="H200" s="33"/>
      <c r="J200" s="111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11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11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1126.22305961624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-7629.054</v>
      </c>
      <c r="B210" s="186" t="n">
        <f aca="false">E188+A210+B191+A194</f>
        <v>17870.94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12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1126.22305961624</v>
      </c>
      <c r="B221" s="177" t="n">
        <f aca="false">B176</f>
        <v>0</v>
      </c>
      <c r="C221" s="174"/>
      <c r="D221" s="174"/>
      <c r="E221" s="177" t="n">
        <f aca="false">E176</f>
        <v>1126.22305961624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21041.67</v>
      </c>
      <c r="B224" s="103" t="n">
        <f aca="false">B182</f>
        <v>4208.334</v>
      </c>
      <c r="C224" s="186"/>
      <c r="D224" s="113"/>
      <c r="E224" s="182" t="n">
        <f aca="false">E182</f>
        <v>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25250.004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25250.004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-6861.55034422132</v>
      </c>
      <c r="B233" s="103" t="str">
        <f aca="false">B191</f>
        <v>239.99</v>
      </c>
      <c r="C233" s="103"/>
      <c r="D233" s="113"/>
      <c r="E233" s="103" t="n">
        <f aca="false">E191</f>
        <v>18638.4436557787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239.99</v>
      </c>
      <c r="C236" s="103"/>
      <c r="D236" s="113"/>
      <c r="E236" s="103" t="n">
        <f aca="false">B68</f>
        <v>11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1126.22305961624</v>
      </c>
      <c r="B239" s="103" t="n">
        <f aca="false">B176</f>
        <v>0</v>
      </c>
      <c r="C239" s="186"/>
      <c r="D239" s="186"/>
      <c r="E239" s="103" t="n">
        <f aca="false">E176</f>
        <v>1126.22305961624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J18*0.000006*100*1.2</f>
        <v>29.17872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9.72624</v>
      </c>
      <c r="B245" s="103" t="n">
        <f aca="false">E242+A245</f>
        <v>38.90496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2041.67</v>
      </c>
      <c r="B249" s="103" t="n">
        <f aca="false">B197</f>
        <v>105.20835</v>
      </c>
      <c r="C249" s="93"/>
      <c r="D249" s="93"/>
      <c r="E249" s="103" t="n">
        <f aca="false">E197</f>
        <v>0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99.9916666666667</v>
      </c>
      <c r="B252" s="103" t="n">
        <f aca="false">B249+E249+A252+A249</f>
        <v>2246.87001666666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0.1255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199" t="n">
        <f aca="false">(E191-B191)-(B210-B191-A194)</f>
        <v>777.503655778677</v>
      </c>
      <c r="C263" s="197"/>
      <c r="D263" s="198" t="s">
        <v>216</v>
      </c>
      <c r="E263" s="198"/>
      <c r="F263" s="200" t="n">
        <f aca="false">F270+F276+F278+B279+B280</f>
        <v>126.25002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99.9916666666667</v>
      </c>
      <c r="C264" s="197"/>
      <c r="D264" s="198" t="s">
        <v>218</v>
      </c>
      <c r="E264" s="198"/>
      <c r="F264" s="200" t="n">
        <f aca="false">(B263-F263)+B264</f>
        <v>751.245302445344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0.05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0.1255</v>
      </c>
      <c r="C269" s="43"/>
      <c r="D269" s="166" t="s">
        <v>215</v>
      </c>
      <c r="E269" s="166"/>
      <c r="F269" s="146" t="n">
        <f aca="false">(B98*B68)-(C98*B68)</f>
        <v>12388.4536557787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0.005</v>
      </c>
      <c r="C270" s="32"/>
      <c r="D270" s="166" t="s">
        <v>221</v>
      </c>
      <c r="E270" s="166"/>
      <c r="F270" s="151" t="n">
        <f aca="false">B77</f>
        <v>126.25002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0.2</v>
      </c>
      <c r="C271" s="32"/>
      <c r="D271" s="166" t="s">
        <v>222</v>
      </c>
      <c r="E271" s="166"/>
      <c r="F271" s="146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99.9916666666667</v>
      </c>
      <c r="C272" s="32"/>
      <c r="D272" s="39" t="s">
        <v>218</v>
      </c>
      <c r="E272" s="39"/>
      <c r="F272" s="146" t="n">
        <f aca="false">(B263-F263)+B264</f>
        <v>751.245302445344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30" colorId="64" zoomScale="85" zoomScaleNormal="85" zoomScalePageLayoutView="100" workbookViewId="0">
      <selection pane="topLeft" activeCell="H148" activeCellId="0" sqref="H148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4.23" collapsed="false" outlineLevel="0"/>
    <col min="14" max="14" customWidth="true" hidden="false" style="1" width="16.72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19083.33</v>
      </c>
      <c r="C2" s="4" t="s">
        <v>2</v>
      </c>
      <c r="D2" s="5" t="n">
        <f aca="false">C9</f>
        <v>3816.666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22899.996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19083.33</v>
      </c>
      <c r="C9" s="14" t="n">
        <f aca="false">B9*0.2</f>
        <v>3816.666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19083.33</v>
      </c>
      <c r="C15" s="14" t="n">
        <f aca="false">SUM(C9:C13)</f>
        <v>3816.666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22899.996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19083.33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8.4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8.4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8.4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8.4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8.4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str">
        <f aca="false">A46</f>
        <v>50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42</v>
      </c>
      <c r="B34" s="32"/>
      <c r="C34" s="41" t="s">
        <v>43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19083.33</v>
      </c>
      <c r="B37" s="32"/>
      <c r="C37" s="41" t="s">
        <v>45</v>
      </c>
      <c r="D37" s="41"/>
      <c r="E37" s="32"/>
      <c r="F37" s="43" t="n">
        <f aca="false">A37-C37</f>
        <v>18083.33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11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C15</f>
        <v>3816.666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str">
        <f aca="false">IF(F43="Yes", A46, 0)</f>
        <v>50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234.722166666667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315.277833333333</v>
      </c>
      <c r="L45" s="2"/>
    </row>
    <row r="46" customFormat="false" ht="17.35" hidden="false" customHeight="false" outlineLevel="0" collapsed="false">
      <c r="A46" s="40" t="s">
        <v>233</v>
      </c>
      <c r="B46" s="32"/>
      <c r="C46" s="41" t="n">
        <v>1</v>
      </c>
      <c r="D46" s="41"/>
      <c r="E46" s="32"/>
      <c r="F46" s="41" t="n">
        <v>1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2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317.9445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267.9445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234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600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317.9445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 t="s">
        <v>4</v>
      </c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 t="s">
        <v>4</v>
      </c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 t="s">
        <v>4</v>
      </c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 t="s">
        <v>4</v>
      </c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40526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40526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40526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40526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12331.1999445488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126.25002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2026.3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202.63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317.9445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317.9445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317.9445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18083.33</v>
      </c>
      <c r="C90" s="32"/>
      <c r="D90" s="32"/>
      <c r="E90" s="23"/>
      <c r="F90" s="25" t="s">
        <v>105</v>
      </c>
      <c r="G90" s="27" t="n">
        <f aca="false">F37</f>
        <v>18083.33</v>
      </c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IF(A111="YES",A43,0)*1.2</f>
        <v>7200</v>
      </c>
      <c r="C91" s="32"/>
      <c r="D91" s="32"/>
      <c r="E91" s="23"/>
      <c r="F91" s="31" t="s">
        <v>106</v>
      </c>
      <c r="G91" s="33" t="n">
        <f aca="false">IF(A111="YES",A43,0)*1.2</f>
        <v>7200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0.115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0.00958333333333333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31" t="s">
        <v>109</v>
      </c>
      <c r="G94" s="33" t="n">
        <f aca="false">IF(G91=0, (B68+B67), (B68))</f>
        <v>11</v>
      </c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6421.35126042292</v>
      </c>
      <c r="C95" s="32"/>
      <c r="D95" s="32"/>
      <c r="E95" s="23"/>
      <c r="F95" s="31" t="s">
        <v>110</v>
      </c>
      <c r="G95" s="33" t="n">
        <f aca="false">(G91/((1+G93)^(G94+1)))</f>
        <v>6748.06930144099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10.3929099999715</v>
      </c>
      <c r="C96" s="32"/>
      <c r="D96" s="32"/>
      <c r="E96" s="23"/>
      <c r="F96" s="31" t="s">
        <v>111</v>
      </c>
      <c r="G96" s="33" t="n">
        <f aca="false">((1-(1/((1+G93)^G94)))/G93)</f>
        <v>10.6507347822959</v>
      </c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11661.9787395771</v>
      </c>
      <c r="C97" s="32"/>
      <c r="D97" s="32"/>
      <c r="E97" s="23"/>
      <c r="F97" s="31" t="s">
        <v>112</v>
      </c>
      <c r="G97" s="33" t="n">
        <f aca="false">G90-G95</f>
        <v>11335.260698559</v>
      </c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1122.10908586807</v>
      </c>
      <c r="C98" s="32"/>
      <c r="D98" s="32"/>
      <c r="E98" s="23"/>
      <c r="F98" s="31" t="s">
        <v>113</v>
      </c>
      <c r="G98" s="33" t="n">
        <f aca="false">(G97/G96)</f>
        <v>1064.27029967932</v>
      </c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12343.1999445488</v>
      </c>
      <c r="C99" s="32"/>
      <c r="D99" s="32"/>
      <c r="E99" s="23"/>
      <c r="F99" s="31" t="s">
        <v>114</v>
      </c>
      <c r="G99" s="33" t="n">
        <f aca="false">((G98*(G94))+G86)</f>
        <v>11706.9732964725</v>
      </c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12343.1999445488</v>
      </c>
      <c r="C101" s="32"/>
      <c r="D101" s="32"/>
      <c r="E101" s="23"/>
      <c r="F101" s="56" t="s">
        <v>116</v>
      </c>
      <c r="G101" s="65" t="n">
        <f aca="false">(G99+G100)</f>
        <v>11706.9732964725</v>
      </c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</f>
        <v>70.9090909090909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1122.10908586807</v>
      </c>
      <c r="C104" s="32"/>
      <c r="D104" s="32"/>
      <c r="E104" s="23"/>
      <c r="F104" s="95" t="s">
        <v>118</v>
      </c>
      <c r="G104" s="96" t="n">
        <f aca="false">G101/(G94)</f>
        <v>1064.27029967932</v>
      </c>
      <c r="H104" s="33"/>
      <c r="J104" s="95" t="s">
        <v>118</v>
      </c>
      <c r="K104" s="96" t="e">
        <f aca="false">K101/(K94)</f>
        <v>#VALUE!</v>
      </c>
      <c r="L104" s="32"/>
      <c r="M104" s="32"/>
      <c r="N104" s="23"/>
      <c r="O104" s="23"/>
      <c r="P104" s="23"/>
      <c r="Q104" s="33"/>
      <c r="S104" s="95" t="s">
        <v>118</v>
      </c>
      <c r="T104" s="96" t="e">
        <f aca="false">T101/(T94)</f>
        <v>#VALUE!</v>
      </c>
      <c r="U104" s="32"/>
      <c r="V104" s="32"/>
      <c r="W104" s="23"/>
      <c r="X104" s="23"/>
      <c r="Y104" s="23"/>
      <c r="Z104" s="33"/>
      <c r="AB104" s="95" t="s">
        <v>118</v>
      </c>
      <c r="AC104" s="96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1193.01817677716</v>
      </c>
      <c r="C105" s="32"/>
      <c r="D105" s="32"/>
      <c r="E105" s="23" t="s">
        <v>18</v>
      </c>
      <c r="F105" s="97" t="s">
        <v>119</v>
      </c>
      <c r="G105" s="98" t="n">
        <f aca="false">G103+G104</f>
        <v>1064.27029967932</v>
      </c>
      <c r="H105" s="33"/>
      <c r="J105" s="97" t="s">
        <v>119</v>
      </c>
      <c r="K105" s="98" t="e">
        <f aca="false">(K103+K104)</f>
        <v>#VALUE!</v>
      </c>
      <c r="L105" s="32"/>
      <c r="M105" s="32"/>
      <c r="N105" s="23"/>
      <c r="O105" s="23"/>
      <c r="P105" s="23"/>
      <c r="Q105" s="33"/>
      <c r="S105" s="97" t="s">
        <v>119</v>
      </c>
      <c r="T105" s="98" t="e">
        <f aca="false">T103+T104</f>
        <v>#VALUE!</v>
      </c>
      <c r="U105" s="32"/>
      <c r="V105" s="32"/>
      <c r="W105" s="23"/>
      <c r="X105" s="23"/>
      <c r="Y105" s="23"/>
      <c r="Z105" s="33"/>
      <c r="AB105" s="97" t="s">
        <v>119</v>
      </c>
      <c r="AC105" s="98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s">
        <v>235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 t="s">
        <v>236</v>
      </c>
      <c r="C114" s="103"/>
      <c r="D114" s="103"/>
      <c r="E114" s="104" t="s">
        <v>19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0.3</v>
      </c>
      <c r="B117" s="107" t="s">
        <v>132</v>
      </c>
      <c r="C117" s="107"/>
      <c r="D117" s="107"/>
      <c r="E117" s="108" t="n">
        <f aca="false">B92</f>
        <v>0.115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7" t="n">
        <v>0</v>
      </c>
      <c r="C120" s="107"/>
      <c r="D120" s="107"/>
      <c r="E120" s="107" t="n">
        <v>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 t="s">
        <v>4</v>
      </c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236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113"/>
      <c r="C127" s="113"/>
      <c r="D127" s="113"/>
      <c r="E127" s="113"/>
      <c r="F127" s="113"/>
      <c r="G127" s="11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120" t="n">
        <f aca="false">E19</f>
        <v>22899.996</v>
      </c>
      <c r="C130" s="121" t="n">
        <v>21041.67</v>
      </c>
      <c r="D130" s="120" t="n">
        <f aca="false">D12</f>
        <v>0</v>
      </c>
      <c r="E130" s="121" t="n">
        <f aca="false">D130</f>
        <v>0</v>
      </c>
      <c r="F130" s="120" t="n">
        <v>0</v>
      </c>
      <c r="G130" s="121" t="n">
        <f aca="false">F130</f>
        <v>0</v>
      </c>
      <c r="H130" s="122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22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22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3" t="n">
        <v>0</v>
      </c>
      <c r="C131" s="124" t="n">
        <f aca="false">B131</f>
        <v>0</v>
      </c>
      <c r="D131" s="123" t="n">
        <v>0</v>
      </c>
      <c r="E131" s="124" t="n">
        <f aca="false">D131</f>
        <v>0</v>
      </c>
      <c r="F131" s="123" t="n">
        <v>0</v>
      </c>
      <c r="G131" s="125" t="n">
        <f aca="false">F131</f>
        <v>0</v>
      </c>
      <c r="H131" s="126"/>
      <c r="J131" s="31" t="s">
        <v>150</v>
      </c>
      <c r="K131" s="127" t="n">
        <f aca="false">B4</f>
        <v>22899.996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str">
        <f aca="false">F4</f>
        <v> </v>
      </c>
      <c r="P131" s="128" t="str">
        <f aca="false">O131</f>
        <v> </v>
      </c>
      <c r="Q131" s="129"/>
      <c r="S131" s="31" t="s">
        <v>150</v>
      </c>
      <c r="T131" s="127" t="n">
        <f aca="false">B4</f>
        <v>22899.996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str">
        <f aca="false">F4</f>
        <v> </v>
      </c>
      <c r="Y131" s="128" t="str">
        <f aca="false">X131</f>
        <v> </v>
      </c>
      <c r="Z131" s="129"/>
      <c r="AB131" s="31" t="s">
        <v>150</v>
      </c>
      <c r="AC131" s="127" t="n">
        <f aca="false">B4</f>
        <v>22899.996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str">
        <f aca="false">F4</f>
        <v> </v>
      </c>
      <c r="AH131" s="128" t="str">
        <f aca="false">AG131</f>
        <v> </v>
      </c>
      <c r="AI131" s="129"/>
    </row>
    <row r="132" customFormat="false" ht="17.35" hidden="false" customHeight="false" outlineLevel="0" collapsed="false">
      <c r="A132" s="31" t="s">
        <v>151</v>
      </c>
      <c r="B132" s="130" t="n">
        <v>0</v>
      </c>
      <c r="C132" s="121" t="n">
        <f aca="false">B132</f>
        <v>0</v>
      </c>
      <c r="D132" s="130" t="n">
        <v>0</v>
      </c>
      <c r="E132" s="121" t="n">
        <f aca="false">D132</f>
        <v>0</v>
      </c>
      <c r="F132" s="130" t="n">
        <v>0</v>
      </c>
      <c r="G132" s="121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30" t="n">
        <f aca="false">(B130*B131)+B132</f>
        <v>0</v>
      </c>
      <c r="C133" s="131" t="n">
        <f aca="false">(C130*C131/100)+C132</f>
        <v>0</v>
      </c>
      <c r="D133" s="130" t="n">
        <f aca="false">(D130*D131)+D132</f>
        <v>0</v>
      </c>
      <c r="E133" s="131" t="n">
        <f aca="false">(E130*E131/100)+E132</f>
        <v>0</v>
      </c>
      <c r="F133" s="130" t="n">
        <f aca="false">(F130*F131)+F132</f>
        <v>0</v>
      </c>
      <c r="G133" s="131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32" t="n">
        <f aca="false">B130-B133</f>
        <v>22899.996</v>
      </c>
      <c r="C134" s="133" t="n">
        <f aca="false">C130-C133</f>
        <v>21041.67</v>
      </c>
      <c r="D134" s="132" t="n">
        <f aca="false">D130-D133</f>
        <v>0</v>
      </c>
      <c r="E134" s="133" t="n">
        <f aca="false">E130-E133</f>
        <v>0</v>
      </c>
      <c r="F134" s="132" t="n">
        <f aca="false">F130-F133</f>
        <v>0</v>
      </c>
      <c r="G134" s="133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93"/>
      <c r="C135" s="93"/>
      <c r="D135" s="93"/>
      <c r="E135" s="93"/>
      <c r="F135" s="93"/>
      <c r="G135" s="93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5"/>
      <c r="C136" s="135"/>
      <c r="D136" s="135"/>
      <c r="E136" s="135"/>
      <c r="F136" s="135"/>
      <c r="G136" s="136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93"/>
      <c r="C138" s="93"/>
      <c r="D138" s="93"/>
      <c r="E138" s="93"/>
      <c r="F138" s="93"/>
      <c r="G138" s="144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93"/>
      <c r="C143" s="93"/>
      <c r="D143" s="93"/>
      <c r="E143" s="93"/>
      <c r="F143" s="93"/>
      <c r="G143" s="144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6" t="n">
        <f aca="false">E21</f>
        <v>19083.33</v>
      </c>
      <c r="H144" s="153" t="n">
        <f aca="false">C134+E134+G134+H137</f>
        <v>21041.67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0</v>
      </c>
      <c r="Q144" s="153" t="e">
        <f aca="false">L134+N134+P134+Q137</f>
        <v>#VALUE!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0</v>
      </c>
      <c r="Z144" s="153" t="e">
        <f aca="false">U134+W134+Y134+Z137</f>
        <v>#VALUE!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0</v>
      </c>
      <c r="AI144" s="153" t="e">
        <f aca="false">AD134+AF134+AH134+AI137</f>
        <v>#VALUE!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5" t="n">
        <f aca="false">H19</f>
        <v>0</v>
      </c>
      <c r="H145" s="33" t="n">
        <f aca="false">G145</f>
        <v>0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0</v>
      </c>
      <c r="Q145" s="33" t="n">
        <f aca="false">P145</f>
        <v>0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0</v>
      </c>
      <c r="Z145" s="33" t="n">
        <f aca="false">Y145</f>
        <v>0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33" t="n">
        <f aca="false">(G144+G145)*20%</f>
        <v>3816.666</v>
      </c>
      <c r="H146" s="33" t="n">
        <f aca="false">(H144+H145)*20%</f>
        <v>4208.334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0</v>
      </c>
      <c r="Q146" s="33" t="e">
        <f aca="false">(Q144+Q145)*20%</f>
        <v>#VALUE!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0</v>
      </c>
      <c r="Z146" s="33" t="e">
        <f aca="false">(Z144+Z145)*20%</f>
        <v>#VALUE!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5" t="n">
        <f aca="false">H21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5" t="n">
        <f aca="false">H22</f>
        <v>0</v>
      </c>
      <c r="H148" s="33" t="n">
        <f aca="false">G148</f>
        <v>0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0</v>
      </c>
      <c r="Q148" s="33" t="n">
        <f aca="false">P148</f>
        <v>0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0</v>
      </c>
      <c r="Z148" s="33" t="n">
        <f aca="false">Y148</f>
        <v>0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5" t="n">
        <f aca="false">H23</f>
        <v>0</v>
      </c>
      <c r="H149" s="33" t="n">
        <f aca="false">G149</f>
        <v>0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0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0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7" t="n">
        <f aca="false">(G144+G145+G148+G149+G146)-G147</f>
        <v>22899.996</v>
      </c>
      <c r="H150" s="157" t="n">
        <f aca="false">(H144+H145+H148+H149+H146)-H147</f>
        <v>25250.004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0</v>
      </c>
      <c r="Q150" s="157" t="e">
        <f aca="false">(Q144+Q145+Q148+Q149+Q146)-Q147</f>
        <v>#VALUE!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0</v>
      </c>
      <c r="Z150" s="157" t="e">
        <f aca="false">(Z144+Z145+Z148+Z149+Z146)-Z147</f>
        <v>#VALUE!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0</v>
      </c>
      <c r="AI150" s="157" t="e">
        <f aca="false">(AI144+AI145+AI148+AI149+AI146)-AI147</f>
        <v>#VALUE!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40" t="n">
        <f aca="false">F151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3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n">
        <v>0</v>
      </c>
      <c r="C153" s="161"/>
      <c r="D153" s="161"/>
      <c r="E153" s="161"/>
      <c r="F153" s="161"/>
      <c r="G153" s="40" t="n">
        <v>0</v>
      </c>
      <c r="H153" s="40" t="n"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40" t="n"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40" t="n"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64" t="n">
        <f aca="false">G150-((G153*1.2)+(G154*1.2)+(G155*1.2)+(G151*1.2))</f>
        <v>22899.996</v>
      </c>
      <c r="H156" s="164" t="n">
        <f aca="false">H150-((H153*1.2)+(H154*1.2)+(H155*1.2)+(H151*1.2))</f>
        <v>25250.004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0</v>
      </c>
      <c r="Q156" s="164" t="e">
        <f aca="false">Q150-((Q153*1.2)+(Q154*1.2)+(Q155*1.2)+(Q151*1.2))</f>
        <v>#VALUE!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0</v>
      </c>
      <c r="Z156" s="164" t="e">
        <f aca="false">Z150-((Z153*1.2)+(Z154*1.2)+(Z155*1.2)+(Z151*1.2))</f>
        <v>#VALUE!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0</v>
      </c>
      <c r="AI156" s="164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5"/>
      <c r="H157" s="40" t="n">
        <f aca="false">((H156-G156)-(H146-G146))+((I155-I154)*0.2)</f>
        <v>1958.34</v>
      </c>
      <c r="I157" s="1" t="n">
        <f aca="false">(H157-G90)/1.2</f>
        <v>-13437.4916666667</v>
      </c>
      <c r="J157" s="154" t="s">
        <v>172</v>
      </c>
      <c r="K157" s="154"/>
      <c r="L157" s="154"/>
      <c r="M157" s="154"/>
      <c r="N157" s="154"/>
      <c r="O157" s="154"/>
      <c r="P157" s="156"/>
      <c r="Q157" s="40" t="e">
        <f aca="false">Q156-P156</f>
        <v>#VALUE!</v>
      </c>
      <c r="S157" s="154" t="s">
        <v>172</v>
      </c>
      <c r="T157" s="154"/>
      <c r="U157" s="154"/>
      <c r="V157" s="154"/>
      <c r="W157" s="154"/>
      <c r="X157" s="154"/>
      <c r="Y157" s="156"/>
      <c r="Z157" s="40" t="e">
        <f aca="false">Z156-Y156</f>
        <v>#VALUE!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</v>
      </c>
      <c r="F161" s="107"/>
      <c r="G161" s="107" t="n">
        <v>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25250.004</v>
      </c>
      <c r="H167" s="170"/>
      <c r="J167" s="169" t="s">
        <v>179</v>
      </c>
      <c r="K167" s="32"/>
      <c r="L167" s="32"/>
      <c r="M167" s="23"/>
      <c r="N167" s="32"/>
      <c r="O167" s="23"/>
      <c r="P167" s="170" t="e">
        <f aca="false">Q156-P163-P166</f>
        <v>#VALUE!</v>
      </c>
      <c r="Q167" s="170"/>
      <c r="S167" s="169" t="s">
        <v>179</v>
      </c>
      <c r="T167" s="32"/>
      <c r="U167" s="32"/>
      <c r="V167" s="23"/>
      <c r="W167" s="32"/>
      <c r="X167" s="23"/>
      <c r="Y167" s="170" t="e">
        <f aca="false">Z156-Y163-Y166</f>
        <v>#VALUE!</v>
      </c>
      <c r="Z167" s="170"/>
      <c r="AB167" s="169" t="s">
        <v>179</v>
      </c>
      <c r="AC167" s="32"/>
      <c r="AD167" s="32"/>
      <c r="AE167" s="23"/>
      <c r="AF167" s="32"/>
      <c r="AG167" s="23"/>
      <c r="AH167" s="170" t="e">
        <f aca="false">AI156-AH163-AH166</f>
        <v>#VALUE!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199.99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7200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1122.10908586807</v>
      </c>
      <c r="B176" s="177" t="n">
        <f aca="false">B103</f>
        <v>70.9090909090909</v>
      </c>
      <c r="C176" s="174"/>
      <c r="D176" s="174"/>
      <c r="E176" s="177" t="n">
        <f aca="false">B105</f>
        <v>1193.01817677716</v>
      </c>
      <c r="F176" s="23"/>
      <c r="G176" s="23" t="n">
        <f aca="false">ROUND(G104, 2)</f>
        <v>1064.27</v>
      </c>
      <c r="H176" s="33"/>
      <c r="J176" s="176" t="e">
        <f aca="false">K104</f>
        <v>#VALUE!</v>
      </c>
      <c r="K176" s="178" t="n">
        <f aca="false">K103</f>
        <v>0</v>
      </c>
      <c r="L176" s="175"/>
      <c r="M176" s="175"/>
      <c r="N176" s="178" t="e">
        <f aca="false">K105</f>
        <v>#VALUE!</v>
      </c>
      <c r="O176" s="23"/>
      <c r="P176" s="23"/>
      <c r="Q176" s="33"/>
      <c r="S176" s="176" t="e">
        <f aca="false">T104</f>
        <v>#VALUE!</v>
      </c>
      <c r="T176" s="178" t="n">
        <f aca="false">T103</f>
        <v>0</v>
      </c>
      <c r="U176" s="175"/>
      <c r="V176" s="175"/>
      <c r="W176" s="178" t="e">
        <f aca="false">T105</f>
        <v>#VALUE!</v>
      </c>
      <c r="X176" s="23"/>
      <c r="Y176" s="23"/>
      <c r="Z176" s="33"/>
      <c r="AB176" s="176" t="e">
        <f aca="false">AC104</f>
        <v>#VALUE!</v>
      </c>
      <c r="AC176" s="178" t="n">
        <f aca="false">AC103</f>
        <v>0</v>
      </c>
      <c r="AD176" s="175"/>
      <c r="AE176" s="175"/>
      <c r="AF176" s="178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str">
        <f aca="false">K29</f>
        <v>12</v>
      </c>
      <c r="B179" s="180" t="str">
        <f aca="false">K30</f>
        <v>5000</v>
      </c>
      <c r="C179" s="181"/>
      <c r="D179" s="23"/>
      <c r="E179" s="182" t="n">
        <v>6000</v>
      </c>
      <c r="F179" s="23"/>
      <c r="G179" s="23"/>
      <c r="H179" s="33"/>
      <c r="J179" s="179" t="str">
        <f aca="false">K29</f>
        <v>12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12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12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21041.67</v>
      </c>
      <c r="B182" s="103" t="n">
        <f aca="false">H146</f>
        <v>4208.334</v>
      </c>
      <c r="C182" s="186"/>
      <c r="D182" s="23"/>
      <c r="E182" s="182" t="n">
        <f aca="false">H148+H149</f>
        <v>0</v>
      </c>
      <c r="F182" s="23"/>
      <c r="G182" s="23"/>
      <c r="H182" s="33"/>
      <c r="J182" s="185" t="e">
        <f aca="false">Q150-Q146-Q148-Q149</f>
        <v>#VALUE!</v>
      </c>
      <c r="K182" s="38" t="e">
        <f aca="false">Q146</f>
        <v>#VALUE!</v>
      </c>
      <c r="L182" s="43"/>
      <c r="M182" s="23"/>
      <c r="N182" s="184" t="n">
        <f aca="false">Q148+Q149</f>
        <v>55</v>
      </c>
      <c r="O182" s="23"/>
      <c r="P182" s="23"/>
      <c r="Q182" s="33"/>
      <c r="S182" s="185" t="e">
        <f aca="false">Z150-Z146-Z148-Z149</f>
        <v>#VALUE!</v>
      </c>
      <c r="T182" s="38" t="e">
        <f aca="false">Z146</f>
        <v>#VALUE!</v>
      </c>
      <c r="U182" s="43"/>
      <c r="V182" s="23"/>
      <c r="W182" s="184" t="n">
        <f aca="false">Z148+Z149</f>
        <v>55</v>
      </c>
      <c r="X182" s="23"/>
      <c r="Y182" s="23"/>
      <c r="Z182" s="33"/>
      <c r="AB182" s="185" t="e">
        <f aca="false">AI150-AI146-AI148-AI149</f>
        <v>#VALUE!</v>
      </c>
      <c r="AC182" s="38" t="e">
        <f aca="false">AI146</f>
        <v>#VALUE!</v>
      </c>
      <c r="AD182" s="43"/>
      <c r="AE182" s="23"/>
      <c r="AF182" s="184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25250.004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25250.004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-6906.80405545124</v>
      </c>
      <c r="B191" s="103" t="str">
        <f aca="false">B123</f>
        <v>199.99</v>
      </c>
      <c r="C191" s="103"/>
      <c r="D191" s="23"/>
      <c r="E191" s="103" t="n">
        <f aca="false">E188+A191+(B191*1.2)+A194</f>
        <v>18593.1879445488</v>
      </c>
      <c r="F191" s="23"/>
      <c r="G191" s="23"/>
      <c r="H191" s="105"/>
      <c r="J191" s="111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5"/>
      <c r="S191" s="111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5"/>
      <c r="AB191" s="111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A188+B191*1.2</f>
        <v>239.988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</f>
        <v>8.1052</v>
      </c>
      <c r="B197" s="103" t="n">
        <f aca="false">(G167*B76)/1.2</f>
        <v>105.20835</v>
      </c>
      <c r="C197" s="93"/>
      <c r="D197" s="93"/>
      <c r="E197" s="103" t="n">
        <f aca="false">IF(E114="YES",(K55*A117*0.1), 0)</f>
        <v>0</v>
      </c>
      <c r="F197" s="23"/>
      <c r="G197" s="23"/>
      <c r="H197" s="33"/>
      <c r="J197" s="111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B191-100</f>
        <v>99.99</v>
      </c>
      <c r="B200" s="103" t="n">
        <f aca="false">B197+E197+A200</f>
        <v>205.19835</v>
      </c>
      <c r="C200" s="93"/>
      <c r="D200" s="93"/>
      <c r="E200" s="103" t="n">
        <f aca="false">H157</f>
        <v>1958.34</v>
      </c>
      <c r="F200" s="23"/>
      <c r="G200" s="23"/>
      <c r="H200" s="33"/>
      <c r="J200" s="111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11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11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1193.01817677716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-7543.034</v>
      </c>
      <c r="B210" s="186" t="n">
        <f aca="false">E188+A210+(B191*1.2)+A194</f>
        <v>17956.958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12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1122.10908586807</v>
      </c>
      <c r="B221" s="177" t="n">
        <f aca="false">B176</f>
        <v>70.9090909090909</v>
      </c>
      <c r="C221" s="174"/>
      <c r="D221" s="174"/>
      <c r="E221" s="177" t="n">
        <f aca="false">E176</f>
        <v>1193.01817677716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21041.67</v>
      </c>
      <c r="B224" s="103" t="n">
        <f aca="false">B182</f>
        <v>4208.334</v>
      </c>
      <c r="C224" s="186"/>
      <c r="D224" s="113"/>
      <c r="E224" s="182" t="n">
        <f aca="false">E182</f>
        <v>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25250.004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25250.004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-6906.80405545124</v>
      </c>
      <c r="B233" s="103" t="str">
        <f aca="false">B191</f>
        <v>199.99</v>
      </c>
      <c r="C233" s="103"/>
      <c r="D233" s="113"/>
      <c r="E233" s="103" t="n">
        <f aca="false">E191</f>
        <v>18593.1879445488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239.988</v>
      </c>
      <c r="C236" s="103"/>
      <c r="D236" s="113"/>
      <c r="E236" s="103" t="n">
        <f aca="false">B68</f>
        <v>11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1122.10908586807</v>
      </c>
      <c r="B239" s="103" t="n">
        <f aca="false">B176</f>
        <v>70.9090909090909</v>
      </c>
      <c r="C239" s="186"/>
      <c r="D239" s="186"/>
      <c r="E239" s="103" t="n">
        <f aca="false">E176</f>
        <v>1193.01817677716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</f>
        <v>24.3156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8.1052</v>
      </c>
      <c r="B245" s="103" t="n">
        <f aca="false">E242+A245</f>
        <v>32.4208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1958.34</v>
      </c>
      <c r="B249" s="103" t="n">
        <f aca="false">B197</f>
        <v>105.20835</v>
      </c>
      <c r="C249" s="93"/>
      <c r="D249" s="93"/>
      <c r="E249" s="103" t="n">
        <f aca="false">E197</f>
        <v>0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</v>
      </c>
      <c r="B252" s="103" t="n">
        <f aca="false">B249+E249+A252+A249</f>
        <v>2163.53835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0.115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200" t="n">
        <f aca="false">(E191-B191)-(B210-B191-A194)</f>
        <v>646.229944548759</v>
      </c>
      <c r="C263" s="197"/>
      <c r="D263" s="198" t="s">
        <v>216</v>
      </c>
      <c r="E263" s="198"/>
      <c r="F263" s="200" t="n">
        <f aca="false">F270+F276+F278+B279+B280</f>
        <v>126.25002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99.99</v>
      </c>
      <c r="C264" s="197"/>
      <c r="D264" s="198" t="s">
        <v>218</v>
      </c>
      <c r="E264" s="198"/>
      <c r="F264" s="200" t="n">
        <f aca="false">(B263-F263)+B264</f>
        <v>619.969924548759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0.05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0.115</v>
      </c>
      <c r="C269" s="43"/>
      <c r="D269" s="166" t="s">
        <v>215</v>
      </c>
      <c r="E269" s="166"/>
      <c r="F269" s="146" t="n">
        <f aca="false">(B98*B68)-(C98*B68)</f>
        <v>12343.1999445488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0.005</v>
      </c>
      <c r="C270" s="32"/>
      <c r="D270" s="166" t="s">
        <v>221</v>
      </c>
      <c r="E270" s="166"/>
      <c r="F270" s="151" t="n">
        <f aca="false">B77</f>
        <v>126.25002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0.3</v>
      </c>
      <c r="C271" s="32"/>
      <c r="D271" s="166" t="s">
        <v>222</v>
      </c>
      <c r="E271" s="166"/>
      <c r="F271" s="146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</v>
      </c>
      <c r="C272" s="32"/>
      <c r="D272" s="39" t="s">
        <v>218</v>
      </c>
      <c r="E272" s="39"/>
      <c r="F272" s="146" t="n">
        <f aca="false">(B263-F263)+B264</f>
        <v>619.969924548759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4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19458.33</v>
      </c>
      <c r="C2" s="4" t="s">
        <v>2</v>
      </c>
      <c r="D2" s="5" t="n">
        <f aca="false">C9</f>
        <v>3891.666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23349.996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19458.33</v>
      </c>
      <c r="C9" s="14" t="n">
        <f aca="false">B9*0.2</f>
        <v>3891.666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19458.33</v>
      </c>
      <c r="C15" s="14" t="n">
        <f aca="false">SUM(C9:C13)</f>
        <v>3891.666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23349.996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19458.33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45295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0"/>
      <c r="J32" s="44" t="s">
        <v>37</v>
      </c>
      <c r="K32" s="45" t="s">
        <v>245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249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s">
        <v>250</v>
      </c>
      <c r="I36" s="0"/>
      <c r="J36" s="44" t="s">
        <v>51</v>
      </c>
      <c r="K36" s="52" t="n">
        <f aca="false">K32-K34</f>
        <v>18458.33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n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500.363636363636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53" t="s">
        <v>4</v>
      </c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500.363636363636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14892.5045349552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241.4062125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18458.33</v>
      </c>
      <c r="C81" s="93"/>
      <c r="D81" s="93"/>
      <c r="E81" s="113"/>
      <c r="F81" s="25" t="s">
        <v>105</v>
      </c>
      <c r="G81" s="27" t="n">
        <f aca="false">B81</f>
        <v>18458.33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93"/>
      <c r="D82" s="93"/>
      <c r="E82" s="113"/>
      <c r="F82" s="31" t="s">
        <v>106</v>
      </c>
      <c r="G82" s="33" t="n">
        <f aca="false">IF(A111="YES",D41,0)*1.2</f>
        <v>7200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0.115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0.00958333333333333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5255.82391109543</v>
      </c>
      <c r="C86" s="93" t="n">
        <f aca="false">(B82/((1+B84)^(B85+1)))</f>
        <v>5255.82391109543</v>
      </c>
      <c r="D86" s="93"/>
      <c r="E86" s="113"/>
      <c r="F86" s="31" t="s">
        <v>110</v>
      </c>
      <c r="G86" s="33" t="n">
        <f aca="false">(G82/((1+G84)^(G85+1)))</f>
        <v>6024.37295128565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27.4464895133802</v>
      </c>
      <c r="C87" s="93" t="n">
        <f aca="false">((1-(1/((1+B84)^B85)))/B84)</f>
        <v>27.4464895133802</v>
      </c>
      <c r="D87" s="93"/>
      <c r="E87" s="113"/>
      <c r="F87" s="31" t="s">
        <v>111</v>
      </c>
      <c r="G87" s="33" t="n">
        <f aca="false">((1-(1/((1+G84)^G85)))/G84)</f>
        <v>29.3075648349115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13202.5060889046</v>
      </c>
      <c r="C88" s="93" t="n">
        <f aca="false">B81-B86</f>
        <v>13202.5060889046</v>
      </c>
      <c r="D88" s="93"/>
      <c r="E88" s="113"/>
      <c r="F88" s="31" t="s">
        <v>112</v>
      </c>
      <c r="G88" s="33" t="n">
        <f aca="false">G81-G86</f>
        <v>12433.9570487144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481.027130353713</v>
      </c>
      <c r="C89" s="93" t="n">
        <f aca="false">(B88/B87)</f>
        <v>481.027130353713</v>
      </c>
      <c r="D89" s="93"/>
      <c r="E89" s="113"/>
      <c r="F89" s="31" t="s">
        <v>113</v>
      </c>
      <c r="G89" s="33" t="n">
        <f aca="false">(G88/G87)</f>
        <v>424.257597611893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15392.8681713188</v>
      </c>
      <c r="C90" s="93"/>
      <c r="D90" s="93"/>
      <c r="E90" s="113"/>
      <c r="F90" s="31" t="s">
        <v>114</v>
      </c>
      <c r="G90" s="33" t="n">
        <f aca="false">((G89*(G85))+G77)</f>
        <v>13576.2431235806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15392.8681713188</v>
      </c>
      <c r="C92" s="93"/>
      <c r="D92" s="93"/>
      <c r="E92" s="113"/>
      <c r="F92" s="56" t="s">
        <v>116</v>
      </c>
      <c r="G92" s="65" t="n">
        <f aca="false">(G90+G91)</f>
        <v>13576.2431235806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n">
        <f aca="false">IF(B38="YES",((H36/B85)*(1+A108)*1.2),"0")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481.027130353713</v>
      </c>
      <c r="C95" s="93"/>
      <c r="D95" s="93"/>
      <c r="E95" s="113"/>
      <c r="F95" s="95" t="s">
        <v>118</v>
      </c>
      <c r="G95" s="96" t="n">
        <f aca="false">G92/(G85)</f>
        <v>424.257597611893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481.027130353713</v>
      </c>
      <c r="C96" s="93"/>
      <c r="D96" s="93"/>
      <c r="E96" s="113"/>
      <c r="F96" s="97" t="s">
        <v>119</v>
      </c>
      <c r="G96" s="98" t="n">
        <f aca="false">G94+G95</f>
        <v>424.257597611893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18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235</v>
      </c>
      <c r="C108" s="107"/>
      <c r="D108" s="107" t="n">
        <v>0</v>
      </c>
      <c r="E108" s="108" t="n">
        <f aca="false">B83</f>
        <v>0.115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23349.996</v>
      </c>
      <c r="C121" s="121" t="n">
        <v>21458.33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23349.996</v>
      </c>
      <c r="C125" s="133" t="n">
        <f aca="false">C121-C124</f>
        <v>21458.33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19458.33</v>
      </c>
      <c r="H135" s="153" t="n">
        <f aca="false">C125+E125+G125+H128</f>
        <v>21458.33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3891.666</v>
      </c>
      <c r="H137" s="33" t="n">
        <f aca="false">(H135+H136)*20%</f>
        <v>4291.666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23349.996</v>
      </c>
      <c r="H141" s="157" t="n">
        <f aca="false">(H135+H136+H139+H140+H137)-H138</f>
        <v>25749.996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23349.996</v>
      </c>
      <c r="H147" s="164" t="n">
        <f aca="false">H141-((H144*1.2)+(H145*1.2)+(H146*1.2)+(H142*1.2))</f>
        <v>25749.996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-13715.275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25749.996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481.027130353713</v>
      </c>
      <c r="B167" s="177" t="n">
        <f aca="false">B94</f>
        <v>0</v>
      </c>
      <c r="C167" s="174"/>
      <c r="D167" s="174"/>
      <c r="E167" s="177" t="n">
        <f aca="false">B96</f>
        <v>481.027130353713</v>
      </c>
      <c r="F167" s="23"/>
      <c r="G167" s="23" t="n">
        <f aca="false">ROUND(G95, 2)</f>
        <v>424.26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n">
        <f aca="false">B29</f>
        <v>12345</v>
      </c>
      <c r="B170" s="180" t="n">
        <f aca="false">B30</f>
        <v>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21458.33</v>
      </c>
      <c r="B173" s="103" t="n">
        <f aca="false">H137</f>
        <v>4291.666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25749.996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25749.996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-3157.12782868118</v>
      </c>
      <c r="B182" s="103" t="str">
        <f aca="false">B114</f>
        <v>239.99</v>
      </c>
      <c r="C182" s="103"/>
      <c r="D182" s="23"/>
      <c r="E182" s="103" t="n">
        <f aca="false">E179+A182+B182+A185</f>
        <v>22842.8581713188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9.72624</v>
      </c>
      <c r="B188" s="103" t="n">
        <f aca="false">(G158*B67)/1.2</f>
        <v>201.17184375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301.163510416667</v>
      </c>
      <c r="C191" s="93"/>
      <c r="D191" s="93"/>
      <c r="E191" s="103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481.027130353713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-4973.676</v>
      </c>
      <c r="B201" s="186" t="n">
        <f aca="false">E179+A201+B182+A185</f>
        <v>21026.31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481.027130353713</v>
      </c>
      <c r="B212" s="177" t="n">
        <f aca="false">B167</f>
        <v>0</v>
      </c>
      <c r="C212" s="174"/>
      <c r="D212" s="174"/>
      <c r="E212" s="177" t="n">
        <f aca="false">E167</f>
        <v>481.027130353713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21458.33</v>
      </c>
      <c r="B215" s="103" t="n">
        <f aca="false">B173</f>
        <v>4291.666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25749.996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25749.996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-3157.12782868118</v>
      </c>
      <c r="B224" s="103" t="str">
        <f aca="false">B182</f>
        <v>239.99</v>
      </c>
      <c r="C224" s="103"/>
      <c r="D224" s="113"/>
      <c r="E224" s="103" t="n">
        <f aca="false">E182</f>
        <v>22842.8581713188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481.027130353713</v>
      </c>
      <c r="B230" s="103" t="n">
        <f aca="false">B167</f>
        <v>0</v>
      </c>
      <c r="C230" s="186"/>
      <c r="D230" s="186"/>
      <c r="E230" s="103" t="n">
        <f aca="false">E167</f>
        <v>481.027130353713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J18*0.000006*100*1.2</f>
        <v>29.17872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9.72624</v>
      </c>
      <c r="B236" s="103" t="n">
        <f aca="false">E233+A236</f>
        <v>38.90496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B188</f>
        <v>201.17184375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2301.16351041667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1826.54817131882</v>
      </c>
      <c r="C254" s="197"/>
      <c r="D254" s="198" t="s">
        <v>216</v>
      </c>
      <c r="E254" s="198"/>
      <c r="F254" s="200" t="n">
        <f aca="false">F261+F267+F269+B270+B271</f>
        <v>241.4062125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1685.13362548549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0.115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241.4062125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1685.13362548549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1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19458.33</v>
      </c>
      <c r="C2" s="4" t="s">
        <v>2</v>
      </c>
      <c r="D2" s="5" t="n">
        <f aca="false">C9</f>
        <v>3891.666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23349.996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19458.33</v>
      </c>
      <c r="C9" s="14" t="n">
        <f aca="false">B9*0.2</f>
        <v>3891.666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19458.33</v>
      </c>
      <c r="C15" s="14" t="n">
        <f aca="false">SUM(C9:C13)</f>
        <v>3891.666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23349.996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19458.33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45295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0"/>
      <c r="J32" s="44" t="s">
        <v>37</v>
      </c>
      <c r="K32" s="45" t="s">
        <v>245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18458.33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12375.0424566654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128.74998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18458.33</v>
      </c>
      <c r="C81" s="93"/>
      <c r="D81" s="93"/>
      <c r="E81" s="113"/>
      <c r="F81" s="25" t="s">
        <v>105</v>
      </c>
      <c r="G81" s="27" t="n">
        <f aca="false">B81</f>
        <v>18458.33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0.1255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0.0104583333333333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6354.94179987962</v>
      </c>
      <c r="C86" s="93" t="n">
        <f aca="false">(B82/((1+B84)^(B85+1)))</f>
        <v>6354.94179987962</v>
      </c>
      <c r="D86" s="93"/>
      <c r="E86" s="113"/>
      <c r="F86" s="31" t="s">
        <v>110</v>
      </c>
      <c r="G86" s="33" t="n">
        <f aca="false">(G82/((1+G84)^(G85+1)))</f>
        <v>5623.39108453416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10.3399216528992</v>
      </c>
      <c r="C87" s="93" t="n">
        <f aca="false">((1-(1/((1+B84)^B85)))/B84)</f>
        <v>10.3399216528992</v>
      </c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12103.3882001204</v>
      </c>
      <c r="C88" s="93" t="n">
        <f aca="false">B81-B86</f>
        <v>12103.3882001204</v>
      </c>
      <c r="D88" s="93"/>
      <c r="E88" s="113"/>
      <c r="F88" s="31" t="s">
        <v>112</v>
      </c>
      <c r="G88" s="33" t="n">
        <f aca="false">G81-G86</f>
        <v>12834.9389154658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1170.54931424231</v>
      </c>
      <c r="C89" s="93" t="n">
        <f aca="false">(B88/B87)</f>
        <v>1170.54931424231</v>
      </c>
      <c r="D89" s="93"/>
      <c r="E89" s="113"/>
      <c r="F89" s="31" t="s">
        <v>113</v>
      </c>
      <c r="G89" s="33" t="n">
        <f aca="false">(G88/G87)</f>
        <v>1205.07544106728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12876.0424566654</v>
      </c>
      <c r="C90" s="93"/>
      <c r="D90" s="93"/>
      <c r="E90" s="113"/>
      <c r="F90" s="31" t="s">
        <v>114</v>
      </c>
      <c r="G90" s="33" t="n">
        <f aca="false">((G89*(G85))+G77)</f>
        <v>13255.8298517401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12876.0424566654</v>
      </c>
      <c r="C92" s="93"/>
      <c r="D92" s="93"/>
      <c r="E92" s="113"/>
      <c r="F92" s="56" t="s">
        <v>116</v>
      </c>
      <c r="G92" s="65" t="n">
        <f aca="false">(G90+G91)</f>
        <v>13255.8298517401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1170.54931424231</v>
      </c>
      <c r="C95" s="93"/>
      <c r="D95" s="93"/>
      <c r="E95" s="113"/>
      <c r="F95" s="95" t="s">
        <v>118</v>
      </c>
      <c r="G95" s="96" t="n">
        <f aca="false">G92/(G85)</f>
        <v>1205.07544106728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1170.54931424231</v>
      </c>
      <c r="C96" s="93"/>
      <c r="D96" s="93"/>
      <c r="E96" s="113"/>
      <c r="F96" s="97" t="s">
        <v>119</v>
      </c>
      <c r="G96" s="98" t="n">
        <f aca="false">G94+G95</f>
        <v>1205.07544106728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235</v>
      </c>
      <c r="C108" s="107"/>
      <c r="D108" s="107" t="n">
        <v>0</v>
      </c>
      <c r="E108" s="108" t="n">
        <f aca="false">B83</f>
        <v>0.1255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236</v>
      </c>
      <c r="C114" s="107"/>
      <c r="D114" s="107"/>
      <c r="E114" s="107" t="s">
        <v>18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23349.996</v>
      </c>
      <c r="C121" s="121" t="n">
        <v>21458.33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23349.996</v>
      </c>
      <c r="C125" s="133" t="n">
        <f aca="false">C121-C124</f>
        <v>21458.33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19458.33</v>
      </c>
      <c r="H135" s="153" t="n">
        <f aca="false">C125+E125+G125+H128</f>
        <v>21458.33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3891.666</v>
      </c>
      <c r="H137" s="33" t="n">
        <f aca="false">(H135+H136)*20%</f>
        <v>4291.666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23349.996</v>
      </c>
      <c r="H141" s="157" t="n">
        <f aca="false">(H135+H136+H139+H140+H137)-H138</f>
        <v>25749.996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23349.996</v>
      </c>
      <c r="H147" s="164" t="n">
        <f aca="false">H141-((H144*1.2)+(H145*1.2)+(H146*1.2)+(H142*1.2))</f>
        <v>25749.996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-13715.275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25749.996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 t="n">
        <v>0</v>
      </c>
      <c r="F161" s="23"/>
      <c r="G161" s="23" t="n">
        <v>0</v>
      </c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 t="n">
        <v>0</v>
      </c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1170.54931424231</v>
      </c>
      <c r="B167" s="177" t="str">
        <f aca="false">B94</f>
        <v>0</v>
      </c>
      <c r="C167" s="174"/>
      <c r="D167" s="174"/>
      <c r="E167" s="177" t="n">
        <f aca="false">B96</f>
        <v>1170.54931424231</v>
      </c>
      <c r="F167" s="23"/>
      <c r="G167" s="23" t="n">
        <f aca="false">ROUND(G95, 2)</f>
        <v>1205.08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180" t="str">
        <f aca="false">H30</f>
        <v>5000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21458.33</v>
      </c>
      <c r="B173" s="103" t="n">
        <f aca="false">H137</f>
        <v>4291.666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25749.996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25749.996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-5673.95354333458</v>
      </c>
      <c r="B182" s="103" t="str">
        <f aca="false">B114</f>
        <v>199.99</v>
      </c>
      <c r="C182" s="103"/>
      <c r="D182" s="23"/>
      <c r="E182" s="103" t="n">
        <f aca="false">E179+A182+(B182*1.2)+A185</f>
        <v>20326.0304566654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239.988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8.1052</v>
      </c>
      <c r="B188" s="103" t="n">
        <f aca="false">(G158*B67)/1.2</f>
        <v>107.29165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207.28165</v>
      </c>
      <c r="C191" s="93"/>
      <c r="D191" s="93"/>
      <c r="E191" s="103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1170.54931424231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-5294.11600000001</v>
      </c>
      <c r="B201" s="186" t="n">
        <f aca="false">E179+A201+(B182*1.2)+A185</f>
        <v>20705.868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1170.54931424231</v>
      </c>
      <c r="B212" s="177" t="str">
        <f aca="false">B167</f>
        <v>0</v>
      </c>
      <c r="C212" s="174"/>
      <c r="D212" s="174"/>
      <c r="E212" s="177" t="n">
        <f aca="false">E167</f>
        <v>1170.54931424231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21458.33</v>
      </c>
      <c r="B215" s="103" t="n">
        <f aca="false">B173</f>
        <v>4291.666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25749.996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25749.996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-5673.95354333458</v>
      </c>
      <c r="B224" s="103" t="str">
        <f aca="false">B182</f>
        <v>199.99</v>
      </c>
      <c r="C224" s="103"/>
      <c r="D224" s="113"/>
      <c r="E224" s="103" t="n">
        <f aca="false">E182</f>
        <v>20326.0304566654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1170.54931424231</v>
      </c>
      <c r="B230" s="103" t="str">
        <f aca="false">B167</f>
        <v>0</v>
      </c>
      <c r="C230" s="186"/>
      <c r="D230" s="186"/>
      <c r="E230" s="103" t="n">
        <f aca="false">E167</f>
        <v>1170.54931424231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J18*0.000006*100</f>
        <v>24.3156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8.1052</v>
      </c>
      <c r="B236" s="103" t="n">
        <f aca="false">E233+A236</f>
        <v>32.4208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B188</f>
        <v>107.29165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2207.28165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-369.837543334572</v>
      </c>
      <c r="C254" s="197"/>
      <c r="D254" s="198" t="s">
        <v>216</v>
      </c>
      <c r="E254" s="198"/>
      <c r="F254" s="200" t="n">
        <f aca="false">F261+F267+F269+B270+B271</f>
        <v>128.74998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-398.597523334572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0.1255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128.74998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-398.597523334572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1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19458.33</v>
      </c>
      <c r="C2" s="4" t="s">
        <v>2</v>
      </c>
      <c r="D2" s="5" t="n">
        <f aca="false">C9</f>
        <v>3891.666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23349.996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19458.33</v>
      </c>
      <c r="C9" s="14" t="n">
        <f aca="false">B9*0.2</f>
        <v>3891.666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19458.33</v>
      </c>
      <c r="C15" s="14" t="n">
        <f aca="false">SUM(C9:C13)</f>
        <v>3891.666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23349.996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19458.33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45295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0"/>
      <c r="J32" s="44" t="s">
        <v>37</v>
      </c>
      <c r="K32" s="45" t="s">
        <v>245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18458.33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12375.0424566654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128.74998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18458.33</v>
      </c>
      <c r="C81" s="93"/>
      <c r="D81" s="93"/>
      <c r="E81" s="113"/>
      <c r="F81" s="25" t="s">
        <v>105</v>
      </c>
      <c r="G81" s="27" t="n">
        <f aca="false">B81</f>
        <v>18458.33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93"/>
      <c r="D82" s="93"/>
      <c r="E82" s="113"/>
      <c r="F82" s="31" t="s">
        <v>106</v>
      </c>
      <c r="G82" s="33" t="n">
        <f aca="false">IF(A111="YES",D41,0)*1.2</f>
        <v>7200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0.1255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0.0104583333333333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6354.94179987962</v>
      </c>
      <c r="C86" s="93" t="n">
        <f aca="false">(B82/((1+B84)^(B85+1)))</f>
        <v>6354.94179987962</v>
      </c>
      <c r="D86" s="93"/>
      <c r="E86" s="113"/>
      <c r="F86" s="31" t="s">
        <v>110</v>
      </c>
      <c r="G86" s="33" t="n">
        <f aca="false">(G82/((1+G84)^(G85+1)))</f>
        <v>6748.06930144099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10.3399216528992</v>
      </c>
      <c r="C87" s="93" t="n">
        <f aca="false">((1-(1/((1+B84)^B85)))/B84)</f>
        <v>10.3399216528992</v>
      </c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12103.3882001204</v>
      </c>
      <c r="C88" s="93" t="n">
        <f aca="false">B81-B86</f>
        <v>12103.3882001204</v>
      </c>
      <c r="D88" s="93"/>
      <c r="E88" s="113"/>
      <c r="F88" s="31" t="s">
        <v>112</v>
      </c>
      <c r="G88" s="33" t="n">
        <f aca="false">G81-G86</f>
        <v>11710.260698559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1170.54931424231</v>
      </c>
      <c r="C89" s="93" t="n">
        <f aca="false">(B88/B87)</f>
        <v>1170.54931424231</v>
      </c>
      <c r="D89" s="93"/>
      <c r="E89" s="113"/>
      <c r="F89" s="31" t="s">
        <v>113</v>
      </c>
      <c r="G89" s="33" t="n">
        <f aca="false">(G88/G87)</f>
        <v>1099.47913809893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12876.0424566654</v>
      </c>
      <c r="C90" s="93"/>
      <c r="D90" s="93"/>
      <c r="E90" s="113"/>
      <c r="F90" s="31" t="s">
        <v>114</v>
      </c>
      <c r="G90" s="33" t="n">
        <f aca="false">((G89*(G85))+G77)</f>
        <v>12094.2705190883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12876.0424566654</v>
      </c>
      <c r="C92" s="93"/>
      <c r="D92" s="93"/>
      <c r="E92" s="113"/>
      <c r="F92" s="56" t="s">
        <v>116</v>
      </c>
      <c r="G92" s="65" t="n">
        <f aca="false">(G90+G91)</f>
        <v>12094.2705190883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IF(B38="YES",((H36/B85)*(1+A108)*1.2),"0")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1170.54931424231</v>
      </c>
      <c r="C95" s="93"/>
      <c r="D95" s="93"/>
      <c r="E95" s="113"/>
      <c r="F95" s="95" t="s">
        <v>118</v>
      </c>
      <c r="G95" s="96" t="n">
        <f aca="false">G92/(G85)</f>
        <v>1099.47913809893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1170.54931424231</v>
      </c>
      <c r="C96" s="93"/>
      <c r="D96" s="93"/>
      <c r="E96" s="113"/>
      <c r="F96" s="97" t="s">
        <v>119</v>
      </c>
      <c r="G96" s="98" t="n">
        <f aca="false">G94+G95</f>
        <v>1099.47913809893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272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273</v>
      </c>
      <c r="C108" s="107"/>
      <c r="D108" s="107" t="n">
        <v>0</v>
      </c>
      <c r="E108" s="108" t="n">
        <f aca="false">B83</f>
        <v>0.1255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23349.996</v>
      </c>
      <c r="C121" s="121" t="n">
        <v>21458.33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23349.996</v>
      </c>
      <c r="C125" s="133" t="n">
        <f aca="false">C121-C124</f>
        <v>21458.33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19458.33</v>
      </c>
      <c r="H135" s="153" t="n">
        <f aca="false">C125+E125+G125+H128</f>
        <v>21458.33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3891.666</v>
      </c>
      <c r="H137" s="33" t="n">
        <f aca="false">(H135+H136)*20%</f>
        <v>4291.666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23349.996</v>
      </c>
      <c r="H141" s="157" t="n">
        <f aca="false">(H135+H136+H139+H140+H137)-H138</f>
        <v>25749.996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23349.996</v>
      </c>
      <c r="H147" s="164" t="n">
        <f aca="false">H141-((H144*1.2)+(H145*1.2)+(H146*1.2)+(H142*1.2))</f>
        <v>25749.996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-13715.275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25749.996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1170.54931424231</v>
      </c>
      <c r="B167" s="177" t="str">
        <f aca="false">B94</f>
        <v>0</v>
      </c>
      <c r="C167" s="174"/>
      <c r="D167" s="174"/>
      <c r="E167" s="177" t="n">
        <f aca="false">B96</f>
        <v>1170.54931424231</v>
      </c>
      <c r="F167" s="23"/>
      <c r="G167" s="23" t="n">
        <f aca="false">ROUND(G95, 2)</f>
        <v>1099.48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229" t="str">
        <f aca="false">H30</f>
        <v>5000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21458.33</v>
      </c>
      <c r="B173" s="103" t="n">
        <f aca="false">H137</f>
        <v>4291.666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25749.996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25749.996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-5673.95354333458</v>
      </c>
      <c r="B182" s="103" t="str">
        <f aca="false">B114</f>
        <v>239.99</v>
      </c>
      <c r="C182" s="103"/>
      <c r="D182" s="23"/>
      <c r="E182" s="103" t="n">
        <f aca="false">E179+A182+B182+A185</f>
        <v>20326.0324566654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9.72624</v>
      </c>
      <c r="B188" s="103" t="n">
        <f aca="false">(G158*B67)/1.2</f>
        <v>107.29165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207.283316666667</v>
      </c>
      <c r="C191" s="93"/>
      <c r="D191" s="93"/>
      <c r="E191" s="103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1170.54931424231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-6455.716</v>
      </c>
      <c r="B201" s="186" t="n">
        <f aca="false">E179+A201+B182+A185</f>
        <v>19544.27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1170.54931424231</v>
      </c>
      <c r="B212" s="177" t="str">
        <f aca="false">B167</f>
        <v>0</v>
      </c>
      <c r="C212" s="174"/>
      <c r="D212" s="174"/>
      <c r="E212" s="177" t="n">
        <f aca="false">E167</f>
        <v>1170.54931424231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21458.33</v>
      </c>
      <c r="B215" s="103" t="n">
        <f aca="false">B173</f>
        <v>4291.666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25749.996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25749.996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-5673.95354333458</v>
      </c>
      <c r="B224" s="103" t="str">
        <f aca="false">B182</f>
        <v>239.99</v>
      </c>
      <c r="C224" s="103"/>
      <c r="D224" s="113"/>
      <c r="E224" s="103" t="n">
        <f aca="false">E182</f>
        <v>20326.0324566654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1170.54931424231</v>
      </c>
      <c r="B230" s="103" t="str">
        <f aca="false">B167</f>
        <v>0</v>
      </c>
      <c r="C230" s="186"/>
      <c r="D230" s="186"/>
      <c r="E230" s="103" t="n">
        <f aca="false">E167</f>
        <v>1170.54931424231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A188</f>
        <v>9.72624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B188</f>
        <v>107.29165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2207.28331666667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791.762456665427</v>
      </c>
      <c r="C254" s="197"/>
      <c r="D254" s="198" t="s">
        <v>216</v>
      </c>
      <c r="E254" s="198"/>
      <c r="F254" s="200" t="n">
        <f aca="false">F261+F267+F269+B270+B271</f>
        <v>128.74998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763.004143332093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0.1255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128.74998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763.004143332093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1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19458.33</v>
      </c>
      <c r="C2" s="4" t="s">
        <v>2</v>
      </c>
      <c r="D2" s="5" t="n">
        <f aca="false">C9</f>
        <v>3891.666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23349.996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19458.33</v>
      </c>
      <c r="C9" s="14" t="n">
        <f aca="false">B9*0.2</f>
        <v>3891.666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19458.33</v>
      </c>
      <c r="C15" s="14" t="n">
        <f aca="false">SUM(C9:C13)</f>
        <v>3891.666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23349.996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19458.33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45295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0"/>
      <c r="J32" s="44" t="s">
        <v>37</v>
      </c>
      <c r="K32" s="263" t="s">
        <v>245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18458.33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264" t="s">
        <v>4</v>
      </c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12375.0424566654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128.74998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18458.33</v>
      </c>
      <c r="C81" s="93"/>
      <c r="D81" s="93"/>
      <c r="E81" s="113"/>
      <c r="F81" s="25" t="s">
        <v>105</v>
      </c>
      <c r="G81" s="27" t="n">
        <f aca="false">B81</f>
        <v>18458.33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93"/>
      <c r="D82" s="93"/>
      <c r="E82" s="113"/>
      <c r="F82" s="31" t="s">
        <v>106</v>
      </c>
      <c r="G82" s="33" t="n">
        <f aca="false">IF(A111="YES",D41,0)*1.2</f>
        <v>7200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0.1255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0.0104583333333333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6354.94179987962</v>
      </c>
      <c r="C86" s="93" t="n">
        <f aca="false">(B82/((1+B84)^(B85+1)))</f>
        <v>6354.94179987962</v>
      </c>
      <c r="D86" s="93"/>
      <c r="E86" s="113"/>
      <c r="F86" s="31" t="s">
        <v>110</v>
      </c>
      <c r="G86" s="33" t="n">
        <f aca="false">(G82/((1+G84)^(G85+1)))</f>
        <v>6748.06930144099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10.3399216528992</v>
      </c>
      <c r="C87" s="93" t="n">
        <f aca="false">((1-(1/((1+B84)^B85)))/B84)</f>
        <v>10.3399216528992</v>
      </c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12103.3882001204</v>
      </c>
      <c r="C88" s="93" t="n">
        <f aca="false">B81-B86</f>
        <v>12103.3882001204</v>
      </c>
      <c r="D88" s="93"/>
      <c r="E88" s="113"/>
      <c r="F88" s="31" t="s">
        <v>112</v>
      </c>
      <c r="G88" s="33" t="n">
        <f aca="false">G81-G86</f>
        <v>11710.260698559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1170.54931424231</v>
      </c>
      <c r="C89" s="93" t="n">
        <f aca="false">(B88/B87)</f>
        <v>1170.54931424231</v>
      </c>
      <c r="D89" s="93"/>
      <c r="E89" s="113"/>
      <c r="F89" s="31" t="s">
        <v>113</v>
      </c>
      <c r="G89" s="33" t="n">
        <f aca="false">(G88/G87)</f>
        <v>1099.47913809893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12876.0424566654</v>
      </c>
      <c r="C90" s="93"/>
      <c r="D90" s="93"/>
      <c r="E90" s="113"/>
      <c r="F90" s="31" t="s">
        <v>114</v>
      </c>
      <c r="G90" s="33" t="n">
        <f aca="false">((G89*(G85))+G77)</f>
        <v>12094.2705190883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12876.0424566654</v>
      </c>
      <c r="C92" s="93"/>
      <c r="D92" s="93"/>
      <c r="E92" s="113"/>
      <c r="F92" s="56" t="s">
        <v>116</v>
      </c>
      <c r="G92" s="65" t="n">
        <f aca="false">(G90+G91)</f>
        <v>12094.2705190883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1170.54931424231</v>
      </c>
      <c r="C95" s="93"/>
      <c r="D95" s="93"/>
      <c r="E95" s="113"/>
      <c r="F95" s="95" t="s">
        <v>118</v>
      </c>
      <c r="G95" s="96" t="n">
        <f aca="false">G92/(G85)</f>
        <v>1099.47913809893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1170.54931424231</v>
      </c>
      <c r="C96" s="93"/>
      <c r="D96" s="93"/>
      <c r="E96" s="113"/>
      <c r="F96" s="97" t="s">
        <v>119</v>
      </c>
      <c r="G96" s="98" t="n">
        <f aca="false">G94+G95</f>
        <v>1099.47913809893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235</v>
      </c>
      <c r="C108" s="107"/>
      <c r="D108" s="107" t="n">
        <v>0</v>
      </c>
      <c r="E108" s="108" t="n">
        <f aca="false">B83</f>
        <v>0.1255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236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23349.996</v>
      </c>
      <c r="C121" s="121" t="n">
        <v>21458.33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23349.996</v>
      </c>
      <c r="C125" s="133" t="n">
        <f aca="false">C121-C124</f>
        <v>21458.33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19458.33</v>
      </c>
      <c r="H135" s="153" t="n">
        <f aca="false">C125+E125+G125+H128</f>
        <v>21458.33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3891.666</v>
      </c>
      <c r="H137" s="33" t="n">
        <f aca="false">(H135+H136)*20%</f>
        <v>4291.666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23349.996</v>
      </c>
      <c r="H141" s="157" t="n">
        <f aca="false">(H135+H136+H139+H140+H137)-H138</f>
        <v>25749.996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23349.996</v>
      </c>
      <c r="H147" s="164" t="n">
        <f aca="false">H141-((H144*1.2)+(H145*1.2)+(H146*1.2)+(H142*1.2))</f>
        <v>25749.996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-13715.275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25749.996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1170.54931424231</v>
      </c>
      <c r="B167" s="177" t="str">
        <f aca="false">B94</f>
        <v>0</v>
      </c>
      <c r="C167" s="174"/>
      <c r="D167" s="174"/>
      <c r="E167" s="177" t="n">
        <f aca="false">B96</f>
        <v>1170.54931424231</v>
      </c>
      <c r="F167" s="23"/>
      <c r="G167" s="23" t="n">
        <f aca="false">ROUND(G95, 2)</f>
        <v>1099.48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229" t="str">
        <f aca="false">H30</f>
        <v>5000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21458.33</v>
      </c>
      <c r="B173" s="103" t="n">
        <f aca="false">H137</f>
        <v>4291.666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25749.996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25749.996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-5673.95354333458</v>
      </c>
      <c r="B182" s="103" t="str">
        <f aca="false">B114</f>
        <v>199.99</v>
      </c>
      <c r="C182" s="103"/>
      <c r="D182" s="23"/>
      <c r="E182" s="103" t="n">
        <f aca="false">E179+A182+(B182*1.2)+A185</f>
        <v>20326.0304566654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239.988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8.1052</v>
      </c>
      <c r="B188" s="103" t="n">
        <f aca="false">(G158*B67)/1.2</f>
        <v>107.29165</v>
      </c>
      <c r="C188" s="93"/>
      <c r="D188" s="93"/>
      <c r="E188" s="103" t="n">
        <f aca="false">IF(E105 ="YES"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207.28165</v>
      </c>
      <c r="C191" s="93"/>
      <c r="D191" s="93"/>
      <c r="E191" s="103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1170.54931424231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-6455.716</v>
      </c>
      <c r="B201" s="186" t="n">
        <f aca="false">E179+A201+(B182*1.2)+A185</f>
        <v>19544.268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1170.54931424231</v>
      </c>
      <c r="B212" s="177" t="str">
        <f aca="false">B167</f>
        <v>0</v>
      </c>
      <c r="C212" s="174"/>
      <c r="D212" s="174"/>
      <c r="E212" s="177" t="n">
        <f aca="false">E167</f>
        <v>1170.54931424231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21458.33</v>
      </c>
      <c r="B215" s="103" t="n">
        <f aca="false">B173</f>
        <v>4291.666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25749.996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25749.996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-5673.95354333458</v>
      </c>
      <c r="B224" s="103" t="str">
        <f aca="false">B182</f>
        <v>199.99</v>
      </c>
      <c r="C224" s="103"/>
      <c r="D224" s="113"/>
      <c r="E224" s="103" t="n">
        <f aca="false">E182</f>
        <v>20326.0304566654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1170.54931424231</v>
      </c>
      <c r="B230" s="103" t="str">
        <f aca="false">B167</f>
        <v>0</v>
      </c>
      <c r="C230" s="186"/>
      <c r="D230" s="186"/>
      <c r="E230" s="103" t="n">
        <f aca="false">E167</f>
        <v>1170.54931424231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A188</f>
        <v>8.1052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B188</f>
        <v>107.29165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2207.28165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791.762456665427</v>
      </c>
      <c r="C254" s="197"/>
      <c r="D254" s="198" t="s">
        <v>216</v>
      </c>
      <c r="E254" s="198"/>
      <c r="F254" s="200" t="n">
        <f aca="false">F261+F267+F269+B270+B271</f>
        <v>128.74998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763.002476665427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0.1255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128.74998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763.002476665427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133" colorId="64" zoomScale="85" zoomScaleNormal="85" zoomScalePageLayoutView="100" workbookViewId="0">
      <selection pane="topLeft" activeCell="D149" activeCellId="0" sqref="D14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19458.33</v>
      </c>
      <c r="C2" s="4" t="s">
        <v>2</v>
      </c>
      <c r="D2" s="5" t="n">
        <f aca="false">C9</f>
        <v>3891.666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23349.996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19458.33</v>
      </c>
      <c r="C9" s="14" t="n">
        <f aca="false">B9*0.2</f>
        <v>3891.666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19458.33</v>
      </c>
      <c r="C15" s="14" t="n">
        <f aca="false">SUM(C9:C13)</f>
        <v>3891.666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63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23349.996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19458.33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45295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50</v>
      </c>
      <c r="E32" s="226"/>
      <c r="F32" s="63"/>
      <c r="G32" s="227" t="s">
        <v>244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139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</v>
      </c>
      <c r="B41" s="241" t="n">
        <f aca="false">IF(B38="YES", D38+A41, D38)</f>
        <v>550</v>
      </c>
      <c r="C41" s="241"/>
      <c r="D41" s="104" t="n">
        <v>12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255</v>
      </c>
      <c r="B43" s="240" t="s">
        <v>256</v>
      </c>
      <c r="C43" s="230"/>
      <c r="D43" s="240" t="s">
        <v>260</v>
      </c>
      <c r="E43" s="243"/>
      <c r="F43" s="63"/>
      <c r="G43" s="63" t="s">
        <v>257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</v>
      </c>
      <c r="B44" s="104" t="n">
        <v>1</v>
      </c>
      <c r="C44" s="104"/>
      <c r="D44" s="279" t="n">
        <f aca="false">A44+B44</f>
        <v>2</v>
      </c>
      <c r="E44" s="279"/>
      <c r="F44" s="63"/>
      <c r="G44" s="63" t="s">
        <v>258</v>
      </c>
      <c r="H44" s="238" t="n">
        <f aca="false">((A41*(B35-1))+D32)/B35</f>
        <v>50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275</v>
      </c>
      <c r="B46" s="230"/>
      <c r="C46" s="230"/>
      <c r="D46" s="230"/>
      <c r="E46" s="243"/>
      <c r="F46" s="63"/>
      <c r="G46" s="63" t="s">
        <v>263</v>
      </c>
      <c r="H46" s="238" t="n">
        <f aca="false">H43</f>
        <v>501</v>
      </c>
      <c r="I46" s="238" t="s">
        <v>4</v>
      </c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551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9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3</v>
      </c>
      <c r="C58" s="215" t="s">
        <v>276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277</v>
      </c>
      <c r="B60" s="215" t="n">
        <f aca="false">E19</f>
        <v>23349.996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40526</v>
      </c>
      <c r="C61" s="215"/>
      <c r="D61" s="215"/>
      <c r="E61" s="216"/>
      <c r="F61" s="63"/>
      <c r="G61" s="214" t="s">
        <v>14</v>
      </c>
      <c r="H61" s="291" t="n">
        <f aca="false">G18</f>
        <v>40526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1634.49972</v>
      </c>
      <c r="C64" s="215" t="n">
        <v>10000</v>
      </c>
      <c r="D64" s="291" t="n">
        <f aca="false">B64</f>
        <v>1634.49972</v>
      </c>
      <c r="E64" s="216"/>
      <c r="F64" s="63"/>
      <c r="G64" s="285" t="s">
        <v>90</v>
      </c>
      <c r="H64" s="133" t="n">
        <f aca="false">H61*H63</f>
        <v>2836.82</v>
      </c>
      <c r="I64" s="215"/>
      <c r="J64" s="291" t="n">
        <f aca="false">H64</f>
        <v>2836.82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233.49996</v>
      </c>
      <c r="C67" s="215"/>
      <c r="D67" s="291"/>
      <c r="E67" s="216"/>
      <c r="F67" s="63"/>
      <c r="G67" s="285" t="s">
        <v>93</v>
      </c>
      <c r="H67" s="133" t="n">
        <f aca="false">H61*H66</f>
        <v>202.63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60</v>
      </c>
      <c r="C73" s="215"/>
      <c r="D73" s="291" t="n">
        <f aca="false">B73+B71</f>
        <v>260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0</v>
      </c>
      <c r="C74" s="215"/>
      <c r="D74" s="215"/>
      <c r="E74" s="216"/>
      <c r="F74" s="63"/>
      <c r="G74" s="292" t="s">
        <v>280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</v>
      </c>
      <c r="C75" s="215" t="n">
        <f aca="false">IF(G18&gt;40000, 325, 0)</f>
        <v>325</v>
      </c>
      <c r="D75" s="215"/>
      <c r="E75" s="216"/>
      <c r="F75" s="63"/>
      <c r="G75" s="295" t="s">
        <v>281</v>
      </c>
      <c r="H75" s="299" t="n">
        <f aca="false">IF(G18&gt;40000, 325, 0)</f>
        <v>325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282</v>
      </c>
      <c r="H76" s="133" t="n">
        <f aca="false">((H74+H75)/12)*(H29-11)</f>
        <v>39.5833333333333</v>
      </c>
      <c r="I76" s="215"/>
      <c r="J76" s="291" t="n">
        <f aca="false">H76</f>
        <v>39.5833333333333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283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283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284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215"/>
      <c r="D79" s="291" t="n">
        <f aca="false">B79</f>
        <v>200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215"/>
      <c r="D80" s="291" t="n">
        <f aca="false">B80</f>
        <v>200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2961.16638666667</v>
      </c>
      <c r="C81" s="215"/>
      <c r="D81" s="215"/>
      <c r="E81" s="216"/>
      <c r="F81" s="63"/>
      <c r="G81" s="303" t="s">
        <v>102</v>
      </c>
      <c r="H81" s="304" t="n">
        <f aca="false">SUM(J64:J80)</f>
        <v>4490.40333333333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246.763865555556</v>
      </c>
      <c r="C82" s="215"/>
      <c r="D82" s="215"/>
      <c r="E82" s="216"/>
      <c r="F82" s="63"/>
      <c r="G82" s="214" t="s">
        <v>103</v>
      </c>
      <c r="H82" s="300" t="n">
        <f aca="false">H81/H29</f>
        <v>374.200277777778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((B83*(H29)+B81))*1.2</f>
        <v>10767.799664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12602.884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(((B83*(H29))+B81)/(1-B70))*B70</f>
        <v>76.0131077531263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88.9675151270674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10843.8127717531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12591.8615151271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IF(B99=Z102,(((H44*B35)+(H44*B35)*(B105/100))/(B58))*1.2,(((H44*B35)+(H44*B35)*(B105/100))/(B57+B58))*1.2)</f>
        <v>78</v>
      </c>
      <c r="C89" s="215"/>
      <c r="D89" s="215"/>
      <c r="E89" s="216"/>
      <c r="F89" s="63"/>
      <c r="G89" s="303" t="s">
        <v>117</v>
      </c>
      <c r="H89" s="304" t="n">
        <f aca="false">(A41+(A41*H105))*1.2</f>
        <v>72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903.65106431276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1049.32179292726</v>
      </c>
      <c r="I90" s="215"/>
      <c r="J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981.651064312761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1121.32179292726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285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287</v>
      </c>
      <c r="B99" s="312" t="s">
        <v>288</v>
      </c>
      <c r="C99" s="312"/>
      <c r="D99" s="107" t="n">
        <v>1000</v>
      </c>
      <c r="E99" s="107"/>
      <c r="F99" s="63"/>
      <c r="G99" s="220" t="s">
        <v>287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291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f aca="false">199.99*1.2</f>
        <v>239.988</v>
      </c>
      <c r="B102" s="107" t="n">
        <v>400</v>
      </c>
      <c r="C102" s="107"/>
      <c r="D102" s="107" t="n">
        <v>200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264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265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266</v>
      </c>
      <c r="AA104" s="63"/>
    </row>
    <row r="105" customFormat="false" ht="18.75" hidden="false" customHeight="true" outlineLevel="0" collapsed="false">
      <c r="A105" s="222" t="s">
        <v>18</v>
      </c>
      <c r="B105" s="312" t="n">
        <v>30</v>
      </c>
      <c r="C105" s="312"/>
      <c r="D105" s="107" t="s">
        <v>292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267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268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269</v>
      </c>
      <c r="AA107" s="63"/>
    </row>
    <row r="108" customFormat="false" ht="18.75" hidden="false" customHeight="true" outlineLevel="0" collapsed="false">
      <c r="A108" s="217" t="s">
        <v>293</v>
      </c>
      <c r="B108" s="217" t="n">
        <v>0</v>
      </c>
      <c r="C108" s="217"/>
      <c r="D108" s="217" t="n">
        <v>0</v>
      </c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270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271</v>
      </c>
    </row>
    <row r="110" customFormat="false" ht="18.75" hidden="false" customHeight="true" outlineLevel="0" collapsed="false">
      <c r="A110" s="214" t="s">
        <v>294</v>
      </c>
      <c r="B110" s="222" t="s">
        <v>19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239.988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(E118+E117)-D115</f>
        <v>7239.988</v>
      </c>
      <c r="F119" s="63"/>
      <c r="G119" s="315" t="s">
        <v>295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903.65106431276</v>
      </c>
      <c r="B128" s="321" t="n">
        <f aca="false">IF(A105="YES", B89, 0)</f>
        <v>78</v>
      </c>
      <c r="C128" s="326"/>
      <c r="D128" s="321" t="n">
        <f aca="false">B91</f>
        <v>981.651064312761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299</v>
      </c>
      <c r="H129" s="328" t="s">
        <v>300</v>
      </c>
      <c r="I129" s="328"/>
      <c r="J129" s="328" t="s">
        <v>301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333" t="n">
        <f aca="false">H90</f>
        <v>1049.32179292726</v>
      </c>
      <c r="H130" s="177" t="n">
        <f aca="false">IF(G105="YES", H89*H57, 0)</f>
        <v>72</v>
      </c>
      <c r="I130" s="177"/>
      <c r="J130" s="334" t="n">
        <f aca="false">H91</f>
        <v>1121.32179292726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 Terminal pause with 9 down </v>
      </c>
      <c r="B131" s="38" t="n">
        <f aca="false">B90*B57</f>
        <v>8132.85957881485</v>
      </c>
      <c r="C131" s="317"/>
      <c r="D131" s="38" t="n">
        <f aca="false">IF(A105="YES", B89*B57, 0)</f>
        <v>702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1049.32179292726</v>
      </c>
      <c r="H133" s="103" t="n">
        <f aca="false">IF(G105="YES", H89*H57, 0)</f>
        <v>72</v>
      </c>
      <c r="I133" s="221"/>
      <c r="J133" s="184" t="n">
        <f aca="false">H91*H57</f>
        <v>1121.32179292726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8834.85957881485</v>
      </c>
      <c r="B134" s="38" t="n">
        <f aca="false">E114</f>
        <v>4000</v>
      </c>
      <c r="C134" s="317"/>
      <c r="D134" s="337" t="n">
        <f aca="false">B58</f>
        <v>3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903.65106431276</v>
      </c>
      <c r="B137" s="38" t="n">
        <f aca="false">IF(A105="YES", B89, 0)</f>
        <v>78</v>
      </c>
      <c r="C137" s="317"/>
      <c r="D137" s="38" t="n">
        <f aca="false">B91</f>
        <v>981.651064312761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202.63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29.17872</v>
      </c>
      <c r="B140" s="343" t="n">
        <f aca="false">G18*0.000002 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H89*0.1, 0)</f>
        <v>7.2</v>
      </c>
      <c r="H142" s="103" t="n">
        <f aca="false">G102-100</f>
        <v>139.988</v>
      </c>
      <c r="I142" s="103"/>
      <c r="J142" s="103" t="n">
        <f aca="false">(H139+J139+G142+H142)-H145</f>
        <v>1429.818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239.988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233.49996</v>
      </c>
      <c r="B148" s="38" t="n">
        <f aca="false">B102</f>
        <v>400</v>
      </c>
      <c r="C148" s="38"/>
      <c r="D148" s="38" t="n">
        <f aca="false">IF(A105="YES", (A41*B105)*B125, 0)*0.001</f>
        <v>18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(E118/1.2)-100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751.48996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1121.32179292726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981.651064312761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296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287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297</v>
      </c>
      <c r="C170" s="355"/>
      <c r="D170" s="354" t="s">
        <v>298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903.65106431276</v>
      </c>
      <c r="B171" s="355" t="n">
        <f aca="false">IF(A105="YES", B89, 0)</f>
        <v>78</v>
      </c>
      <c r="C171" s="358"/>
      <c r="D171" s="355" t="n">
        <f aca="false">B91</f>
        <v>981.651064312761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302</v>
      </c>
      <c r="C173" s="230"/>
      <c r="D173" s="359" t="s">
        <v>303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 Terminal pause with 9 down </v>
      </c>
      <c r="B174" s="103" t="n">
        <f aca="false">B90*B57</f>
        <v>8132.85957881485</v>
      </c>
      <c r="C174" s="353"/>
      <c r="D174" s="103" t="n">
        <f aca="false">IF(A105="YES", B89*B57, 0)</f>
        <v>702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307</v>
      </c>
      <c r="B176" s="166" t="s">
        <v>308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8834.85957881485</v>
      </c>
      <c r="B177" s="103" t="n">
        <f aca="false">E114</f>
        <v>4000</v>
      </c>
      <c r="C177" s="353"/>
      <c r="D177" s="361" t="n">
        <f aca="false">B58</f>
        <v>3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297</v>
      </c>
      <c r="C179" s="353"/>
      <c r="D179" s="353" t="s">
        <v>298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903.65106431276</v>
      </c>
      <c r="B180" s="103" t="n">
        <f aca="false">IF(A105="YES", B89, 0)</f>
        <v>78</v>
      </c>
      <c r="C180" s="353"/>
      <c r="D180" s="103" t="n">
        <f aca="false">B91</f>
        <v>981.651064312761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315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29.17872</v>
      </c>
      <c r="B183" s="365" t="n">
        <f aca="false">G18*0.000002 *1.2*100</f>
        <v>9.72624</v>
      </c>
      <c r="C183" s="353"/>
      <c r="D183" s="365" t="n">
        <f aca="false">A183+B183</f>
        <v>38.90496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319</v>
      </c>
      <c r="B185" s="364" t="s">
        <v>53</v>
      </c>
      <c r="C185" s="103"/>
      <c r="D185" s="364" t="s">
        <v>283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239.988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322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323</v>
      </c>
      <c r="B190" s="353" t="s">
        <v>324</v>
      </c>
      <c r="C190" s="353"/>
      <c r="D190" s="353" t="s">
        <v>325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233.49996</v>
      </c>
      <c r="B191" s="103" t="n">
        <f aca="false">B102</f>
        <v>400</v>
      </c>
      <c r="C191" s="103"/>
      <c r="D191" s="103" t="n">
        <f aca="false">IF(A105="YES", (A38/100*B105)*B125, 0)*0.001</f>
        <v>18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327</v>
      </c>
      <c r="B193" s="353" t="s">
        <v>321</v>
      </c>
      <c r="C193" s="353"/>
      <c r="D193" s="353" t="s">
        <v>318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(E118/1.2)-100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751.48996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328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B209</f>
        <v>0.065</v>
      </c>
      <c r="C203" s="321" t="s">
        <v>215</v>
      </c>
      <c r="D203" s="370" t="n">
        <f aca="false">D64</f>
        <v>1634.49972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233.49996</v>
      </c>
      <c r="C205" s="320" t="s">
        <v>217</v>
      </c>
      <c r="D205" s="370" t="n">
        <f aca="false">B219+E215+B215+B217</f>
        <v>519.99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1920.98976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1634.49972</v>
      </c>
      <c r="C211" s="375" t="s">
        <v>221</v>
      </c>
      <c r="D211" s="317"/>
      <c r="E211" s="376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233.49996</v>
      </c>
      <c r="C213" s="336" t="s">
        <v>329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329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330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1920.98976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331</v>
      </c>
      <c r="B219" s="341" t="n">
        <f aca="false">D191/0.1</f>
        <v>180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332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200</v>
      </c>
      <c r="C223" s="336" t="s">
        <v>226</v>
      </c>
      <c r="D223" s="343"/>
      <c r="E223" s="149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76.0131077531263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200</v>
      </c>
      <c r="C227" s="382" t="s">
        <v>333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200</v>
      </c>
      <c r="C229" s="386" t="s">
        <v>334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121" colorId="64" zoomScale="85" zoomScaleNormal="85" zoomScalePageLayoutView="100" workbookViewId="0">
      <selection pane="topLeft" activeCell="D149" activeCellId="0" sqref="D14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7.8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19083.33</v>
      </c>
      <c r="C2" s="4" t="s">
        <v>2</v>
      </c>
      <c r="D2" s="5" t="n">
        <f aca="false">C9</f>
        <v>3816.666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22899.996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19083.33</v>
      </c>
      <c r="C9" s="14" t="n">
        <f aca="false">B9*0.2</f>
        <v>3816.666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19083.33</v>
      </c>
      <c r="C15" s="14" t="n">
        <f aca="false">SUM(C9:C13)</f>
        <v>3816.666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63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22899.996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19083.33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45295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50</v>
      </c>
      <c r="E32" s="226"/>
      <c r="F32" s="63"/>
      <c r="G32" s="227" t="s">
        <v>244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139</v>
      </c>
      <c r="E40" s="216"/>
      <c r="F40" s="63"/>
      <c r="G40" s="387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</v>
      </c>
      <c r="B41" s="241" t="n">
        <f aca="false">IF(B38="YES", D38+A41, D38)</f>
        <v>550</v>
      </c>
      <c r="C41" s="241"/>
      <c r="D41" s="104" t="n">
        <v>12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255</v>
      </c>
      <c r="B43" s="240" t="s">
        <v>256</v>
      </c>
      <c r="C43" s="230"/>
      <c r="D43" s="240" t="s">
        <v>260</v>
      </c>
      <c r="E43" s="243"/>
      <c r="F43" s="63"/>
      <c r="G43" s="63" t="s">
        <v>257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</v>
      </c>
      <c r="B44" s="104" t="n">
        <v>1</v>
      </c>
      <c r="C44" s="104"/>
      <c r="D44" s="279" t="n">
        <f aca="false">A44+B44</f>
        <v>2</v>
      </c>
      <c r="E44" s="279"/>
      <c r="F44" s="63"/>
      <c r="G44" s="63" t="s">
        <v>258</v>
      </c>
      <c r="H44" s="238" t="n">
        <f aca="false">((A41*(B35-1))+D32)/B35</f>
        <v>50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275</v>
      </c>
      <c r="B46" s="230"/>
      <c r="C46" s="230"/>
      <c r="D46" s="230"/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 t="n">
        <f aca="false">(A41*(B58+B57))</f>
        <v>600</v>
      </c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551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1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11</v>
      </c>
      <c r="C58" s="215" t="s">
        <v>276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277</v>
      </c>
      <c r="B60" s="215" t="n">
        <f aca="false">E19</f>
        <v>22899.996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40526</v>
      </c>
      <c r="C61" s="215"/>
      <c r="D61" s="215"/>
      <c r="E61" s="216"/>
      <c r="F61" s="63"/>
      <c r="G61" s="214" t="s">
        <v>14</v>
      </c>
      <c r="H61" s="291" t="n">
        <f aca="false">G18</f>
        <v>40526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1602.99972</v>
      </c>
      <c r="C64" s="215" t="n">
        <v>10000</v>
      </c>
      <c r="D64" s="291" t="n">
        <f aca="false">B64</f>
        <v>1602.99972</v>
      </c>
      <c r="E64" s="216"/>
      <c r="F64" s="63"/>
      <c r="G64" s="285" t="s">
        <v>90</v>
      </c>
      <c r="H64" s="133" t="n">
        <f aca="false">H61*H63</f>
        <v>2836.82</v>
      </c>
      <c r="I64" s="215"/>
      <c r="J64" s="291" t="n">
        <f aca="false">H64</f>
        <v>2836.82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0.005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114.49998</v>
      </c>
      <c r="C67" s="215"/>
      <c r="D67" s="291"/>
      <c r="E67" s="216"/>
      <c r="F67" s="63"/>
      <c r="G67" s="285" t="s">
        <v>93</v>
      </c>
      <c r="H67" s="133" t="n">
        <f aca="false">H61*H66</f>
        <v>202.63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54</v>
      </c>
      <c r="C73" s="215"/>
      <c r="D73" s="291" t="n">
        <f aca="false">B73+B71</f>
        <v>214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0</v>
      </c>
      <c r="C74" s="215"/>
      <c r="D74" s="215"/>
      <c r="E74" s="216"/>
      <c r="F74" s="63"/>
      <c r="G74" s="292" t="s">
        <v>280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</v>
      </c>
      <c r="C75" s="215"/>
      <c r="D75" s="215"/>
      <c r="E75" s="216"/>
      <c r="F75" s="63"/>
      <c r="G75" s="295" t="s">
        <v>281</v>
      </c>
      <c r="H75" s="299" t="n">
        <f aca="false">IF(G18&gt;40000, 325, 0)</f>
        <v>325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((B74+B75)/12)*(H29+1)</f>
        <v>0</v>
      </c>
      <c r="C76" s="215"/>
      <c r="D76" s="291" t="n">
        <f aca="false">B76</f>
        <v>0</v>
      </c>
      <c r="E76" s="216"/>
      <c r="F76" s="63"/>
      <c r="G76" s="285" t="s">
        <v>282</v>
      </c>
      <c r="H76" s="133" t="n">
        <f aca="false">((H74+H75)/12)*(H29-11)</f>
        <v>39.5833333333333</v>
      </c>
      <c r="I76" s="215"/>
      <c r="J76" s="291" t="n">
        <f aca="false">H76</f>
        <v>39.5833333333333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283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283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284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</v>
      </c>
      <c r="C79" s="215"/>
      <c r="D79" s="291" t="n">
        <f aca="false">B79</f>
        <v>300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</v>
      </c>
      <c r="C80" s="215"/>
      <c r="D80" s="291" t="n">
        <f aca="false">B80</f>
        <v>100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2883.66638666667</v>
      </c>
      <c r="C81" s="215"/>
      <c r="D81" s="215"/>
      <c r="E81" s="216"/>
      <c r="F81" s="63"/>
      <c r="G81" s="303" t="s">
        <v>102</v>
      </c>
      <c r="H81" s="304" t="n">
        <f aca="false">SUM(J64:J80)</f>
        <v>4490.40333333333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240.305532222222</v>
      </c>
      <c r="C82" s="215"/>
      <c r="D82" s="215"/>
      <c r="E82" s="216"/>
      <c r="F82" s="63"/>
      <c r="G82" s="214" t="s">
        <v>103</v>
      </c>
      <c r="H82" s="300" t="n">
        <f aca="false">H81/H29</f>
        <v>374.200277777778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</f>
        <v>8895.66638666667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12602.884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(B85/(1-B70))*B70</f>
        <v>75.3565930294474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88.9675151270674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8971.02297969612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12591.8615151271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IF(B99=Z102,(((H44*B35)+(H44*B35)*(B105/100))/(B58)),(((H44*B35)+(H44*B35)*(B105/100))/(B57+B58)))</f>
        <v>65.4545454545455</v>
      </c>
      <c r="C89" s="215" t="s">
        <v>4</v>
      </c>
      <c r="D89" s="215"/>
      <c r="E89" s="216"/>
      <c r="F89" s="63"/>
      <c r="G89" s="303" t="s">
        <v>117</v>
      </c>
      <c r="H89" s="304" t="n">
        <f aca="false">(A41+(A41*H105))*1.2</f>
        <v>72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797.36572542692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1049.32179292726</v>
      </c>
      <c r="I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862.820270881465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1121.32179292726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335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287</v>
      </c>
      <c r="B99" s="312" t="s">
        <v>264</v>
      </c>
      <c r="C99" s="312"/>
      <c r="D99" s="107" t="n">
        <v>1000</v>
      </c>
      <c r="E99" s="107"/>
      <c r="F99" s="63"/>
      <c r="G99" s="220" t="s">
        <v>287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291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v>199.99</v>
      </c>
      <c r="B102" s="107" t="n">
        <v>400</v>
      </c>
      <c r="C102" s="107"/>
      <c r="D102" s="107" t="n">
        <v>200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264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265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266</v>
      </c>
      <c r="AA104" s="63"/>
    </row>
    <row r="105" customFormat="false" ht="18.75" hidden="false" customHeight="true" outlineLevel="0" collapsed="false">
      <c r="A105" s="222" t="s">
        <v>18</v>
      </c>
      <c r="B105" s="312" t="n">
        <v>20</v>
      </c>
      <c r="C105" s="312"/>
      <c r="D105" s="107" t="s">
        <v>292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267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268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269</v>
      </c>
      <c r="AA107" s="63"/>
    </row>
    <row r="108" customFormat="false" ht="18.75" hidden="false" customHeight="true" outlineLevel="0" collapsed="false">
      <c r="A108" s="217" t="s">
        <v>293</v>
      </c>
      <c r="B108" s="217" t="n">
        <v>0</v>
      </c>
      <c r="C108" s="217"/>
      <c r="D108" s="217" t="n">
        <v>0</v>
      </c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270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271</v>
      </c>
    </row>
    <row r="110" customFormat="false" ht="18.75" hidden="false" customHeight="true" outlineLevel="0" collapsed="false">
      <c r="A110" s="214" t="s">
        <v>294</v>
      </c>
      <c r="B110" s="222" t="s">
        <v>19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((E118*1.2)+E117)-D115</f>
        <v>7239.988</v>
      </c>
      <c r="F119" s="63"/>
      <c r="G119" s="315" t="s">
        <v>295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797.36572542692</v>
      </c>
      <c r="B128" s="321" t="n">
        <f aca="false">IF(A105="YES", B89, 0)</f>
        <v>65.4545454545455</v>
      </c>
      <c r="C128" s="326"/>
      <c r="D128" s="321" t="n">
        <f aca="false">B91</f>
        <v>862.820270881465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299</v>
      </c>
      <c r="H129" s="328" t="s">
        <v>300</v>
      </c>
      <c r="I129" s="328"/>
      <c r="J129" s="328" t="s">
        <v>301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333" t="n">
        <f aca="false">H90</f>
        <v>1049.32179292726</v>
      </c>
      <c r="H130" s="177" t="n">
        <f aca="false">IF(G105="YES", H89*H57, 0)</f>
        <v>72</v>
      </c>
      <c r="I130" s="177"/>
      <c r="J130" s="334" t="n">
        <f aca="false">H91</f>
        <v>1121.32179292726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 Spread rentals initial payment </v>
      </c>
      <c r="B131" s="38" t="n">
        <f aca="false">B90*B57</f>
        <v>797.36572542692</v>
      </c>
      <c r="C131" s="317"/>
      <c r="D131" s="38" t="n">
        <f aca="false">IF(A105="YES", B89*B57, 0)</f>
        <v>65.4545454545455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1049.32179292726</v>
      </c>
      <c r="H133" s="103" t="n">
        <f aca="false">IF(G105="YES", H89*H57, 0)</f>
        <v>72</v>
      </c>
      <c r="I133" s="221"/>
      <c r="J133" s="184" t="n">
        <f aca="false">H91*H57</f>
        <v>1121.32179292726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862.820270881465</v>
      </c>
      <c r="B134" s="38" t="n">
        <f aca="false">E114</f>
        <v>4000</v>
      </c>
      <c r="C134" s="317"/>
      <c r="D134" s="337" t="n">
        <f aca="false">B58</f>
        <v>11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797.36572542692</v>
      </c>
      <c r="B137" s="38" t="n">
        <f aca="false">IF(A105="YES", B89, 0)</f>
        <v>65.4545454545455</v>
      </c>
      <c r="C137" s="317"/>
      <c r="D137" s="38" t="n">
        <f aca="false">B91</f>
        <v>862.820270881465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202.63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29.17872</v>
      </c>
      <c r="B140" s="343" t="n">
        <f aca="false">G18*0.000002 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H89*0.1, 0)</f>
        <v>7.2</v>
      </c>
      <c r="H142" s="103" t="n">
        <f aca="false">G102-100</f>
        <v>139.988</v>
      </c>
      <c r="I142" s="103"/>
      <c r="J142" s="103" t="n">
        <f aca="false">(H139+J139+G142+H142)-H145</f>
        <v>1429.818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114.49998</v>
      </c>
      <c r="B148" s="38" t="n">
        <f aca="false">B102</f>
        <v>400</v>
      </c>
      <c r="C148" s="38"/>
      <c r="D148" s="38" t="n">
        <f aca="false">IF(A105="YES", (A41*B105)*B125, 0)*0.001</f>
        <v>12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626.48998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1121.32179292726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862.820270881465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296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287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297</v>
      </c>
      <c r="C170" s="355"/>
      <c r="D170" s="354" t="s">
        <v>298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797.36572542692</v>
      </c>
      <c r="B171" s="355" t="n">
        <f aca="false">IF(A105="YES", B89, 0)</f>
        <v>65.4545454545455</v>
      </c>
      <c r="C171" s="358"/>
      <c r="D171" s="355" t="n">
        <f aca="false">B91</f>
        <v>862.820270881465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302</v>
      </c>
      <c r="C173" s="230"/>
      <c r="D173" s="359" t="s">
        <v>303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 Spread rentals initial payment </v>
      </c>
      <c r="B174" s="103" t="n">
        <f aca="false">B90*B57</f>
        <v>797.36572542692</v>
      </c>
      <c r="C174" s="353"/>
      <c r="D174" s="103" t="n">
        <f aca="false">IF(A105="YES", B89*B57, 0)</f>
        <v>65.4545454545455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307</v>
      </c>
      <c r="B176" s="166" t="s">
        <v>308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862.820270881465</v>
      </c>
      <c r="B177" s="103" t="n">
        <f aca="false">E114</f>
        <v>4000</v>
      </c>
      <c r="C177" s="353"/>
      <c r="D177" s="361" t="n">
        <f aca="false">B58</f>
        <v>11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297</v>
      </c>
      <c r="C179" s="353"/>
      <c r="D179" s="353" t="s">
        <v>298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797.36572542692</v>
      </c>
      <c r="B180" s="103" t="n">
        <f aca="false">IF(A105="YES", B89, 0)</f>
        <v>65.4545454545455</v>
      </c>
      <c r="C180" s="353"/>
      <c r="D180" s="103" t="n">
        <f aca="false">B91</f>
        <v>862.820270881465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315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29.17872</v>
      </c>
      <c r="B183" s="365" t="n">
        <f aca="false">G18*0.000002 *1.2*100</f>
        <v>9.72624</v>
      </c>
      <c r="C183" s="353"/>
      <c r="D183" s="365" t="n">
        <f aca="false">A183+B183</f>
        <v>38.90496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319</v>
      </c>
      <c r="B185" s="364" t="s">
        <v>53</v>
      </c>
      <c r="C185" s="103"/>
      <c r="D185" s="364" t="s">
        <v>283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199.99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322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323</v>
      </c>
      <c r="B190" s="353" t="s">
        <v>324</v>
      </c>
      <c r="C190" s="353"/>
      <c r="D190" s="353" t="s">
        <v>325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114.49998</v>
      </c>
      <c r="B191" s="103" t="n">
        <f aca="false">B102</f>
        <v>400</v>
      </c>
      <c r="C191" s="103"/>
      <c r="D191" s="103" t="n">
        <f aca="false">IF(A105="YES", (A38/100*B105)*B125, 0)*0.001</f>
        <v>12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327</v>
      </c>
      <c r="B193" s="353" t="s">
        <v>321</v>
      </c>
      <c r="C193" s="353"/>
      <c r="D193" s="353" t="s">
        <v>318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E118-100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626.48998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328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H29</f>
        <v>12</v>
      </c>
      <c r="C203" s="321" t="s">
        <v>215</v>
      </c>
      <c r="D203" s="370" t="n">
        <f aca="false">D64</f>
        <v>1602.99972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114.49998</v>
      </c>
      <c r="C205" s="320" t="s">
        <v>217</v>
      </c>
      <c r="D205" s="370" t="n">
        <f aca="false">B219+E215+B215+B217</f>
        <v>459.99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1948.48974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1602.99972</v>
      </c>
      <c r="C211" s="375" t="s">
        <v>221</v>
      </c>
      <c r="D211" s="317"/>
      <c r="E211" s="376" t="n">
        <f aca="false">B66</f>
        <v>0.005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114.49998</v>
      </c>
      <c r="C213" s="336" t="s">
        <v>329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329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330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1948.48974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331</v>
      </c>
      <c r="B219" s="341" t="n">
        <f aca="false">D191/0.1</f>
        <v>120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332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160</v>
      </c>
      <c r="C223" s="336" t="s">
        <v>226</v>
      </c>
      <c r="D223" s="343"/>
      <c r="E223" s="149" t="n">
        <f aca="false">B72</f>
        <v>4.5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214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75.3565930294474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300</v>
      </c>
      <c r="C227" s="382" t="s">
        <v>333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100</v>
      </c>
      <c r="C229" s="386" t="s">
        <v>334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BCH'!$Z$101:$Z$109</formula1>
      <formula2>0</formula2>
    </dataValidation>
    <dataValidation allowBlank="true" operator="between" showDropDown="false" showErrorMessage="true" showInputMessage="false" sqref="A32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9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" t="s">
        <v>1</v>
      </c>
      <c r="B2" s="5" t="n">
        <f aca="false">B9+B11</f>
        <v>19083.33</v>
      </c>
      <c r="C2" s="4" t="s">
        <v>2</v>
      </c>
      <c r="D2" s="5" t="n">
        <f aca="false">C9</f>
        <v>3816.666</v>
      </c>
      <c r="E2" s="4" t="s">
        <v>3</v>
      </c>
      <c r="F2" s="6" t="n">
        <f aca="false">B13</f>
        <v>0</v>
      </c>
      <c r="G2" s="63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4" t="s">
        <v>5</v>
      </c>
      <c r="B4" s="5" t="n">
        <f aca="false">B15+C15</f>
        <v>22899.996</v>
      </c>
      <c r="C4" s="269"/>
      <c r="D4" s="269"/>
      <c r="E4" s="269"/>
      <c r="F4" s="270" t="s">
        <v>4</v>
      </c>
      <c r="G4" s="63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388"/>
      <c r="I8" s="13" t="s">
        <v>3</v>
      </c>
      <c r="J8" s="14" t="n">
        <f aca="false">E13+E14</f>
        <v>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10" t="s">
        <v>8</v>
      </c>
      <c r="B9" s="15" t="n">
        <v>19083.33</v>
      </c>
      <c r="C9" s="14" t="n">
        <f aca="false">B9*0.2</f>
        <v>3816.666</v>
      </c>
      <c r="D9" s="271"/>
      <c r="E9" s="271"/>
      <c r="F9" s="63"/>
      <c r="G9" s="63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388"/>
      <c r="I10" s="16" t="s">
        <v>1</v>
      </c>
      <c r="J10" s="14" t="n">
        <f aca="false">E15-E11-J8</f>
        <v>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10" t="s">
        <v>12</v>
      </c>
      <c r="B15" s="14" t="n">
        <f aca="false">SUM(B9:B13)</f>
        <v>19083.33</v>
      </c>
      <c r="C15" s="14" t="n">
        <f aca="false">SUM(C9:C13)</f>
        <v>3816.666</v>
      </c>
      <c r="D15" s="271"/>
      <c r="E15" s="271"/>
      <c r="F15" s="63"/>
      <c r="G15" s="274" t="n">
        <f aca="false">E15</f>
        <v>0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22899.996</v>
      </c>
      <c r="F19" s="63"/>
      <c r="G19" s="63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19083.33</v>
      </c>
      <c r="F21" s="63"/>
      <c r="G21" s="63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237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239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240</v>
      </c>
      <c r="B29" s="223" t="n">
        <v>12345</v>
      </c>
      <c r="C29" s="223"/>
      <c r="D29" s="390" t="n">
        <f aca="true">TODAY()+1</f>
        <v>45295</v>
      </c>
      <c r="E29" s="390"/>
      <c r="F29" s="388"/>
      <c r="G29" s="29" t="s">
        <v>28</v>
      </c>
      <c r="H29" s="37" t="n">
        <f aca="false">A32</f>
        <v>12</v>
      </c>
      <c r="I29" s="388"/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</v>
      </c>
      <c r="B32" s="223" t="n">
        <v>5000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600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42</v>
      </c>
      <c r="B34" s="231" t="s">
        <v>48</v>
      </c>
      <c r="C34" s="230" t="s">
        <v>43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0</v>
      </c>
      <c r="B35" s="223" t="s">
        <v>45</v>
      </c>
      <c r="C35" s="223"/>
      <c r="D35" s="279" t="n">
        <f aca="false">A35-B35</f>
        <v>-1000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45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42</v>
      </c>
      <c r="B38" s="241" t="n">
        <f aca="false">A32-1</f>
        <v>11</v>
      </c>
      <c r="C38" s="241"/>
      <c r="D38" s="104" t="s">
        <v>57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57</v>
      </c>
      <c r="G40" s="2" t="s">
        <v>58</v>
      </c>
      <c r="H40" s="2" t="n">
        <f aca="false">C15</f>
        <v>3816.666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336</v>
      </c>
      <c r="B41" s="104" t="s">
        <v>337</v>
      </c>
      <c r="C41" s="104"/>
      <c r="D41" s="223" t="s">
        <v>18</v>
      </c>
      <c r="E41" s="223"/>
      <c r="F41" s="388"/>
      <c r="G41" s="2" t="s">
        <v>59</v>
      </c>
      <c r="H41" s="2" t="str">
        <f aca="false">IF(D41="Yes",A44, 0)</f>
        <v>50</v>
      </c>
      <c r="I41" s="2"/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337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s">
        <v>233</v>
      </c>
      <c r="B44" s="104" t="s">
        <v>338</v>
      </c>
      <c r="C44" s="104"/>
      <c r="D44" s="104" t="s">
        <v>338</v>
      </c>
      <c r="E44" s="104"/>
      <c r="F44" s="388"/>
      <c r="G44" s="2" t="s">
        <v>65</v>
      </c>
      <c r="H44" s="2" t="n">
        <f aca="false">((H40-(((H42/(1.2))*0.2)))/(H43))</f>
        <v>234.722166666667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315.277833333333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339</v>
      </c>
      <c r="B46" s="230" t="s">
        <v>340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339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317.9445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30"/>
      <c r="E50" s="243"/>
      <c r="F50" s="388"/>
      <c r="G50" s="2" t="s">
        <v>341</v>
      </c>
      <c r="H50" s="2" t="n">
        <f aca="false">H49-H41</f>
        <v>267.9445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H49</f>
        <v>317.9445</v>
      </c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339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317.9445</v>
      </c>
      <c r="C58" s="74"/>
      <c r="D58" s="353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1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11</v>
      </c>
      <c r="C64" s="317"/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214" t="s">
        <v>277</v>
      </c>
      <c r="B66" s="215" t="n">
        <f aca="false">E19</f>
        <v>22899.996</v>
      </c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317"/>
      <c r="D67" s="317"/>
      <c r="E67" s="318"/>
      <c r="F67" s="388"/>
      <c r="G67" s="316" t="s">
        <v>14</v>
      </c>
      <c r="H67" s="32" t="n">
        <f aca="false">G18</f>
        <v>40526</v>
      </c>
      <c r="I67" s="317"/>
      <c r="J67" s="317"/>
      <c r="K67" s="318"/>
      <c r="L67" s="388"/>
      <c r="M67" s="316" t="s">
        <v>14</v>
      </c>
      <c r="N67" s="32" t="n">
        <f aca="false">G18</f>
        <v>40526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292" t="s">
        <v>278</v>
      </c>
      <c r="B68" s="293" t="n">
        <v>0.07</v>
      </c>
      <c r="C68" s="317"/>
      <c r="D68" s="317"/>
      <c r="E68" s="318"/>
      <c r="F68" s="388"/>
      <c r="G68" s="399" t="s">
        <v>278</v>
      </c>
      <c r="H68" s="400" t="n">
        <v>0.07</v>
      </c>
      <c r="I68" s="317"/>
      <c r="J68" s="317"/>
      <c r="K68" s="318"/>
      <c r="L68" s="388"/>
      <c r="M68" s="399" t="s">
        <v>278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317"/>
      <c r="D69" s="317"/>
      <c r="E69" s="318"/>
      <c r="F69" s="388"/>
      <c r="G69" s="316" t="s">
        <v>279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279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285" t="s">
        <v>90</v>
      </c>
      <c r="B70" s="133" t="n">
        <f aca="false">B67*B69</f>
        <v>2836.82</v>
      </c>
      <c r="C70" s="317" t="n">
        <v>10000</v>
      </c>
      <c r="D70" s="32" t="n">
        <f aca="false">B70-A149</f>
        <v>2836.82</v>
      </c>
      <c r="E70" s="318" t="n">
        <f aca="false">D70/12</f>
        <v>236.401666666667</v>
      </c>
      <c r="F70" s="388"/>
      <c r="G70" s="366" t="s">
        <v>90</v>
      </c>
      <c r="H70" s="65" t="n">
        <f aca="false">H67*H69</f>
        <v>2836.82</v>
      </c>
      <c r="I70" s="317"/>
      <c r="J70" s="32" t="n">
        <f aca="false">H70-G151</f>
        <v>2836.82</v>
      </c>
      <c r="K70" s="318"/>
      <c r="L70" s="388"/>
      <c r="M70" s="366" t="s">
        <v>90</v>
      </c>
      <c r="N70" s="65" t="n">
        <f aca="false">N67*N69</f>
        <v>2836.82</v>
      </c>
      <c r="O70" s="317"/>
      <c r="P70" s="32" t="n">
        <f aca="false">N70-M151</f>
        <v>2836.82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292" t="s">
        <v>91</v>
      </c>
      <c r="B71" s="293" t="n">
        <v>0.005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285" t="s">
        <v>93</v>
      </c>
      <c r="B73" s="133" t="n">
        <f aca="false">B66*B72</f>
        <v>114.49998</v>
      </c>
      <c r="C73" s="317"/>
      <c r="D73" s="32"/>
      <c r="E73" s="318"/>
      <c r="F73" s="388"/>
      <c r="G73" s="366" t="s">
        <v>93</v>
      </c>
      <c r="H73" s="65" t="n">
        <f aca="false">H67*H72</f>
        <v>202.63</v>
      </c>
      <c r="I73" s="317"/>
      <c r="J73" s="32"/>
      <c r="K73" s="318"/>
      <c r="L73" s="388"/>
      <c r="M73" s="366" t="s">
        <v>93</v>
      </c>
      <c r="N73" s="65" t="n">
        <f aca="false">N67*N72</f>
        <v>202.63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160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4.5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54</v>
      </c>
      <c r="C79" s="317"/>
      <c r="D79" s="32" t="n">
        <f aca="false">B79+B77</f>
        <v>214</v>
      </c>
      <c r="E79" s="404" t="n">
        <f aca="false">D79+D85+D86</f>
        <v>614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280</v>
      </c>
      <c r="B80" s="86" t="n">
        <v>290</v>
      </c>
      <c r="C80" s="317"/>
      <c r="D80" s="317"/>
      <c r="E80" s="404" t="n">
        <f aca="false">E79+D82</f>
        <v>928.166666666667</v>
      </c>
      <c r="F80" s="388"/>
      <c r="G80" s="399" t="s">
        <v>280</v>
      </c>
      <c r="H80" s="86" t="n">
        <v>150</v>
      </c>
      <c r="I80" s="317"/>
      <c r="J80" s="317"/>
      <c r="K80" s="318"/>
      <c r="L80" s="388"/>
      <c r="M80" s="405" t="s">
        <v>280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281</v>
      </c>
      <c r="B81" s="77" t="n">
        <v>0</v>
      </c>
      <c r="C81" s="317"/>
      <c r="D81" s="317"/>
      <c r="E81" s="318" t="n">
        <f aca="false">E80/12</f>
        <v>77.3472222222222</v>
      </c>
      <c r="F81" s="388"/>
      <c r="G81" s="401" t="s">
        <v>281</v>
      </c>
      <c r="H81" s="77" t="n">
        <f aca="false">IF(G18&gt;40000, 325, 0)</f>
        <v>325</v>
      </c>
      <c r="I81" s="317"/>
      <c r="J81" s="317"/>
      <c r="K81" s="318"/>
      <c r="L81" s="388"/>
      <c r="M81" s="407" t="s">
        <v>281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282</v>
      </c>
      <c r="B82" s="65" t="n">
        <f aca="false">((B80+B81)/12)*(H29+1)</f>
        <v>314.166666666667</v>
      </c>
      <c r="C82" s="317"/>
      <c r="D82" s="32" t="n">
        <f aca="false">IF(A50="YES", 0, B82)</f>
        <v>314.166666666667</v>
      </c>
      <c r="E82" s="318"/>
      <c r="F82" s="388"/>
      <c r="G82" s="366" t="s">
        <v>282</v>
      </c>
      <c r="H82" s="65" t="n">
        <f aca="false">((H80+H81)/12)*(H29-11)</f>
        <v>39.5833333333333</v>
      </c>
      <c r="I82" s="317"/>
      <c r="J82" s="32" t="n">
        <f aca="false">IF(A50="YES", 0, H82)</f>
        <v>39.5833333333333</v>
      </c>
      <c r="K82" s="318"/>
      <c r="L82" s="388"/>
      <c r="M82" s="409" t="s">
        <v>282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283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283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283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342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284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284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300</v>
      </c>
      <c r="C85" s="317"/>
      <c r="D85" s="32" t="n">
        <f aca="false">B85</f>
        <v>300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100</v>
      </c>
      <c r="C86" s="317"/>
      <c r="D86" s="32" t="n">
        <f aca="false">B86</f>
        <v>100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4431.65333333333</v>
      </c>
      <c r="C87" s="317"/>
      <c r="D87" s="317"/>
      <c r="E87" s="318"/>
      <c r="F87" s="388"/>
      <c r="G87" s="412" t="s">
        <v>102</v>
      </c>
      <c r="H87" s="413" t="n">
        <f aca="false">SUM(J70:J86)</f>
        <v>5990.40333333333</v>
      </c>
      <c r="I87" s="317"/>
      <c r="J87" s="317"/>
      <c r="K87" s="318"/>
      <c r="L87" s="388"/>
      <c r="M87" s="412" t="s">
        <v>102</v>
      </c>
      <c r="N87" s="413" t="n">
        <f aca="false">SUM(P70:P86)</f>
        <v>5950.82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369.304444444444</v>
      </c>
      <c r="C88" s="317"/>
      <c r="D88" s="317"/>
      <c r="E88" s="318"/>
      <c r="F88" s="388"/>
      <c r="G88" s="316" t="s">
        <v>103</v>
      </c>
      <c r="H88" s="33" t="n">
        <f aca="false">H87/H29</f>
        <v>499.200277777778</v>
      </c>
      <c r="I88" s="317"/>
      <c r="J88" s="317"/>
      <c r="K88" s="318"/>
      <c r="L88" s="388"/>
      <c r="M88" s="316" t="s">
        <v>103</v>
      </c>
      <c r="N88" s="33" t="n">
        <f aca="false">N87/H29</f>
        <v>495.901666666667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267.9445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((B89*H29)+B87)*1.2</f>
        <v>9176.3848</v>
      </c>
      <c r="C91" s="317"/>
      <c r="D91" s="317"/>
      <c r="E91" s="318"/>
      <c r="F91" s="388"/>
      <c r="G91" s="396" t="s">
        <v>114</v>
      </c>
      <c r="H91" s="27" t="n">
        <f aca="false">((H89*H29)+H87)*1.2</f>
        <v>7188.484</v>
      </c>
      <c r="I91" s="317"/>
      <c r="J91" s="317"/>
      <c r="K91" s="318"/>
      <c r="L91" s="388"/>
      <c r="M91" s="396" t="s">
        <v>114</v>
      </c>
      <c r="N91" s="27" t="n">
        <f aca="false">((N89*H29)+N87)</f>
        <v>5950.82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64.7788358208955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50.7456514723679</v>
      </c>
      <c r="I92" s="317"/>
      <c r="J92" s="317"/>
      <c r="K92" s="318"/>
      <c r="L92" s="388"/>
      <c r="M92" s="316" t="s">
        <v>115</v>
      </c>
      <c r="N92" s="33" t="n">
        <f aca="false">(N91/(1-N76))*N76</f>
        <v>50.4103348124244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9241.1636358209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9239.22965147237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8001.23033481242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IF(B105=Z104,(((H41*A32)+(H41*A32)*(B111/100))/(B64)),(((H41*A32)+(H41*A32)*(B111/100))/(B63+B64)))*1.2</f>
        <v>78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770.096969651741</v>
      </c>
      <c r="C96" s="317"/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848.096969651741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388"/>
      <c r="G100" s="213" t="s">
        <v>285</v>
      </c>
      <c r="H100" s="213"/>
      <c r="I100" s="213"/>
      <c r="J100" s="213"/>
      <c r="K100" s="213"/>
      <c r="L100" s="388"/>
      <c r="M100" s="213" t="s">
        <v>343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286</v>
      </c>
      <c r="E104" s="318"/>
      <c r="F104" s="388"/>
      <c r="G104" s="316" t="s">
        <v>125</v>
      </c>
      <c r="H104" s="317" t="s">
        <v>23</v>
      </c>
      <c r="I104" s="317"/>
      <c r="J104" s="317" t="s">
        <v>286</v>
      </c>
      <c r="K104" s="318"/>
      <c r="L104" s="388"/>
      <c r="M104" s="316" t="s">
        <v>125</v>
      </c>
      <c r="N104" s="317" t="s">
        <v>23</v>
      </c>
      <c r="O104" s="317"/>
      <c r="P104" s="317" t="s">
        <v>286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264</v>
      </c>
    </row>
    <row r="105" customFormat="false" ht="18.75" hidden="false" customHeight="true" outlineLevel="0" collapsed="false">
      <c r="A105" s="374"/>
      <c r="B105" s="312" t="s">
        <v>128</v>
      </c>
      <c r="C105" s="312"/>
      <c r="D105" s="421" t="n">
        <v>1000</v>
      </c>
      <c r="E105" s="421"/>
      <c r="F105" s="388"/>
      <c r="G105" s="374" t="s">
        <v>287</v>
      </c>
      <c r="H105" s="312" t="s">
        <v>269</v>
      </c>
      <c r="I105" s="312"/>
      <c r="J105" s="421" t="n">
        <v>5000</v>
      </c>
      <c r="K105" s="421"/>
      <c r="L105" s="388"/>
      <c r="M105" s="374" t="s">
        <v>287</v>
      </c>
      <c r="N105" s="312" t="s">
        <v>268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265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266</v>
      </c>
    </row>
    <row r="107" customFormat="false" ht="18.75" hidden="false" customHeight="true" outlineLevel="0" collapsed="false">
      <c r="A107" s="316" t="s">
        <v>289</v>
      </c>
      <c r="B107" s="317" t="s">
        <v>290</v>
      </c>
      <c r="C107" s="317"/>
      <c r="D107" s="317" t="s">
        <v>291</v>
      </c>
      <c r="E107" s="318"/>
      <c r="F107" s="388"/>
      <c r="G107" s="316" t="s">
        <v>289</v>
      </c>
      <c r="H107" s="317" t="s">
        <v>290</v>
      </c>
      <c r="I107" s="317"/>
      <c r="J107" s="317" t="s">
        <v>291</v>
      </c>
      <c r="K107" s="318"/>
      <c r="L107" s="388"/>
      <c r="M107" s="316" t="s">
        <v>289</v>
      </c>
      <c r="N107" s="317" t="s">
        <v>290</v>
      </c>
      <c r="O107" s="317"/>
      <c r="P107" s="317" t="s">
        <v>291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267</v>
      </c>
    </row>
    <row r="108" customFormat="false" ht="18.75" hidden="false" customHeight="true" outlineLevel="0" collapsed="false">
      <c r="A108" s="313" t="n">
        <v>239.99</v>
      </c>
      <c r="B108" s="107" t="n">
        <v>400</v>
      </c>
      <c r="C108" s="107"/>
      <c r="D108" s="107" t="n">
        <v>200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268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269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270</v>
      </c>
    </row>
    <row r="111" customFormat="false" ht="18.75" hidden="false" customHeight="true" outlineLevel="0" collapsed="false">
      <c r="A111" s="389" t="s">
        <v>18</v>
      </c>
      <c r="B111" s="312" t="n">
        <v>30</v>
      </c>
      <c r="C111" s="312"/>
      <c r="D111" s="107" t="n">
        <v>200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271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344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388"/>
      <c r="G114" s="217" t="s">
        <v>293</v>
      </c>
      <c r="H114" s="217"/>
      <c r="I114" s="217"/>
      <c r="J114" s="217"/>
      <c r="K114" s="217"/>
      <c r="L114" s="388"/>
      <c r="M114" s="217" t="s">
        <v>293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294</v>
      </c>
      <c r="B116" s="389" t="s">
        <v>19</v>
      </c>
      <c r="C116" s="317"/>
      <c r="D116" s="317"/>
      <c r="E116" s="318"/>
      <c r="F116" s="388"/>
      <c r="G116" s="316" t="s">
        <v>294</v>
      </c>
      <c r="H116" s="389" t="s">
        <v>18</v>
      </c>
      <c r="I116" s="317"/>
      <c r="J116" s="317"/>
      <c r="K116" s="318"/>
      <c r="L116" s="388"/>
      <c r="M116" s="316" t="s">
        <v>294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</v>
      </c>
      <c r="E118" s="107" t="n">
        <v>6000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239.99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295</v>
      </c>
      <c r="B125" s="367"/>
      <c r="C125" s="367"/>
      <c r="D125" s="367"/>
      <c r="E125" s="65" t="n">
        <f aca="false">(E124+E123)-E120</f>
        <v>-2760.01</v>
      </c>
      <c r="F125" s="388"/>
      <c r="G125" s="422" t="s">
        <v>295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295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388"/>
      <c r="G128" s="217" t="s">
        <v>296</v>
      </c>
      <c r="H128" s="217"/>
      <c r="I128" s="217"/>
      <c r="J128" s="217"/>
      <c r="K128" s="217"/>
      <c r="L128" s="388"/>
      <c r="M128" s="217" t="s">
        <v>296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11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11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770.096969651741</v>
      </c>
      <c r="B134" s="321" t="n">
        <f aca="false">IF(A111="YES", B95, 0)</f>
        <v>78</v>
      </c>
      <c r="C134" s="325"/>
      <c r="D134" s="321" t="n">
        <f aca="false">B97</f>
        <v>848.096969651741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299</v>
      </c>
      <c r="H135" s="424" t="s">
        <v>300</v>
      </c>
      <c r="I135" s="424"/>
      <c r="J135" s="424" t="s">
        <v>301</v>
      </c>
      <c r="K135" s="318"/>
      <c r="L135" s="388"/>
      <c r="M135" s="423" t="s">
        <v>345</v>
      </c>
      <c r="N135" s="424" t="s">
        <v>253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770.096969651741</v>
      </c>
      <c r="C137" s="317"/>
      <c r="D137" s="38" t="n">
        <f aca="false">IF(A111="YES", B95*B63, 0)</f>
        <v>78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304</v>
      </c>
      <c r="H138" s="317" t="s">
        <v>305</v>
      </c>
      <c r="I138" s="317"/>
      <c r="J138" s="317" t="s">
        <v>306</v>
      </c>
      <c r="K138" s="318"/>
      <c r="L138" s="388"/>
      <c r="M138" s="316" t="s">
        <v>346</v>
      </c>
      <c r="N138" s="317" t="s">
        <v>242</v>
      </c>
      <c r="O138" s="317"/>
      <c r="P138" s="317" t="s">
        <v>246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848.096969651741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309</v>
      </c>
      <c r="H141" s="317" t="s">
        <v>310</v>
      </c>
      <c r="I141" s="317"/>
      <c r="J141" s="317" t="s">
        <v>311</v>
      </c>
      <c r="K141" s="318"/>
      <c r="L141" s="388"/>
      <c r="M141" s="316" t="s">
        <v>255</v>
      </c>
      <c r="N141" s="317" t="s">
        <v>256</v>
      </c>
      <c r="O141" s="317"/>
      <c r="P141" s="317" t="s">
        <v>260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388"/>
      <c r="G142" s="111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5"/>
      <c r="L142" s="388"/>
      <c r="M142" s="111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770.096969651741</v>
      </c>
      <c r="B143" s="38" t="n">
        <f aca="false">IF(A111="YES", B95, 0)</f>
        <v>78</v>
      </c>
      <c r="C143" s="317"/>
      <c r="D143" s="38" t="n">
        <f aca="false">B97</f>
        <v>848.096969651741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312</v>
      </c>
      <c r="H144" s="317" t="s">
        <v>313</v>
      </c>
      <c r="I144" s="317"/>
      <c r="J144" s="317" t="s">
        <v>314</v>
      </c>
      <c r="K144" s="318"/>
      <c r="L144" s="388"/>
      <c r="M144" s="316" t="s">
        <v>139</v>
      </c>
      <c r="N144" s="317" t="s">
        <v>313</v>
      </c>
      <c r="O144" s="317"/>
      <c r="P144" s="317" t="s">
        <v>314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168.858333333333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168.858333333333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316</v>
      </c>
      <c r="H147" s="317" t="s">
        <v>317</v>
      </c>
      <c r="I147" s="317"/>
      <c r="J147" s="317" t="s">
        <v>318</v>
      </c>
      <c r="K147" s="318"/>
      <c r="L147" s="388"/>
      <c r="M147" s="316" t="s">
        <v>316</v>
      </c>
      <c r="N147" s="317" t="s">
        <v>317</v>
      </c>
      <c r="O147" s="317"/>
      <c r="P147" s="317" t="s">
        <v>318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2828.84633333333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2788.84833333333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320</v>
      </c>
      <c r="H150" s="317" t="s">
        <v>321</v>
      </c>
      <c r="I150" s="317"/>
      <c r="J150" s="317"/>
      <c r="K150" s="318"/>
      <c r="L150" s="388"/>
      <c r="M150" s="316" t="s">
        <v>320</v>
      </c>
      <c r="N150" s="317" t="s">
        <v>321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347</v>
      </c>
      <c r="N153" s="39" t="s">
        <v>348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114.49998</v>
      </c>
      <c r="B154" s="38" t="n">
        <f aca="false">B108</f>
        <v>400</v>
      </c>
      <c r="C154" s="38"/>
      <c r="D154" s="38" t="n">
        <f aca="false">IF(A111="YES", (A44/100*B111)*B131, 0)*0.1</f>
        <v>18</v>
      </c>
      <c r="E154" s="105"/>
      <c r="F154" s="388"/>
      <c r="G154" s="348" t="s">
        <v>326</v>
      </c>
      <c r="H154" s="317"/>
      <c r="I154" s="317"/>
      <c r="J154" s="349"/>
      <c r="K154" s="350"/>
      <c r="L154" s="388"/>
      <c r="M154" s="425" t="n">
        <f aca="false">H40</f>
        <v>3816.666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632.491646666667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326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848.096969651741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388"/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770.096969651741</v>
      </c>
      <c r="B177" s="355" t="n">
        <f aca="false">IF(A111="YES", B95, 0)</f>
        <v>78</v>
      </c>
      <c r="C177" s="357"/>
      <c r="D177" s="355" t="n">
        <f aca="false">A177+B177</f>
        <v>848.096969651741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770.096969651741</v>
      </c>
      <c r="C180" s="353"/>
      <c r="D180" s="103" t="n">
        <f aca="false">IF(A111="YES", B95*B63, 0)</f>
        <v>78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848.096969651741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770.096969651741</v>
      </c>
      <c r="B186" s="103" t="n">
        <f aca="false">IF(A111="YES", B95, 0)</f>
        <v>78</v>
      </c>
      <c r="C186" s="353"/>
      <c r="D186" s="103" t="n">
        <f aca="false">B97</f>
        <v>848.096969651741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114.49998</v>
      </c>
      <c r="B197" s="103" t="n">
        <f aca="false">B108</f>
        <v>400</v>
      </c>
      <c r="C197" s="103"/>
      <c r="D197" s="103" t="n">
        <f aca="false">IF(A111="YES", (A44/100*B111)*B131, 0)*0.1</f>
        <v>18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632.491646666667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G201" s="388"/>
      <c r="H201" s="388"/>
      <c r="I201" s="388"/>
      <c r="J201" s="388"/>
      <c r="K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388"/>
      <c r="G202" s="388"/>
      <c r="H202" s="388"/>
      <c r="I202" s="388"/>
      <c r="J202" s="388"/>
      <c r="K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G203" s="388"/>
      <c r="H203" s="388"/>
      <c r="I203" s="388"/>
      <c r="J203" s="388"/>
      <c r="K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G204" s="388"/>
      <c r="H204" s="388"/>
      <c r="I204" s="388"/>
      <c r="J204" s="388"/>
      <c r="K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G205" s="388"/>
      <c r="H205" s="388"/>
      <c r="I205" s="388"/>
      <c r="J205" s="388"/>
      <c r="K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G206" s="388"/>
      <c r="H206" s="388"/>
      <c r="I206" s="388"/>
      <c r="J206" s="388"/>
      <c r="K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G207" s="388"/>
      <c r="H207" s="388"/>
      <c r="I207" s="388"/>
      <c r="J207" s="388"/>
      <c r="K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G208" s="388"/>
      <c r="H208" s="388"/>
      <c r="I208" s="388"/>
      <c r="J208" s="388"/>
      <c r="K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2836.82</v>
      </c>
      <c r="E209" s="322"/>
      <c r="F209" s="388"/>
      <c r="G209" s="388"/>
      <c r="H209" s="388"/>
      <c r="I209" s="388"/>
      <c r="J209" s="388"/>
      <c r="K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G210" s="388"/>
      <c r="H210" s="388"/>
      <c r="I210" s="388"/>
      <c r="J210" s="388"/>
      <c r="K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114.49998</v>
      </c>
      <c r="C211" s="320" t="s">
        <v>217</v>
      </c>
      <c r="D211" s="370" t="n">
        <f aca="false">B225+E221+B221+B223</f>
        <v>519.991666666667</v>
      </c>
      <c r="E211" s="322"/>
      <c r="F211" s="388"/>
      <c r="G211" s="388"/>
      <c r="H211" s="388"/>
      <c r="I211" s="388"/>
      <c r="J211" s="388"/>
      <c r="K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G212" s="388"/>
      <c r="H212" s="388"/>
      <c r="I212" s="388"/>
      <c r="J212" s="388"/>
      <c r="K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3242.31168666667</v>
      </c>
      <c r="C213" s="325"/>
      <c r="D213" s="321"/>
      <c r="E213" s="322"/>
      <c r="F213" s="388"/>
      <c r="G213" s="388"/>
      <c r="H213" s="388"/>
      <c r="I213" s="388"/>
      <c r="J213" s="388"/>
      <c r="K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G214" s="388"/>
      <c r="H214" s="388"/>
      <c r="I214" s="388"/>
      <c r="J214" s="388"/>
      <c r="K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G215" s="388"/>
      <c r="H215" s="388"/>
      <c r="I215" s="388"/>
      <c r="J215" s="388"/>
      <c r="K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G216" s="388"/>
      <c r="H216" s="388"/>
      <c r="I216" s="388"/>
      <c r="J216" s="388"/>
      <c r="K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2836.82</v>
      </c>
      <c r="C217" s="375" t="s">
        <v>221</v>
      </c>
      <c r="D217" s="317"/>
      <c r="E217" s="376" t="n">
        <f aca="false">B72</f>
        <v>0.005</v>
      </c>
      <c r="F217" s="388"/>
      <c r="G217" s="388"/>
      <c r="H217" s="388"/>
      <c r="I217" s="388"/>
      <c r="J217" s="388"/>
      <c r="K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G218" s="388"/>
      <c r="H218" s="388"/>
      <c r="I218" s="388"/>
      <c r="J218" s="388"/>
      <c r="K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114.49998</v>
      </c>
      <c r="C219" s="336" t="s">
        <v>329</v>
      </c>
      <c r="D219" s="377"/>
      <c r="E219" s="92" t="n">
        <v>0.001</v>
      </c>
      <c r="F219" s="388"/>
      <c r="G219" s="388"/>
      <c r="H219" s="388"/>
      <c r="I219" s="388"/>
      <c r="J219" s="388"/>
      <c r="K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G220" s="388"/>
      <c r="H220" s="388"/>
      <c r="I220" s="388"/>
      <c r="J220" s="388"/>
      <c r="K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388"/>
      <c r="G221" s="388"/>
      <c r="H221" s="388"/>
      <c r="I221" s="388"/>
      <c r="J221" s="388"/>
      <c r="K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G222" s="388"/>
      <c r="H222" s="388"/>
      <c r="I222" s="388"/>
      <c r="J222" s="388"/>
      <c r="K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3242.31168666667</v>
      </c>
      <c r="F223" s="388"/>
      <c r="G223" s="388"/>
      <c r="H223" s="388"/>
      <c r="I223" s="388"/>
      <c r="J223" s="388"/>
      <c r="K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G224" s="388"/>
      <c r="H224" s="388"/>
      <c r="I224" s="388"/>
      <c r="J224" s="388"/>
      <c r="K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331</v>
      </c>
      <c r="B225" s="341" t="n">
        <f aca="false">D197/0.1</f>
        <v>180</v>
      </c>
      <c r="C225" s="38"/>
      <c r="D225" s="341"/>
      <c r="E225" s="167"/>
      <c r="F225" s="388"/>
      <c r="G225" s="388"/>
      <c r="H225" s="388"/>
      <c r="I225" s="388"/>
      <c r="J225" s="388"/>
      <c r="K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G226" s="388"/>
      <c r="H226" s="388"/>
      <c r="I226" s="388"/>
      <c r="J226" s="388"/>
      <c r="K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388"/>
      <c r="G227" s="388"/>
      <c r="H227" s="388"/>
      <c r="I227" s="388"/>
      <c r="J227" s="388"/>
      <c r="K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G228" s="388"/>
      <c r="H228" s="388"/>
      <c r="I228" s="388"/>
      <c r="J228" s="388"/>
      <c r="K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388"/>
      <c r="G229" s="388"/>
      <c r="H229" s="388"/>
      <c r="I229" s="388"/>
      <c r="J229" s="388"/>
      <c r="K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388"/>
      <c r="G230" s="388"/>
      <c r="H230" s="388"/>
      <c r="I230" s="388"/>
      <c r="J230" s="388"/>
      <c r="K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G231" s="388"/>
      <c r="H231" s="388"/>
      <c r="I231" s="388"/>
      <c r="J231" s="388"/>
      <c r="K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64.7788358208955</v>
      </c>
      <c r="F232" s="388"/>
      <c r="G232" s="388"/>
      <c r="H232" s="388"/>
      <c r="I232" s="388"/>
      <c r="J232" s="388"/>
      <c r="K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333</v>
      </c>
      <c r="D233" s="383"/>
      <c r="E233" s="149" t="n">
        <f aca="false">B80</f>
        <v>290</v>
      </c>
      <c r="F233" s="388"/>
      <c r="G233" s="388"/>
      <c r="H233" s="388"/>
      <c r="I233" s="388"/>
      <c r="J233" s="388"/>
      <c r="K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G234" s="388"/>
      <c r="H234" s="388"/>
      <c r="I234" s="388"/>
      <c r="J234" s="388"/>
      <c r="K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334</v>
      </c>
      <c r="D235" s="386"/>
      <c r="E235" s="149" t="n">
        <f aca="false">B81</f>
        <v>0</v>
      </c>
      <c r="F235" s="388"/>
      <c r="G235" s="388"/>
      <c r="H235" s="388"/>
      <c r="I235" s="388"/>
      <c r="J235" s="388"/>
      <c r="K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G236" s="388"/>
      <c r="H236" s="388"/>
      <c r="I236" s="388"/>
      <c r="J236" s="388"/>
      <c r="K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G237" s="388"/>
      <c r="H237" s="388"/>
      <c r="I237" s="388"/>
      <c r="J237" s="388"/>
      <c r="K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G238" s="388"/>
      <c r="H238" s="388"/>
      <c r="I238" s="388"/>
      <c r="J238" s="388"/>
      <c r="K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G239" s="388"/>
      <c r="H239" s="388"/>
      <c r="I239" s="388"/>
      <c r="J239" s="388"/>
      <c r="K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G240" s="388"/>
      <c r="H240" s="388"/>
      <c r="I240" s="388"/>
      <c r="J240" s="388"/>
      <c r="K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G241" s="388"/>
      <c r="H241" s="388"/>
      <c r="I241" s="388"/>
      <c r="J241" s="388"/>
      <c r="K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G242" s="388"/>
      <c r="H242" s="388"/>
      <c r="I242" s="388"/>
      <c r="J242" s="388"/>
      <c r="K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88"/>
      <c r="B243" s="388"/>
      <c r="C243" s="388"/>
      <c r="D243" s="388"/>
      <c r="E243" s="388"/>
      <c r="F243" s="388"/>
      <c r="G243" s="388"/>
      <c r="H243" s="388"/>
      <c r="I243" s="388"/>
      <c r="J243" s="388"/>
      <c r="K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388"/>
      <c r="B244" s="388"/>
      <c r="C244" s="388"/>
      <c r="D244" s="388"/>
      <c r="E244" s="388"/>
      <c r="F244" s="388"/>
      <c r="G244" s="388"/>
      <c r="H244" s="388"/>
      <c r="I244" s="388"/>
      <c r="J244" s="388"/>
      <c r="K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88"/>
      <c r="B245" s="388"/>
      <c r="C245" s="388"/>
      <c r="D245" s="388"/>
      <c r="E245" s="388"/>
      <c r="F245" s="388"/>
      <c r="G245" s="388"/>
      <c r="H245" s="388"/>
      <c r="I245" s="388"/>
      <c r="J245" s="388"/>
      <c r="K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88"/>
      <c r="B246" s="388"/>
      <c r="C246" s="388"/>
      <c r="D246" s="388"/>
      <c r="E246" s="388"/>
      <c r="F246" s="388"/>
      <c r="G246" s="388"/>
      <c r="H246" s="388"/>
      <c r="I246" s="388"/>
      <c r="J246" s="388"/>
      <c r="K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388"/>
      <c r="B247" s="388"/>
      <c r="C247" s="388"/>
      <c r="D247" s="388"/>
      <c r="E247" s="388"/>
      <c r="F247" s="388"/>
      <c r="G247" s="388"/>
      <c r="H247" s="388"/>
      <c r="I247" s="388"/>
      <c r="J247" s="388"/>
      <c r="K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88"/>
      <c r="B248" s="388"/>
      <c r="C248" s="388"/>
      <c r="D248" s="388"/>
      <c r="E248" s="388"/>
      <c r="F248" s="388"/>
      <c r="G248" s="388"/>
      <c r="H248" s="388"/>
      <c r="I248" s="388"/>
      <c r="J248" s="388"/>
      <c r="K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" t="s">
        <v>1</v>
      </c>
      <c r="B2" s="5" t="n">
        <f aca="false">B9+B11</f>
        <v>19458.33</v>
      </c>
      <c r="C2" s="4" t="s">
        <v>2</v>
      </c>
      <c r="D2" s="5" t="n">
        <f aca="false">C9</f>
        <v>3891.666</v>
      </c>
      <c r="E2" s="4" t="s">
        <v>3</v>
      </c>
      <c r="F2" s="6" t="n">
        <f aca="false">B13</f>
        <v>0</v>
      </c>
      <c r="G2" s="63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4" t="s">
        <v>5</v>
      </c>
      <c r="B4" s="5" t="n">
        <f aca="false">B15+C15</f>
        <v>23349.996</v>
      </c>
      <c r="C4" s="269"/>
      <c r="D4" s="269"/>
      <c r="E4" s="269"/>
      <c r="F4" s="270" t="s">
        <v>4</v>
      </c>
      <c r="G4" s="63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388"/>
      <c r="I8" s="13" t="s">
        <v>3</v>
      </c>
      <c r="J8" s="14" t="n">
        <f aca="false">E13+E14</f>
        <v>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10" t="s">
        <v>8</v>
      </c>
      <c r="B9" s="15" t="n">
        <v>19458.33</v>
      </c>
      <c r="C9" s="14" t="n">
        <f aca="false">B9*0.2</f>
        <v>3891.666</v>
      </c>
      <c r="D9" s="271"/>
      <c r="E9" s="271"/>
      <c r="F9" s="63"/>
      <c r="G9" s="63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388"/>
      <c r="I10" s="16" t="s">
        <v>1</v>
      </c>
      <c r="J10" s="14" t="n">
        <f aca="false">E15-E11-J8</f>
        <v>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10" t="s">
        <v>12</v>
      </c>
      <c r="B15" s="14" t="n">
        <f aca="false">SUM(B9:B13)</f>
        <v>19458.33</v>
      </c>
      <c r="C15" s="14" t="n">
        <f aca="false">SUM(C9:C13)</f>
        <v>3891.666</v>
      </c>
      <c r="D15" s="271"/>
      <c r="E15" s="271"/>
      <c r="F15" s="63"/>
      <c r="G15" s="274" t="n">
        <f aca="false">E15</f>
        <v>0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23349.996</v>
      </c>
      <c r="F19" s="63"/>
      <c r="G19" s="63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19458.33</v>
      </c>
      <c r="F21" s="63"/>
      <c r="G21" s="63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237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239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240</v>
      </c>
      <c r="B29" s="223" t="n">
        <v>12345</v>
      </c>
      <c r="C29" s="223"/>
      <c r="D29" s="390" t="n">
        <f aca="true">TODAY()+1</f>
        <v>45295</v>
      </c>
      <c r="E29" s="390"/>
      <c r="F29" s="388"/>
      <c r="G29" s="29" t="s">
        <v>28</v>
      </c>
      <c r="H29" s="37" t="n">
        <f aca="false">A32</f>
        <v>12</v>
      </c>
      <c r="I29" s="427" t="n">
        <f aca="false">ISNUMBER(I31)</f>
        <v>0</v>
      </c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</v>
      </c>
      <c r="B32" s="223" t="n">
        <v>5000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600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339</v>
      </c>
      <c r="B34" s="231" t="s">
        <v>48</v>
      </c>
      <c r="C34" s="230" t="s">
        <v>4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0</v>
      </c>
      <c r="B35" s="223" t="s">
        <v>45</v>
      </c>
      <c r="C35" s="223"/>
      <c r="D35" s="279" t="n">
        <f aca="false">A35-B35</f>
        <v>-1000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42</v>
      </c>
      <c r="B38" s="241" t="n">
        <f aca="false">A32-1</f>
        <v>11</v>
      </c>
      <c r="C38" s="241"/>
      <c r="D38" s="104" t="s">
        <v>57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4</v>
      </c>
      <c r="G40" s="2" t="s">
        <v>58</v>
      </c>
      <c r="H40" s="2" t="n">
        <f aca="false">C15</f>
        <v>3891.666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336</v>
      </c>
      <c r="B41" s="104" t="s">
        <v>337</v>
      </c>
      <c r="C41" s="104"/>
      <c r="D41" s="223" t="s">
        <v>18</v>
      </c>
      <c r="E41" s="223"/>
      <c r="F41" s="388"/>
      <c r="G41" s="2" t="s">
        <v>59</v>
      </c>
      <c r="H41" s="2" t="str">
        <f aca="false">IF(D41="Yes",A44, 0)</f>
        <v>50</v>
      </c>
      <c r="I41" s="2" t="s">
        <v>4</v>
      </c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4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s">
        <v>233</v>
      </c>
      <c r="B44" s="104" t="s">
        <v>338</v>
      </c>
      <c r="C44" s="104"/>
      <c r="D44" s="104" t="s">
        <v>338</v>
      </c>
      <c r="E44" s="104"/>
      <c r="F44" s="388"/>
      <c r="G44" s="2" t="s">
        <v>65</v>
      </c>
      <c r="H44" s="2" t="n">
        <f aca="false">((H40-(((H42/(1.2))*0.2)))/(H43))</f>
        <v>240.972166666667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309.027833333333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339</v>
      </c>
      <c r="B46" s="230" t="s">
        <v>340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339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311.6945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110"/>
      <c r="B50" s="230"/>
      <c r="C50" s="230"/>
      <c r="D50" s="230"/>
      <c r="E50" s="243"/>
      <c r="F50" s="388"/>
      <c r="G50" s="2" t="s">
        <v>341</v>
      </c>
      <c r="H50" s="2" t="n">
        <f aca="false">H49-H41</f>
        <v>261.6945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/>
      <c r="B52" s="74"/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339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311.6945</v>
      </c>
      <c r="C58" s="74"/>
      <c r="D58" s="428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1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11</v>
      </c>
      <c r="C64" s="317" t="s">
        <v>4</v>
      </c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214" t="s">
        <v>277</v>
      </c>
      <c r="B66" s="215" t="n">
        <f aca="false">E19</f>
        <v>23349.996</v>
      </c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317"/>
      <c r="D67" s="317"/>
      <c r="E67" s="318"/>
      <c r="F67" s="388"/>
      <c r="G67" s="316" t="s">
        <v>14</v>
      </c>
      <c r="H67" s="32" t="n">
        <f aca="false">G18</f>
        <v>40526</v>
      </c>
      <c r="I67" s="317"/>
      <c r="J67" s="317"/>
      <c r="K67" s="318"/>
      <c r="L67" s="388"/>
      <c r="M67" s="316" t="s">
        <v>14</v>
      </c>
      <c r="N67" s="32" t="n">
        <f aca="false">G18</f>
        <v>40526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292" t="s">
        <v>278</v>
      </c>
      <c r="B68" s="293" t="n">
        <v>0.07</v>
      </c>
      <c r="C68" s="317"/>
      <c r="D68" s="317"/>
      <c r="E68" s="318"/>
      <c r="F68" s="388"/>
      <c r="G68" s="399" t="s">
        <v>278</v>
      </c>
      <c r="H68" s="400" t="n">
        <v>0.07</v>
      </c>
      <c r="I68" s="317"/>
      <c r="J68" s="317"/>
      <c r="K68" s="318"/>
      <c r="L68" s="388"/>
      <c r="M68" s="399" t="s">
        <v>278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317"/>
      <c r="D69" s="317"/>
      <c r="E69" s="318"/>
      <c r="F69" s="388"/>
      <c r="G69" s="316" t="s">
        <v>279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279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285" t="s">
        <v>90</v>
      </c>
      <c r="B70" s="133" t="n">
        <f aca="false">B67*B69</f>
        <v>2836.82</v>
      </c>
      <c r="C70" s="317" t="n">
        <v>10000</v>
      </c>
      <c r="D70" s="32" t="n">
        <f aca="false">B70-A149</f>
        <v>2836.82</v>
      </c>
      <c r="E70" s="318" t="n">
        <f aca="false">D70/12</f>
        <v>236.401666666667</v>
      </c>
      <c r="F70" s="388"/>
      <c r="G70" s="366" t="s">
        <v>90</v>
      </c>
      <c r="H70" s="65" t="n">
        <f aca="false">H67*H69</f>
        <v>2836.82</v>
      </c>
      <c r="I70" s="317"/>
      <c r="J70" s="32" t="n">
        <f aca="false">H70-G151</f>
        <v>2836.82</v>
      </c>
      <c r="K70" s="318"/>
      <c r="L70" s="388"/>
      <c r="M70" s="366" t="s">
        <v>90</v>
      </c>
      <c r="N70" s="65" t="n">
        <f aca="false">N67*N69</f>
        <v>2836.82</v>
      </c>
      <c r="O70" s="317"/>
      <c r="P70" s="32" t="n">
        <f aca="false">N70-M151</f>
        <v>2836.82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292" t="s">
        <v>91</v>
      </c>
      <c r="B71" s="293" t="n">
        <v>0.01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285" t="s">
        <v>93</v>
      </c>
      <c r="B73" s="133" t="n">
        <f aca="false">B66*B72</f>
        <v>233.49996</v>
      </c>
      <c r="C73" s="317"/>
      <c r="D73" s="32"/>
      <c r="E73" s="318"/>
      <c r="F73" s="388"/>
      <c r="G73" s="366" t="s">
        <v>93</v>
      </c>
      <c r="H73" s="65" t="n">
        <f aca="false">H67*H72</f>
        <v>202.63</v>
      </c>
      <c r="I73" s="317"/>
      <c r="J73" s="32"/>
      <c r="K73" s="318"/>
      <c r="L73" s="388"/>
      <c r="M73" s="366" t="s">
        <v>93</v>
      </c>
      <c r="N73" s="65" t="n">
        <f aca="false">N67*N72</f>
        <v>202.63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200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5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60</v>
      </c>
      <c r="C79" s="317"/>
      <c r="D79" s="32" t="n">
        <f aca="false">B79+B77</f>
        <v>260</v>
      </c>
      <c r="E79" s="404" t="n">
        <f aca="false">D79+D85+D86</f>
        <v>660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280</v>
      </c>
      <c r="B80" s="86" t="n">
        <v>275</v>
      </c>
      <c r="C80" s="317"/>
      <c r="D80" s="317"/>
      <c r="E80" s="404" t="n">
        <f aca="false">E79+D82</f>
        <v>957.916666666667</v>
      </c>
      <c r="F80" s="388"/>
      <c r="G80" s="399" t="s">
        <v>280</v>
      </c>
      <c r="H80" s="86" t="n">
        <v>150</v>
      </c>
      <c r="I80" s="317"/>
      <c r="J80" s="317"/>
      <c r="K80" s="318"/>
      <c r="L80" s="388"/>
      <c r="M80" s="405" t="s">
        <v>280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281</v>
      </c>
      <c r="B81" s="77" t="n">
        <v>0</v>
      </c>
      <c r="C81" s="317"/>
      <c r="D81" s="317"/>
      <c r="E81" s="318" t="n">
        <f aca="false">E80/12</f>
        <v>79.8263888888889</v>
      </c>
      <c r="F81" s="388"/>
      <c r="G81" s="401" t="s">
        <v>281</v>
      </c>
      <c r="H81" s="77" t="n">
        <f aca="false">IF(G18&gt;40000, 325, 0)</f>
        <v>325</v>
      </c>
      <c r="I81" s="317"/>
      <c r="J81" s="317"/>
      <c r="K81" s="318"/>
      <c r="L81" s="388"/>
      <c r="M81" s="407" t="s">
        <v>281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282</v>
      </c>
      <c r="B82" s="65" t="n">
        <f aca="false">((B80+B81)/12)*(H29+1)</f>
        <v>297.916666666667</v>
      </c>
      <c r="C82" s="317"/>
      <c r="D82" s="32" t="n">
        <f aca="false">IF(A50="YES", 0, B82)</f>
        <v>297.916666666667</v>
      </c>
      <c r="E82" s="318"/>
      <c r="F82" s="388"/>
      <c r="G82" s="366" t="s">
        <v>282</v>
      </c>
      <c r="H82" s="65" t="n">
        <f aca="false">((H80+H81)/12)*(H29-11)</f>
        <v>39.5833333333333</v>
      </c>
      <c r="I82" s="317"/>
      <c r="J82" s="32" t="n">
        <f aca="false">IF(A50="YES", 0, H82)</f>
        <v>39.5833333333333</v>
      </c>
      <c r="K82" s="318"/>
      <c r="L82" s="388"/>
      <c r="M82" s="409" t="s">
        <v>282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283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283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283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342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284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284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200</v>
      </c>
      <c r="C85" s="317"/>
      <c r="D85" s="32" t="n">
        <f aca="false">B85</f>
        <v>200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200</v>
      </c>
      <c r="C86" s="317"/>
      <c r="D86" s="32" t="n">
        <f aca="false">B86</f>
        <v>200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4461.40333333333</v>
      </c>
      <c r="C87" s="317"/>
      <c r="D87" s="317"/>
      <c r="E87" s="318"/>
      <c r="F87" s="388"/>
      <c r="G87" s="412" t="s">
        <v>102</v>
      </c>
      <c r="H87" s="413" t="n">
        <f aca="false">SUM(J70:J86)</f>
        <v>5990.40333333333</v>
      </c>
      <c r="I87" s="317"/>
      <c r="J87" s="317"/>
      <c r="K87" s="318"/>
      <c r="L87" s="388"/>
      <c r="M87" s="412" t="s">
        <v>102</v>
      </c>
      <c r="N87" s="413" t="n">
        <f aca="false">SUM(P70:P86)</f>
        <v>5950.82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371.783611111111</v>
      </c>
      <c r="C88" s="317"/>
      <c r="D88" s="317"/>
      <c r="E88" s="318"/>
      <c r="F88" s="388"/>
      <c r="G88" s="316" t="s">
        <v>103</v>
      </c>
      <c r="H88" s="33" t="n">
        <f aca="false">H87/H29</f>
        <v>499.200277777778</v>
      </c>
      <c r="I88" s="317"/>
      <c r="J88" s="317"/>
      <c r="K88" s="318"/>
      <c r="L88" s="388"/>
      <c r="M88" s="316" t="s">
        <v>103</v>
      </c>
      <c r="N88" s="33" t="n">
        <f aca="false">N87/H29</f>
        <v>495.901666666667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261.6945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</f>
        <v>7601.73733333333</v>
      </c>
      <c r="C91" s="317"/>
      <c r="D91" s="317"/>
      <c r="E91" s="318"/>
      <c r="F91" s="388"/>
      <c r="G91" s="396" t="s">
        <v>114</v>
      </c>
      <c r="H91" s="27" t="n">
        <f aca="false">((H89*H29)+H87)*1.2</f>
        <v>7188.484</v>
      </c>
      <c r="I91" s="317"/>
      <c r="J91" s="317"/>
      <c r="K91" s="318"/>
      <c r="L91" s="388"/>
      <c r="M91" s="396" t="s">
        <v>114</v>
      </c>
      <c r="N91" s="27" t="n">
        <f aca="false">((N89*H29)+N87)</f>
        <v>5950.82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64.3955159338443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50.7456514723679</v>
      </c>
      <c r="I92" s="317"/>
      <c r="J92" s="317"/>
      <c r="K92" s="318"/>
      <c r="L92" s="388"/>
      <c r="M92" s="316" t="s">
        <v>115</v>
      </c>
      <c r="N92" s="33" t="n">
        <f aca="false">(N91/(1-N76))*N76</f>
        <v>50.4103348124244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7666.13284926718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9239.22965147237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8001.23033481242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</f>
        <v>65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638.844404105598</v>
      </c>
      <c r="C96" s="317" t="s">
        <v>4</v>
      </c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703.844404105598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388"/>
      <c r="G100" s="213" t="s">
        <v>285</v>
      </c>
      <c r="H100" s="213"/>
      <c r="I100" s="213"/>
      <c r="J100" s="213"/>
      <c r="K100" s="213"/>
      <c r="L100" s="388"/>
      <c r="M100" s="213" t="s">
        <v>343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286</v>
      </c>
      <c r="E104" s="318"/>
      <c r="F104" s="388"/>
      <c r="G104" s="316" t="s">
        <v>125</v>
      </c>
      <c r="H104" s="317" t="s">
        <v>23</v>
      </c>
      <c r="I104" s="317"/>
      <c r="J104" s="317" t="s">
        <v>286</v>
      </c>
      <c r="K104" s="318"/>
      <c r="L104" s="388"/>
      <c r="M104" s="316" t="s">
        <v>125</v>
      </c>
      <c r="N104" s="317" t="s">
        <v>23</v>
      </c>
      <c r="O104" s="317"/>
      <c r="P104" s="317" t="s">
        <v>286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264</v>
      </c>
    </row>
    <row r="105" customFormat="false" ht="18.75" hidden="false" customHeight="true" outlineLevel="0" collapsed="false">
      <c r="A105" s="374"/>
      <c r="B105" s="312" t="s">
        <v>128</v>
      </c>
      <c r="C105" s="312"/>
      <c r="D105" s="421" t="n">
        <v>1000</v>
      </c>
      <c r="E105" s="421"/>
      <c r="F105" s="388"/>
      <c r="G105" s="374" t="s">
        <v>287</v>
      </c>
      <c r="H105" s="312" t="s">
        <v>269</v>
      </c>
      <c r="I105" s="312"/>
      <c r="J105" s="421" t="n">
        <v>5000</v>
      </c>
      <c r="K105" s="421"/>
      <c r="L105" s="388"/>
      <c r="M105" s="374" t="s">
        <v>287</v>
      </c>
      <c r="N105" s="312" t="s">
        <v>268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265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266</v>
      </c>
    </row>
    <row r="107" customFormat="false" ht="18.75" hidden="false" customHeight="true" outlineLevel="0" collapsed="false">
      <c r="A107" s="316" t="s">
        <v>289</v>
      </c>
      <c r="B107" s="317" t="s">
        <v>290</v>
      </c>
      <c r="C107" s="317"/>
      <c r="D107" s="317" t="s">
        <v>291</v>
      </c>
      <c r="E107" s="318"/>
      <c r="F107" s="388"/>
      <c r="G107" s="316" t="s">
        <v>289</v>
      </c>
      <c r="H107" s="317" t="s">
        <v>290</v>
      </c>
      <c r="I107" s="317"/>
      <c r="J107" s="317" t="s">
        <v>291</v>
      </c>
      <c r="K107" s="318"/>
      <c r="L107" s="388"/>
      <c r="M107" s="316" t="s">
        <v>289</v>
      </c>
      <c r="N107" s="317" t="s">
        <v>290</v>
      </c>
      <c r="O107" s="317"/>
      <c r="P107" s="317" t="s">
        <v>291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268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269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270</v>
      </c>
    </row>
    <row r="111" customFormat="false" ht="18.75" hidden="false" customHeight="true" outlineLevel="0" collapsed="false">
      <c r="A111" s="389" t="s">
        <v>18</v>
      </c>
      <c r="B111" s="312" t="n">
        <v>30</v>
      </c>
      <c r="C111" s="312"/>
      <c r="D111" s="107" t="n">
        <v>200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271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344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388"/>
      <c r="G114" s="217" t="s">
        <v>293</v>
      </c>
      <c r="H114" s="217"/>
      <c r="I114" s="217"/>
      <c r="J114" s="217"/>
      <c r="K114" s="217"/>
      <c r="L114" s="388"/>
      <c r="M114" s="217" t="s">
        <v>293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294</v>
      </c>
      <c r="B116" s="389" t="s">
        <v>19</v>
      </c>
      <c r="C116" s="317"/>
      <c r="D116" s="317"/>
      <c r="E116" s="318"/>
      <c r="F116" s="388"/>
      <c r="G116" s="316" t="s">
        <v>294</v>
      </c>
      <c r="H116" s="389" t="s">
        <v>18</v>
      </c>
      <c r="I116" s="317"/>
      <c r="J116" s="317"/>
      <c r="K116" s="318"/>
      <c r="L116" s="388"/>
      <c r="M116" s="316" t="s">
        <v>294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</v>
      </c>
      <c r="E118" s="107" t="n">
        <v>6000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199.99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295</v>
      </c>
      <c r="B125" s="367"/>
      <c r="C125" s="367"/>
      <c r="D125" s="367"/>
      <c r="E125" s="65" t="n">
        <f aca="false">((E124*1.2)+E123)-E120</f>
        <v>-2760.012</v>
      </c>
      <c r="F125" s="388"/>
      <c r="G125" s="422" t="s">
        <v>295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295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388"/>
      <c r="G128" s="217" t="s">
        <v>296</v>
      </c>
      <c r="H128" s="217"/>
      <c r="I128" s="217"/>
      <c r="J128" s="217"/>
      <c r="K128" s="217"/>
      <c r="L128" s="388"/>
      <c r="M128" s="217" t="s">
        <v>296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11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11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638.844404105598</v>
      </c>
      <c r="B134" s="321" t="n">
        <f aca="false">IF(A111="YES", B95, 0)</f>
        <v>65</v>
      </c>
      <c r="C134" s="326"/>
      <c r="D134" s="321" t="n">
        <f aca="false">B97</f>
        <v>703.844404105598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299</v>
      </c>
      <c r="H135" s="424" t="s">
        <v>300</v>
      </c>
      <c r="I135" s="424"/>
      <c r="J135" s="424" t="s">
        <v>301</v>
      </c>
      <c r="K135" s="318"/>
      <c r="L135" s="388"/>
      <c r="M135" s="423" t="s">
        <v>345</v>
      </c>
      <c r="N135" s="424" t="s">
        <v>253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638.844404105598</v>
      </c>
      <c r="C137" s="317"/>
      <c r="D137" s="38" t="n">
        <f aca="false">IF(A111="YES", B95*B63, 0)</f>
        <v>65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304</v>
      </c>
      <c r="H138" s="317" t="s">
        <v>305</v>
      </c>
      <c r="I138" s="317"/>
      <c r="J138" s="317" t="s">
        <v>306</v>
      </c>
      <c r="K138" s="318"/>
      <c r="L138" s="388"/>
      <c r="M138" s="316" t="s">
        <v>346</v>
      </c>
      <c r="N138" s="317" t="s">
        <v>242</v>
      </c>
      <c r="O138" s="317"/>
      <c r="P138" s="317" t="s">
        <v>246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703.844404105598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309</v>
      </c>
      <c r="H141" s="317" t="s">
        <v>310</v>
      </c>
      <c r="I141" s="317"/>
      <c r="J141" s="317" t="s">
        <v>311</v>
      </c>
      <c r="K141" s="318"/>
      <c r="L141" s="388"/>
      <c r="M141" s="316" t="s">
        <v>255</v>
      </c>
      <c r="N141" s="317" t="s">
        <v>256</v>
      </c>
      <c r="O141" s="317"/>
      <c r="P141" s="317" t="s">
        <v>260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388"/>
      <c r="G142" s="111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5"/>
      <c r="L142" s="388"/>
      <c r="M142" s="111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638.844404105598</v>
      </c>
      <c r="B143" s="38" t="n">
        <f aca="false">IF(A111="YES", B95, 0)</f>
        <v>65</v>
      </c>
      <c r="C143" s="317"/>
      <c r="D143" s="38" t="n">
        <f aca="false">B97</f>
        <v>703.844404105598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312</v>
      </c>
      <c r="H144" s="317" t="s">
        <v>313</v>
      </c>
      <c r="I144" s="317"/>
      <c r="J144" s="317" t="s">
        <v>314</v>
      </c>
      <c r="K144" s="318"/>
      <c r="L144" s="388"/>
      <c r="M144" s="316" t="s">
        <v>139</v>
      </c>
      <c r="N144" s="317" t="s">
        <v>313</v>
      </c>
      <c r="O144" s="317"/>
      <c r="P144" s="317" t="s">
        <v>314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168.858333333333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168.858333333333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316</v>
      </c>
      <c r="H147" s="317" t="s">
        <v>317</v>
      </c>
      <c r="I147" s="317"/>
      <c r="J147" s="317" t="s">
        <v>318</v>
      </c>
      <c r="K147" s="318"/>
      <c r="L147" s="388"/>
      <c r="M147" s="316" t="s">
        <v>316</v>
      </c>
      <c r="N147" s="317" t="s">
        <v>317</v>
      </c>
      <c r="O147" s="317"/>
      <c r="P147" s="317" t="s">
        <v>318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2828.84633333333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2788.84833333333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320</v>
      </c>
      <c r="H150" s="317" t="s">
        <v>321</v>
      </c>
      <c r="I150" s="317"/>
      <c r="J150" s="317"/>
      <c r="K150" s="318"/>
      <c r="L150" s="388"/>
      <c r="M150" s="316" t="s">
        <v>320</v>
      </c>
      <c r="N150" s="317" t="s">
        <v>321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347</v>
      </c>
      <c r="N153" s="39" t="s">
        <v>348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233.49996</v>
      </c>
      <c r="B154" s="103" t="n">
        <f aca="false">B108</f>
        <v>400</v>
      </c>
      <c r="C154" s="38"/>
      <c r="D154" s="38" t="n">
        <f aca="false">IF(A111="YES", (A44/100*B111)*B131, 0)*0.1</f>
        <v>18</v>
      </c>
      <c r="E154" s="105"/>
      <c r="F154" s="388"/>
      <c r="G154" s="348" t="s">
        <v>326</v>
      </c>
      <c r="H154" s="317"/>
      <c r="I154" s="317"/>
      <c r="J154" s="349"/>
      <c r="K154" s="350"/>
      <c r="L154" s="388"/>
      <c r="M154" s="425" t="n">
        <f aca="false">H40</f>
        <v>3891.666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751.48996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326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703.844404105598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427" t="n">
        <f aca="false">ISNUMBER(B183)</f>
        <v>1</v>
      </c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638.844404105598</v>
      </c>
      <c r="B177" s="355" t="n">
        <f aca="false">IF(A111="YES", B95, 0)</f>
        <v>65</v>
      </c>
      <c r="C177" s="358"/>
      <c r="D177" s="355" t="n">
        <f aca="false">B91</f>
        <v>7601.73733333333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638.844404105598</v>
      </c>
      <c r="C180" s="353"/>
      <c r="D180" s="103" t="n">
        <f aca="false">IF(A111="YES", B95*B63, 0)</f>
        <v>65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703.844404105598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638.844404105598</v>
      </c>
      <c r="B186" s="103" t="n">
        <f aca="false">IF(A111="YES", B95, 0)</f>
        <v>65</v>
      </c>
      <c r="C186" s="353"/>
      <c r="D186" s="103" t="n">
        <f aca="false">B97</f>
        <v>703.844404105598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233.49996</v>
      </c>
      <c r="B197" s="103" t="n">
        <f aca="false">B108</f>
        <v>400</v>
      </c>
      <c r="C197" s="103"/>
      <c r="D197" s="103" t="n">
        <f aca="false">IF(A111="YES", (A44/100*B111)*B131, 0)*0.1</f>
        <v>18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751.48996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2836.82</v>
      </c>
      <c r="E209" s="322"/>
      <c r="F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233.49996</v>
      </c>
      <c r="C211" s="320" t="s">
        <v>217</v>
      </c>
      <c r="D211" s="370" t="n">
        <f aca="false">B225+E221+B221+B223</f>
        <v>519.99</v>
      </c>
      <c r="E211" s="322"/>
      <c r="F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3123.31004</v>
      </c>
      <c r="C213" s="325"/>
      <c r="D213" s="321"/>
      <c r="E213" s="322"/>
      <c r="F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2836.82</v>
      </c>
      <c r="C217" s="375" t="s">
        <v>221</v>
      </c>
      <c r="D217" s="317"/>
      <c r="E217" s="376" t="n">
        <f aca="false">B72</f>
        <v>0.01</v>
      </c>
      <c r="F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233.49996</v>
      </c>
      <c r="C219" s="336" t="s">
        <v>329</v>
      </c>
      <c r="D219" s="377"/>
      <c r="E219" s="92" t="n">
        <v>0.001</v>
      </c>
      <c r="F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3123.31004</v>
      </c>
      <c r="F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331</v>
      </c>
      <c r="B225" s="341" t="n">
        <f aca="false">D197/0.1</f>
        <v>180</v>
      </c>
      <c r="C225" s="38"/>
      <c r="D225" s="341"/>
      <c r="E225" s="167"/>
      <c r="F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64.3955159338443</v>
      </c>
      <c r="F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275</v>
      </c>
      <c r="F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16"/>
      <c r="B243" s="317"/>
      <c r="C243" s="317"/>
      <c r="D243" s="317"/>
      <c r="E243" s="318"/>
      <c r="F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111"/>
      <c r="B244" s="38"/>
      <c r="C244" s="38"/>
      <c r="D244" s="38"/>
      <c r="E244" s="105"/>
      <c r="F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16"/>
      <c r="B245" s="317"/>
      <c r="C245" s="317"/>
      <c r="D245" s="317"/>
      <c r="E245" s="318"/>
      <c r="F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16"/>
      <c r="B246" s="317"/>
      <c r="C246" s="317"/>
      <c r="D246" s="317"/>
      <c r="E246" s="318"/>
      <c r="F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111"/>
      <c r="B247" s="38"/>
      <c r="C247" s="317"/>
      <c r="D247" s="317"/>
      <c r="E247" s="318"/>
      <c r="F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66"/>
      <c r="B248" s="367"/>
      <c r="C248" s="367"/>
      <c r="D248" s="367"/>
      <c r="E248" s="368"/>
      <c r="F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3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19458.33</v>
      </c>
      <c r="C2" s="4" t="s">
        <v>2</v>
      </c>
      <c r="D2" s="5" t="n">
        <f aca="false">C9</f>
        <v>3891.666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23349.996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19458.33</v>
      </c>
      <c r="C9" s="14" t="n">
        <f aca="false">B9*0.2</f>
        <v>3891.666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19458.33</v>
      </c>
      <c r="C15" s="14" t="n">
        <f aca="false">SUM(C9:C13)</f>
        <v>3891.666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23349.996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19458.33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45295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349</v>
      </c>
      <c r="B41" s="241" t="str">
        <f aca="false">IF(B38="YES", D38+A41, D38)</f>
        <v>500</v>
      </c>
      <c r="C41" s="241"/>
      <c r="D41" s="104" t="s">
        <v>336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338</v>
      </c>
      <c r="C44" s="104"/>
      <c r="D44" s="104" t="s">
        <v>349</v>
      </c>
      <c r="E44" s="104"/>
      <c r="F44" s="63"/>
      <c r="G44" s="63" t="s">
        <v>258</v>
      </c>
      <c r="H44" s="238" t="str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340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23349.996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1634.49972</v>
      </c>
      <c r="C70" s="215" t="n">
        <v>10000</v>
      </c>
      <c r="D70" s="291" t="n">
        <f aca="false">B70-A149</f>
        <v>1634.49972</v>
      </c>
      <c r="E70" s="216" t="n">
        <f aca="false">D70/12</f>
        <v>136.20831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233.49996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280</v>
      </c>
      <c r="B80" s="432" t="n">
        <v>0</v>
      </c>
      <c r="C80" s="215"/>
      <c r="D80" s="215"/>
      <c r="E80" s="430" t="n">
        <f aca="false">E79+D82</f>
        <v>660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281</v>
      </c>
      <c r="B81" s="434" t="n">
        <v>0</v>
      </c>
      <c r="C81" s="215"/>
      <c r="D81" s="215"/>
      <c r="E81" s="216" t="n">
        <f aca="false">E80/12</f>
        <v>55</v>
      </c>
      <c r="F81" s="63"/>
      <c r="G81" s="295" t="s">
        <v>281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((B80+B81)/12)*(H29+1)</f>
        <v>0</v>
      </c>
      <c r="C82" s="215"/>
      <c r="D82" s="291" t="n">
        <f aca="false">IF(A50="YES", 0, B82)</f>
        <v>0</v>
      </c>
      <c r="E82" s="216"/>
      <c r="F82" s="63"/>
      <c r="G82" s="285" t="s">
        <v>282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2961.16638666667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246.763865555556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8973.16638666667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76.0131077531263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9049.17949441979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754.098291201649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754.098291201649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351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288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19</v>
      </c>
      <c r="B111" s="314" t="n">
        <v>0</v>
      </c>
      <c r="C111" s="314"/>
      <c r="D111" s="107" t="s">
        <v>292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754.098291201649</v>
      </c>
      <c r="B134" s="321" t="n">
        <f aca="false">IF(A111="YES", B95, 0)</f>
        <v>0</v>
      </c>
      <c r="C134" s="326"/>
      <c r="D134" s="321" t="n">
        <f aca="false">B97</f>
        <v>754.098291201649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6786.88462081485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6786.88462081485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754.098291201649</v>
      </c>
      <c r="B143" s="38" t="n">
        <f aca="false">IF(A111="YES", B95, 0)</f>
        <v>0</v>
      </c>
      <c r="C143" s="317"/>
      <c r="D143" s="38" t="n">
        <f aca="false">B97</f>
        <v>754.098291201649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1388.84633333333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1348.84833333333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233.49996</v>
      </c>
      <c r="B154" s="103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733.48996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754.098291201649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754.098291201649</v>
      </c>
      <c r="B177" s="355" t="n">
        <f aca="false">IF(A111="YES", B95, 0)</f>
        <v>0</v>
      </c>
      <c r="C177" s="358"/>
      <c r="D177" s="355" t="n">
        <f aca="false">B91</f>
        <v>8973.16638666667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6786.88462081485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6786.88462081485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754.098291201649</v>
      </c>
      <c r="B186" s="103" t="n">
        <f aca="false">IF(A111="YES", B95, 0)</f>
        <v>0</v>
      </c>
      <c r="C186" s="353"/>
      <c r="D186" s="103" t="n">
        <f aca="false">B97</f>
        <v>754.098291201649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233.49996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733.48996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1634.49972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233.49996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1740.98976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1634.49972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233.49996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1740.98976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76.0131077531263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0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19458.33</v>
      </c>
      <c r="C2" s="4" t="s">
        <v>2</v>
      </c>
      <c r="D2" s="5" t="n">
        <f aca="false">C9</f>
        <v>3891.666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23349.996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19458.33</v>
      </c>
      <c r="C9" s="14" t="n">
        <f aca="false">B9*0.2</f>
        <v>3891.666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19458.33</v>
      </c>
      <c r="C15" s="14" t="n">
        <f aca="false">SUM(C9:C13)</f>
        <v>3891.666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23349.996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19458.33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45295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349</v>
      </c>
      <c r="B41" s="241" t="str">
        <f aca="false">IF(B38="YES", D38+A41, D38)</f>
        <v>500</v>
      </c>
      <c r="C41" s="241"/>
      <c r="D41" s="104" t="s">
        <v>336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338</v>
      </c>
      <c r="C44" s="104"/>
      <c r="D44" s="104" t="s">
        <v>349</v>
      </c>
      <c r="E44" s="104"/>
      <c r="F44" s="63"/>
      <c r="G44" s="63" t="s">
        <v>258</v>
      </c>
      <c r="H44" s="238" t="str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4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23349.996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1634.49972</v>
      </c>
      <c r="C70" s="215" t="n">
        <v>10000</v>
      </c>
      <c r="D70" s="291" t="n">
        <f aca="false">B70-A149</f>
        <v>1634.49972</v>
      </c>
      <c r="E70" s="216" t="n">
        <f aca="false">D70/12</f>
        <v>136.20831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233.49996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275</v>
      </c>
      <c r="C80" s="215"/>
      <c r="D80" s="215"/>
      <c r="E80" s="430" t="n">
        <f aca="false">E79+D82</f>
        <v>957.916666666667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0</v>
      </c>
      <c r="C81" s="215"/>
      <c r="D81" s="215"/>
      <c r="E81" s="216" t="n">
        <f aca="false">E80/12</f>
        <v>79.8263888888889</v>
      </c>
      <c r="F81" s="63"/>
      <c r="G81" s="295" t="s">
        <v>281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((B80+B81)/12)*(H29+1)</f>
        <v>297.916666666667</v>
      </c>
      <c r="C82" s="215"/>
      <c r="D82" s="291" t="n">
        <f aca="false">IF(A50="YES", 0, B82)</f>
        <v>297.916666666667</v>
      </c>
      <c r="E82" s="216"/>
      <c r="F82" s="63"/>
      <c r="G82" s="285" t="s">
        <v>282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0</v>
      </c>
      <c r="C83" s="215"/>
      <c r="D83" s="291" t="n">
        <f aca="false">B83</f>
        <v>0</v>
      </c>
      <c r="E83" s="216" t="n">
        <f aca="false">D83/12</f>
        <v>0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0</v>
      </c>
      <c r="C84" s="215"/>
      <c r="D84" s="291" t="n">
        <f aca="false">B84</f>
        <v>0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2592.41638666667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216.034698888889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10325.299664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72.8893683420734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10398.1890323421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866.515752695173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866.515752695173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239.99</v>
      </c>
      <c r="B108" s="107" t="n">
        <v>0</v>
      </c>
      <c r="C108" s="107"/>
      <c r="D108" s="107" t="n">
        <v>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19</v>
      </c>
      <c r="B111" s="312" t="n">
        <v>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866.515752695173</v>
      </c>
      <c r="B134" s="321" t="n">
        <f aca="false">IF(A111="YES", B95, 0)</f>
        <v>0</v>
      </c>
      <c r="C134" s="326"/>
      <c r="D134" s="321" t="n">
        <f aca="false">B97</f>
        <v>866.515752695173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866.515752695173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866.515752695173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866.515752695173</v>
      </c>
      <c r="B143" s="38" t="n">
        <f aca="false">IF(A111="YES", B95, 0)</f>
        <v>0</v>
      </c>
      <c r="C143" s="317"/>
      <c r="D143" s="38" t="n">
        <f aca="false">B97</f>
        <v>866.515752695173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1388.84633333333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1348.84833333333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233.49996</v>
      </c>
      <c r="B154" s="38" t="n">
        <f aca="false">B108</f>
        <v>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333.491626666667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866.515752695173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866.515752695173</v>
      </c>
      <c r="B177" s="355" t="n">
        <f aca="false">IF(A111="YES", B95, 0)</f>
        <v>0</v>
      </c>
      <c r="C177" s="358"/>
      <c r="D177" s="355" t="n">
        <f aca="false">B97</f>
        <v>866.515752695173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866.515752695173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866.515752695173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866.515752695173</v>
      </c>
      <c r="B186" s="103" t="n">
        <f aca="false">IF(A111="YES", B95, 0)</f>
        <v>0</v>
      </c>
      <c r="C186" s="353"/>
      <c r="D186" s="103" t="n">
        <f aca="false">B97</f>
        <v>866.515752695173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233.49996</v>
      </c>
      <c r="B197" s="103" t="n">
        <f aca="false">B108</f>
        <v>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333.491626666667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1634.49972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233.49996</v>
      </c>
      <c r="C211" s="320" t="s">
        <v>217</v>
      </c>
      <c r="D211" s="370" t="n">
        <f aca="false">B225+E221+B221+B223</f>
        <v>99.9916666666667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1500.99142666667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1634.49972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233.49996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0</v>
      </c>
      <c r="C223" s="336" t="s">
        <v>218</v>
      </c>
      <c r="D223" s="317"/>
      <c r="E223" s="33" t="n">
        <f aca="false">(B217-B211+D211)</f>
        <v>1500.99142666667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72.8893683420734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19083.33</v>
      </c>
      <c r="C2" s="4" t="s">
        <v>2</v>
      </c>
      <c r="D2" s="5" t="n">
        <f aca="false">C9</f>
        <v>3816.666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22899.996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19083.33</v>
      </c>
      <c r="C9" s="14" t="n">
        <f aca="false">B9*0.2</f>
        <v>3816.666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19083.33</v>
      </c>
      <c r="C15" s="14" t="n">
        <f aca="false">SUM(C9:C13)</f>
        <v>3816.666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22899.996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19083.33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45295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349</v>
      </c>
      <c r="B41" s="241" t="str">
        <f aca="false">IF(B38="YES", D38+A41, D38)</f>
        <v>500</v>
      </c>
      <c r="C41" s="241"/>
      <c r="D41" s="104" t="s">
        <v>336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338</v>
      </c>
      <c r="C44" s="104"/>
      <c r="D44" s="104" t="s">
        <v>349</v>
      </c>
      <c r="E44" s="104"/>
      <c r="F44" s="63"/>
      <c r="G44" s="63" t="s">
        <v>258</v>
      </c>
      <c r="H44" s="238" t="str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22899.996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1602.99972</v>
      </c>
      <c r="C70" s="215" t="n">
        <v>10000</v>
      </c>
      <c r="D70" s="291" t="n">
        <f aca="false">B70-A149</f>
        <v>1602.99972</v>
      </c>
      <c r="E70" s="216" t="n">
        <f aca="false">D70/12</f>
        <v>133.58331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114.49998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290</v>
      </c>
      <c r="C80" s="215"/>
      <c r="D80" s="215"/>
      <c r="E80" s="430" t="n">
        <f aca="false">E79+D82</f>
        <v>928.166666666667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0</v>
      </c>
      <c r="C81" s="215"/>
      <c r="D81" s="215"/>
      <c r="E81" s="216" t="n">
        <f aca="false">E80/12</f>
        <v>77.3472222222222</v>
      </c>
      <c r="F81" s="63"/>
      <c r="G81" s="295" t="s">
        <v>281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((B80+B81)/12)*(H29+1)</f>
        <v>314.166666666667</v>
      </c>
      <c r="C82" s="215"/>
      <c r="D82" s="291" t="n">
        <f aca="false">IF(A50="YES", 0, B82)</f>
        <v>314.166666666667</v>
      </c>
      <c r="E82" s="216"/>
      <c r="F82" s="63"/>
      <c r="G82" s="285" t="s">
        <v>282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3197.83305333333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266.486087777778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9209.83305333333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78.0179484146833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9287.85100174802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773.987583479001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773.987583479001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288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19</v>
      </c>
      <c r="B111" s="312" t="n">
        <v>0</v>
      </c>
      <c r="C111" s="312"/>
      <c r="D111" s="107" t="s">
        <v>292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773.987583479001</v>
      </c>
      <c r="B134" s="321" t="n">
        <f aca="false">IF(A111="YES", B95, 0)</f>
        <v>0</v>
      </c>
      <c r="C134" s="326"/>
      <c r="D134" s="321" t="n">
        <f aca="false">B97</f>
        <v>773.987583479001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6965.88825131101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6965.88825131101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773.987583479001</v>
      </c>
      <c r="B143" s="38" t="n">
        <f aca="false">IF(A111="YES", B95, 0)</f>
        <v>0</v>
      </c>
      <c r="C143" s="317"/>
      <c r="D143" s="38" t="n">
        <f aca="false">B97</f>
        <v>773.987583479001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1388.84633333333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1348.84833333333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114.49998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614.48998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773.987583479001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773.987583479001</v>
      </c>
      <c r="B177" s="355" t="n">
        <f aca="false">IF(A111="YES", B95, 0)</f>
        <v>0</v>
      </c>
      <c r="C177" s="358"/>
      <c r="D177" s="355" t="n">
        <f aca="false">B91</f>
        <v>9209.83305333333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6965.88825131101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6965.88825131101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773.987583479001</v>
      </c>
      <c r="B186" s="103" t="n">
        <f aca="false">IF(A111="YES", B95, 0)</f>
        <v>0</v>
      </c>
      <c r="C186" s="353"/>
      <c r="D186" s="103" t="n">
        <f aca="false">B97</f>
        <v>773.987583479001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114.49998</v>
      </c>
      <c r="B197" s="103" t="n">
        <f aca="false">B154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614.48998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1602.99972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114.49998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1828.48974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1602.99972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114.49998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1828.48974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78.0179484146833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333</v>
      </c>
      <c r="D233" s="383"/>
      <c r="E233" s="149" t="n">
        <f aca="false">B80</f>
        <v>290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8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19083.33</v>
      </c>
      <c r="C2" s="4" t="s">
        <v>2</v>
      </c>
      <c r="D2" s="5" t="n">
        <f aca="false">C9</f>
        <v>3816.666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22899.996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19083.33</v>
      </c>
      <c r="C9" s="14" t="n">
        <f aca="false">B9*0.2</f>
        <v>3816.666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19083.33</v>
      </c>
      <c r="C15" s="14" t="n">
        <f aca="false">SUM(C9:C13)</f>
        <v>3816.666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22899.996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19083.33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45295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13.50</v>
      </c>
      <c r="E32" s="226"/>
      <c r="F32" s="63"/>
      <c r="G32" s="227" t="s">
        <v>244</v>
      </c>
      <c r="H32" s="225" t="str">
        <f aca="false">A41</f>
        <v>13.50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513.5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352</v>
      </c>
      <c r="B41" s="241" t="n">
        <f aca="false">IF(B38="YES", D38+A41, D38)</f>
        <v>513.5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str">
        <f aca="false">H32</f>
        <v>13.50</v>
      </c>
      <c r="I44" s="394" t="n">
        <f aca="false">((A41*(B35-1))+D32)/B35</f>
        <v>13.5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514.5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514.5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22899.996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1602.99972</v>
      </c>
      <c r="C70" s="215" t="n">
        <v>10000</v>
      </c>
      <c r="D70" s="291" t="n">
        <f aca="false">B70-A149</f>
        <v>1602.99972</v>
      </c>
      <c r="E70" s="216" t="n">
        <f aca="false">D70/12</f>
        <v>133.58331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114.49998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280</v>
      </c>
      <c r="B80" s="432" t="n">
        <v>0</v>
      </c>
      <c r="C80" s="215"/>
      <c r="D80" s="215"/>
      <c r="E80" s="430" t="n">
        <f aca="false">E79+D82</f>
        <v>614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281</v>
      </c>
      <c r="B81" s="434" t="n">
        <v>0</v>
      </c>
      <c r="C81" s="215"/>
      <c r="D81" s="215"/>
      <c r="E81" s="216" t="n">
        <f aca="false">E80/12</f>
        <v>51.1666666666667</v>
      </c>
      <c r="F81" s="63"/>
      <c r="G81" s="295" t="s">
        <v>281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282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0</v>
      </c>
      <c r="C83" s="215"/>
      <c r="D83" s="291" t="n">
        <f aca="false">B83</f>
        <v>0</v>
      </c>
      <c r="E83" s="216" t="n">
        <f aca="false">D83/12</f>
        <v>0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0</v>
      </c>
      <c r="C84" s="215"/>
      <c r="D84" s="291" t="n">
        <f aca="false">B84</f>
        <v>0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2216.99972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184.749976666667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8228.99972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69.709154546188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8298.70887454619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13.5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691.559072878849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691.559072878849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343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288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0</v>
      </c>
      <c r="C108" s="107"/>
      <c r="D108" s="107" t="n">
        <v>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19</v>
      </c>
      <c r="B111" s="312" t="n">
        <v>0</v>
      </c>
      <c r="C111" s="312"/>
      <c r="D111" s="107" t="s">
        <v>292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691.559072878849</v>
      </c>
      <c r="B134" s="321" t="n">
        <f aca="false">IF(A111="YES", B95, 0)</f>
        <v>0</v>
      </c>
      <c r="C134" s="326"/>
      <c r="D134" s="321" t="n">
        <f aca="false">B97</f>
        <v>691.559072878849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6224.03165590964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6224.03165590964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691.559072878849</v>
      </c>
      <c r="B143" s="38" t="n">
        <f aca="false">IF(A111="YES", B95, 0)</f>
        <v>0</v>
      </c>
      <c r="C143" s="317"/>
      <c r="D143" s="38" t="n">
        <f aca="false">B97</f>
        <v>691.559072878849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3.24</v>
      </c>
      <c r="H148" s="103" t="n">
        <f aca="false">G108-100</f>
        <v>139.988</v>
      </c>
      <c r="I148" s="103"/>
      <c r="J148" s="103" t="n">
        <f aca="false">(H145+J145+G148+H148)-H151</f>
        <v>1392.08633333333</v>
      </c>
      <c r="K148" s="105"/>
      <c r="L148" s="63"/>
      <c r="M148" s="111" t="n">
        <f aca="false">IF(M111="YES", ((A41*N111)*0.1)*(M133), 0)</f>
        <v>3.24</v>
      </c>
      <c r="N148" s="103" t="n">
        <f aca="false">M108-100</f>
        <v>99.99</v>
      </c>
      <c r="O148" s="103"/>
      <c r="P148" s="103" t="n">
        <f aca="false">(N145+P145+M148+N148)-N151</f>
        <v>1352.08833333333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114.49998</v>
      </c>
      <c r="B154" s="38" t="n">
        <f aca="false">B108</f>
        <v>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214.48998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691.559072878849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691.559072878849</v>
      </c>
      <c r="B177" s="355" t="n">
        <f aca="false">IF(A111="YES", B95, 0)</f>
        <v>0</v>
      </c>
      <c r="C177" s="358"/>
      <c r="D177" s="355" t="n">
        <f aca="false">B91</f>
        <v>8228.99972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6224.03165590964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6224.03165590964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691.559072878849</v>
      </c>
      <c r="B186" s="103" t="n">
        <f aca="false">IF(A111="YES", B95, 0)</f>
        <v>0</v>
      </c>
      <c r="C186" s="353"/>
      <c r="D186" s="103" t="n">
        <f aca="false">B97</f>
        <v>691.559072878849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114.49998</v>
      </c>
      <c r="B197" s="103" t="n">
        <f aca="false">B108</f>
        <v>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214.48998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1602.99972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114.49998</v>
      </c>
      <c r="C211" s="320" t="s">
        <v>217</v>
      </c>
      <c r="D211" s="370" t="n">
        <f aca="false">B225+E221+B221+B223</f>
        <v>99.99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1588.48974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1602.99972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114.49998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0</v>
      </c>
      <c r="C223" s="336" t="s">
        <v>218</v>
      </c>
      <c r="D223" s="317"/>
      <c r="E223" s="33" t="n">
        <f aca="false">(B217-B211+D211)</f>
        <v>1588.48974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69.709154546188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333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4" colorId="64" zoomScale="85" zoomScaleNormal="8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19458.33</v>
      </c>
      <c r="C2" s="4" t="s">
        <v>2</v>
      </c>
      <c r="D2" s="5" t="n">
        <f aca="false">C9</f>
        <v>3891.666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23349.996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19458.33</v>
      </c>
      <c r="C9" s="14" t="n">
        <f aca="false">B9*0.2</f>
        <v>3891.666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19458.33</v>
      </c>
      <c r="C15" s="14" t="n">
        <f aca="false">SUM(C9:C13)</f>
        <v>3891.666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23349.996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19458.33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45295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</v>
      </c>
      <c r="B41" s="241" t="str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23349.996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1634.49972</v>
      </c>
      <c r="C70" s="215" t="n">
        <v>10000</v>
      </c>
      <c r="D70" s="291" t="n">
        <f aca="false">B70-A149</f>
        <v>1634.49972</v>
      </c>
      <c r="E70" s="216" t="n">
        <f aca="false">D70/12</f>
        <v>136.20831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233.49996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275</v>
      </c>
      <c r="C80" s="215"/>
      <c r="D80" s="215"/>
      <c r="E80" s="430" t="n">
        <f aca="false">E79+D82</f>
        <v>957.916666666667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0</v>
      </c>
      <c r="C81" s="215"/>
      <c r="D81" s="215"/>
      <c r="E81" s="216" t="n">
        <f aca="false">E80/12</f>
        <v>79.8263888888889</v>
      </c>
      <c r="F81" s="63"/>
      <c r="G81" s="295" t="s">
        <v>281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((B80+B81)/12)*(H29+1)</f>
        <v>297.916666666667</v>
      </c>
      <c r="C82" s="215"/>
      <c r="D82" s="291" t="n">
        <f aca="false">IF(A50="YES", 0, B82)</f>
        <v>297.916666666667</v>
      </c>
      <c r="E82" s="216"/>
      <c r="F82" s="63"/>
      <c r="G82" s="285" t="s">
        <v>282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0</v>
      </c>
      <c r="C83" s="215"/>
      <c r="D83" s="291" t="n">
        <f aca="false">B83</f>
        <v>0</v>
      </c>
      <c r="E83" s="216" t="n">
        <f aca="false">D83/12</f>
        <v>0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0</v>
      </c>
      <c r="C84" s="215"/>
      <c r="D84" s="291" t="n">
        <f aca="false">B84</f>
        <v>0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2592.41638666667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216.034698888889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10325.299664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72.8893683420734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10398.1890323421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866.515752695173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866.515752695173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239.99</v>
      </c>
      <c r="B108" s="107" t="n">
        <v>0</v>
      </c>
      <c r="C108" s="107"/>
      <c r="D108" s="107" t="n">
        <v>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19</v>
      </c>
      <c r="B111" s="312" t="n">
        <v>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866.515752695173</v>
      </c>
      <c r="B134" s="321" t="n">
        <f aca="false">IF(A111="YES", B95, 0)</f>
        <v>0</v>
      </c>
      <c r="C134" s="326"/>
      <c r="D134" s="321" t="n">
        <f aca="false">B97</f>
        <v>866.515752695173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866.515752695173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866.515752695173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866.515752695173</v>
      </c>
      <c r="B143" s="38" t="n">
        <f aca="false">IF(A111="YES", B95, 0)</f>
        <v>0</v>
      </c>
      <c r="C143" s="317"/>
      <c r="D143" s="38" t="n">
        <f aca="false">B97</f>
        <v>866.515752695173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1388.84633333333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1348.84833333333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233.49996</v>
      </c>
      <c r="B154" s="38" t="n">
        <f aca="false">B108</f>
        <v>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333.491626666667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866.515752695173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866.515752695173</v>
      </c>
      <c r="B177" s="355" t="n">
        <f aca="false">IF(A111="YES", B95, 0)</f>
        <v>0</v>
      </c>
      <c r="C177" s="358"/>
      <c r="D177" s="355" t="n">
        <f aca="false">B91</f>
        <v>10325.299664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866.515752695173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866.515752695173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866.515752695173</v>
      </c>
      <c r="B186" s="103" t="n">
        <f aca="false">IF(A111="YES", B95, 0)</f>
        <v>0</v>
      </c>
      <c r="C186" s="353"/>
      <c r="D186" s="103" t="n">
        <f aca="false">B97</f>
        <v>866.515752695173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233.49996</v>
      </c>
      <c r="B197" s="103" t="n">
        <f aca="false">B108</f>
        <v>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333.491626666667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1634.49972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233.49996</v>
      </c>
      <c r="C211" s="320" t="s">
        <v>217</v>
      </c>
      <c r="D211" s="370" t="n">
        <f aca="false">B225+E221+B221+B223</f>
        <v>99.9916666666667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1500.99142666667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1634.49972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233.49996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0</v>
      </c>
      <c r="C223" s="336" t="s">
        <v>218</v>
      </c>
      <c r="D223" s="317"/>
      <c r="E223" s="33" t="n">
        <f aca="false">(B217-B211+D211)</f>
        <v>1500.99142666667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72.8893683420734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9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19458.33</v>
      </c>
      <c r="C2" s="4" t="s">
        <v>2</v>
      </c>
      <c r="D2" s="5" t="n">
        <f aca="false">C9</f>
        <v>3891.666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23349.996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19458.33</v>
      </c>
      <c r="C9" s="14" t="n">
        <f aca="false">B9*0.2</f>
        <v>3891.666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19458.33</v>
      </c>
      <c r="C15" s="14" t="n">
        <f aca="false">SUM(C9:C13)</f>
        <v>3891.666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23349.996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19458.33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45295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8.92</v>
      </c>
      <c r="E32" s="226"/>
      <c r="F32" s="63"/>
      <c r="G32" s="227" t="s">
        <v>244</v>
      </c>
      <c r="H32" s="225" t="str">
        <f aca="false">A41</f>
        <v>8.92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508.92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353</v>
      </c>
      <c r="B41" s="241" t="n">
        <f aca="false">IF(B38="YES", D38+A41, D38)</f>
        <v>508.92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str">
        <f aca="false">H32</f>
        <v>8.92</v>
      </c>
      <c r="I44" s="394" t="n">
        <f aca="false">((A41*(B35-1))+D32)/B35</f>
        <v>8.92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509.92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509.92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23349.996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1634.49972</v>
      </c>
      <c r="C70" s="215" t="n">
        <v>10000</v>
      </c>
      <c r="D70" s="291" t="n">
        <f aca="false">B70-A149</f>
        <v>1634.49972</v>
      </c>
      <c r="E70" s="216" t="n">
        <f aca="false">D70/12</f>
        <v>136.20831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233.49996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275</v>
      </c>
      <c r="C80" s="215"/>
      <c r="D80" s="215"/>
      <c r="E80" s="430" t="n">
        <f aca="false">E79+D82</f>
        <v>957.916666666667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0</v>
      </c>
      <c r="C81" s="215"/>
      <c r="D81" s="215"/>
      <c r="E81" s="216" t="n">
        <f aca="false">E80/12</f>
        <v>79.8263888888889</v>
      </c>
      <c r="F81" s="63"/>
      <c r="G81" s="295" t="s">
        <v>281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((B80+B81)/12)*(H29+1)</f>
        <v>297.916666666667</v>
      </c>
      <c r="C82" s="215"/>
      <c r="D82" s="291" t="n">
        <f aca="false">IF(A50="YES", 0, B82)</f>
        <v>297.916666666667</v>
      </c>
      <c r="E82" s="216"/>
      <c r="F82" s="63"/>
      <c r="G82" s="285" t="s">
        <v>282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3259.08305333333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271.590254444444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9271.08305333333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78.5368068253328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9349.61986015867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11.596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779.134988346555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790.730988346555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18</v>
      </c>
      <c r="B111" s="312" t="n">
        <v>30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779.134988346555</v>
      </c>
      <c r="B134" s="321" t="n">
        <f aca="false">IF(A111="YES", B95, 0)</f>
        <v>11.596</v>
      </c>
      <c r="C134" s="326"/>
      <c r="D134" s="321" t="n">
        <f aca="false">B97</f>
        <v>790.730988346555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779.134988346555</v>
      </c>
      <c r="C137" s="317"/>
      <c r="D137" s="38" t="n">
        <f aca="false">IF(A111="YES", B95*B63, 0)</f>
        <v>11.596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790.730988346555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779.134988346555</v>
      </c>
      <c r="B143" s="38" t="n">
        <f aca="false">IF(A111="YES", B95, 0)</f>
        <v>11.596</v>
      </c>
      <c r="C143" s="317"/>
      <c r="D143" s="38" t="n">
        <f aca="false">B97</f>
        <v>790.730988346555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2.1408</v>
      </c>
      <c r="H148" s="103" t="n">
        <f aca="false">G108-100</f>
        <v>139.988</v>
      </c>
      <c r="I148" s="103"/>
      <c r="J148" s="103" t="n">
        <f aca="false">(H145+J145+G148+H148)-H151</f>
        <v>1390.98713333333</v>
      </c>
      <c r="K148" s="105"/>
      <c r="L148" s="63"/>
      <c r="M148" s="111" t="n">
        <f aca="false">IF(M111="YES", ((A41*N111)*0.1)*(M133), 0)</f>
        <v>2.1408</v>
      </c>
      <c r="N148" s="103" t="n">
        <f aca="false">M108-100</f>
        <v>99.99</v>
      </c>
      <c r="O148" s="103"/>
      <c r="P148" s="103" t="n">
        <f aca="false">(N145+P145+M148+N148)-N151</f>
        <v>1350.98913333333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233.49996</v>
      </c>
      <c r="B154" s="38" t="n">
        <f aca="false">B108</f>
        <v>400</v>
      </c>
      <c r="C154" s="38"/>
      <c r="D154" s="38" t="n">
        <f aca="false">IF(A111="YES", (A41/100*B111)*B131, 0)*0.1</f>
        <v>3.2112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736.70116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790.730988346555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779.134988346555</v>
      </c>
      <c r="B177" s="355" t="n">
        <f aca="false">IF(A111="YES", B95, 0)</f>
        <v>11.596</v>
      </c>
      <c r="C177" s="358"/>
      <c r="D177" s="355" t="n">
        <f aca="false">B91</f>
        <v>9271.08305333333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779.134988346555</v>
      </c>
      <c r="C180" s="353"/>
      <c r="D180" s="103" t="n">
        <f aca="false">IF(A111="YES", B95*B63, 0)</f>
        <v>11.596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790.730988346555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779.134988346555</v>
      </c>
      <c r="B186" s="103" t="n">
        <f aca="false">IF(A111="YES", B95, 0)</f>
        <v>11.596</v>
      </c>
      <c r="C186" s="353"/>
      <c r="D186" s="103" t="n">
        <f aca="false">B97</f>
        <v>790.730988346555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233.49996</v>
      </c>
      <c r="B197" s="103" t="n">
        <f aca="false">B108</f>
        <v>400</v>
      </c>
      <c r="C197" s="103"/>
      <c r="D197" s="103" t="n">
        <f aca="false">IF(A111="YES", (A41/100*B111)*B131, 0)*0.1</f>
        <v>3.2112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736.70116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1634.49972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233.49996</v>
      </c>
      <c r="C211" s="320" t="s">
        <v>217</v>
      </c>
      <c r="D211" s="370" t="n">
        <f aca="false">B225+E221+B221+B223</f>
        <v>372.102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1773.10176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1634.49972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233.49996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1773.10176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32.112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78.5368068253328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28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19083.33</v>
      </c>
      <c r="C2" s="4" t="s">
        <v>2</v>
      </c>
      <c r="D2" s="5" t="n">
        <f aca="false">C9</f>
        <v>3816.666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22899.996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19083.33</v>
      </c>
      <c r="C9" s="14" t="n">
        <f aca="false">B9*0.2</f>
        <v>3816.666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19083.33</v>
      </c>
      <c r="C15" s="14" t="n">
        <f aca="false">SUM(C9:C13)</f>
        <v>3816.666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22899.996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19083.33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19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36</v>
      </c>
      <c r="P29" s="212"/>
    </row>
    <row r="30" customFormat="false" ht="17.9" hidden="false" customHeight="false" outlineLevel="0" collapsed="false">
      <c r="A30" s="31" t="s">
        <v>181</v>
      </c>
      <c r="B30" s="104" t="s">
        <v>349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12690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319.490633657329</v>
      </c>
      <c r="F33" s="232"/>
      <c r="G33" s="232"/>
      <c r="H33" s="47"/>
      <c r="I33" s="2"/>
      <c r="J33" s="34" t="s">
        <v>356</v>
      </c>
      <c r="K33" s="48" t="n">
        <f aca="false">E21</f>
        <v>19083.33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319.490633657329</v>
      </c>
      <c r="B36" s="232" t="str">
        <f aca="false">IF(B26="YES", K42, "0.00")</f>
        <v>0.00</v>
      </c>
      <c r="C36" s="232"/>
      <c r="D36" s="232"/>
      <c r="E36" s="232" t="n">
        <f aca="false">K31</f>
        <v>12690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19083.33</v>
      </c>
      <c r="L39" s="2" t="n">
        <f aca="false">(L47*K46)+K44</f>
        <v>34761.1439986715</v>
      </c>
      <c r="N39" s="1" t="n">
        <f aca="false">K39-L39</f>
        <v>-15677.8139986715</v>
      </c>
      <c r="P39" s="212"/>
    </row>
    <row r="40" customFormat="false" ht="17.35" hidden="false" customHeight="false" outlineLevel="0" collapsed="false">
      <c r="A40" s="107" t="n">
        <f aca="false">E36*A45/100</f>
        <v>12690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10575</v>
      </c>
      <c r="L40" s="2" t="n">
        <f aca="false">K39-L39</f>
        <v>-15677.8139986715</v>
      </c>
      <c r="N40" s="1" t="n">
        <f aca="false">N38-N39</f>
        <v>18589.4939986715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8659.15290867306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10424.1770913269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32.627488862498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319.490633657329</v>
      </c>
      <c r="L47" s="2" t="n">
        <f aca="false">L49-K42</f>
        <v>800</v>
      </c>
      <c r="M47" s="1" t="n">
        <f aca="false">K47-L47</f>
        <v>-480.509366342671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319.490633657329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319.490633657329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40526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40526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40526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0.072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8993.06438371291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210.4167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3039.45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405.26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319.490633657329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319.490633657329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319.490633657329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319.490633657329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25250.004</v>
      </c>
      <c r="C81" s="93"/>
      <c r="D81" s="93"/>
      <c r="E81" s="113"/>
      <c r="F81" s="25" t="s">
        <v>105</v>
      </c>
      <c r="G81" s="27" t="n">
        <f aca="false">G158</f>
        <v>25250.004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IF(A111="YES",A40,0)</f>
        <v>12690</v>
      </c>
      <c r="C82" s="93"/>
      <c r="D82" s="93"/>
      <c r="E82" s="113"/>
      <c r="F82" s="31" t="s">
        <v>106</v>
      </c>
      <c r="G82" s="33" t="n">
        <f aca="false">IF(A111="YES",A40,0)</f>
        <v>12690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12690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12690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0.137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0.0114166666666667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8432.91669105517</v>
      </c>
      <c r="C86" s="93"/>
      <c r="D86" s="93"/>
      <c r="E86" s="113"/>
      <c r="F86" s="31" t="s">
        <v>110</v>
      </c>
      <c r="G86" s="33" t="n">
        <f aca="false">(G82/((1+G84)^(G85+1)))</f>
        <v>10447.267984314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8584.37698639577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8584.37698639577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28.719487222345</v>
      </c>
      <c r="C87" s="93"/>
      <c r="D87" s="93"/>
      <c r="E87" s="113"/>
      <c r="F87" s="31" t="s">
        <v>111</v>
      </c>
      <c r="G87" s="33" t="n">
        <f aca="false">((1-(1/((1+G84)^G85)))/G84)</f>
        <v>31.8042210938366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16817.0873089448</v>
      </c>
      <c r="C88" s="93"/>
      <c r="D88" s="93"/>
      <c r="E88" s="113"/>
      <c r="F88" s="31" t="s">
        <v>112</v>
      </c>
      <c r="G88" s="33" t="n">
        <f aca="false">G81-G86</f>
        <v>14802.736015686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585.563634153622</v>
      </c>
      <c r="C89" s="93"/>
      <c r="D89" s="93"/>
      <c r="E89" s="113"/>
      <c r="F89" s="31" t="s">
        <v>113</v>
      </c>
      <c r="G89" s="33" t="n">
        <f aca="false">(G88/G87)</f>
        <v>465.433062234454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20494.7271953768</v>
      </c>
      <c r="C90" s="93"/>
      <c r="D90" s="93"/>
      <c r="E90" s="113"/>
      <c r="F90" s="31" t="s">
        <v>114</v>
      </c>
      <c r="G90" s="33" t="n">
        <f aca="false">((G89*(G85))+G77)</f>
        <v>16290.1571782059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20494.7271953768</v>
      </c>
      <c r="C92" s="93"/>
      <c r="D92" s="93"/>
      <c r="E92" s="113"/>
      <c r="F92" s="56" t="s">
        <v>116</v>
      </c>
      <c r="G92" s="65" t="n">
        <f aca="false">(G90+G91)</f>
        <v>16290.1571782059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str">
        <f aca="false">IF(B26="YES",((E40/B85)*(1+A108)*1.2*(C45/100)),"0")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(B92/B85)</f>
        <v>585.563634153622</v>
      </c>
      <c r="C95" s="93"/>
      <c r="D95" s="93"/>
      <c r="E95" s="113"/>
      <c r="F95" s="95" t="s">
        <v>118</v>
      </c>
      <c r="G95" s="96" t="n">
        <f aca="false">G92/(G85)</f>
        <v>465.433062234454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585.563634153622</v>
      </c>
      <c r="C96" s="93"/>
      <c r="D96" s="93"/>
      <c r="E96" s="113"/>
      <c r="F96" s="97" t="s">
        <v>119</v>
      </c>
      <c r="G96" s="98" t="n">
        <f aca="false">G94+G95</f>
        <v>465.433062234454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19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</v>
      </c>
      <c r="C108" s="107"/>
      <c r="D108" s="107" t="n">
        <v>0</v>
      </c>
      <c r="E108" s="108" t="n">
        <f aca="false">B83</f>
        <v>0.137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19083.33</v>
      </c>
      <c r="C121" s="121" t="n">
        <v>21041.67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22899.996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22899.996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22899.996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19083.33</v>
      </c>
      <c r="C125" s="133" t="n">
        <f aca="false">C121-C124</f>
        <v>21041.67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19083.33</v>
      </c>
      <c r="H135" s="153" t="n">
        <f aca="false">C125+E125+G125+H128</f>
        <v>21041.67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3816.666</v>
      </c>
      <c r="H137" s="33" t="n">
        <f aca="false">(H135+H136)*20%</f>
        <v>4208.334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22899.996</v>
      </c>
      <c r="H141" s="157" t="n">
        <f aca="false">(H135+H136+H139+H140+H137)-H138</f>
        <v>25250.004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22899.996</v>
      </c>
      <c r="H147" s="164" t="n">
        <f aca="false">H141-((H144*1.2)+(H145*1.2)+(H146*1.2)+(H142*1.2))</f>
        <v>25250.004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1958.34</v>
      </c>
      <c r="I148" s="1" t="n">
        <f aca="false">(H148-G81)/1.2</f>
        <v>-19409.72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25250.004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585.563634153622</v>
      </c>
      <c r="B167" s="177" t="str">
        <f aca="false">B94</f>
        <v>0</v>
      </c>
      <c r="C167" s="174"/>
      <c r="D167" s="174"/>
      <c r="E167" s="177" t="n">
        <f aca="false">B96</f>
        <v>585.563634153622</v>
      </c>
      <c r="F167" s="23"/>
      <c r="G167" s="23" t="n">
        <f aca="false">ROUND(G95, 2)</f>
        <v>465.43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180" t="n">
        <f aca="false">K30</f>
        <v>10000</v>
      </c>
      <c r="C170" s="181"/>
      <c r="D170" s="23"/>
      <c r="E170" s="182" t="n">
        <f aca="false">IF(A111="YES",A40, 0)</f>
        <v>12690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12690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12690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12690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21041.67</v>
      </c>
      <c r="B173" s="103" t="n">
        <f aca="false">H137</f>
        <v>4208.334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H141</f>
        <v>25250.004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25250.004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7934.72319537677</v>
      </c>
      <c r="B182" s="103" t="str">
        <f aca="false">B114</f>
        <v>239.99</v>
      </c>
      <c r="C182" s="103"/>
      <c r="D182" s="23"/>
      <c r="E182" s="103" t="n">
        <f aca="false">E179+A182+B182+A185</f>
        <v>33434.7171953768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IF(A40=0,(E167),(E170+A185))</f>
        <v>12700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12710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12700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12700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</f>
        <v>0</v>
      </c>
      <c r="B188" s="103" t="n">
        <f aca="false">(G158*B67)/1.2</f>
        <v>210.4167</v>
      </c>
      <c r="C188" s="93"/>
      <c r="D188" s="93"/>
      <c r="E188" s="103" t="n">
        <f aca="false">(E40*A108)*0.1*C45/100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310.408366666667</v>
      </c>
      <c r="C191" s="93"/>
      <c r="D191" s="93"/>
      <c r="E191" s="103" t="n">
        <f aca="false">H148</f>
        <v>1958.34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585.563634153622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3730.04600000001</v>
      </c>
      <c r="B201" s="186" t="n">
        <f aca="false">E179+A201+B182+A185</f>
        <v>29230.04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585.563634153622</v>
      </c>
      <c r="B212" s="177" t="str">
        <f aca="false">B167</f>
        <v>0</v>
      </c>
      <c r="C212" s="174"/>
      <c r="D212" s="174"/>
      <c r="E212" s="177" t="n">
        <f aca="false">E167</f>
        <v>585.563634153622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21041.67</v>
      </c>
      <c r="B215" s="103" t="n">
        <f aca="false">B173</f>
        <v>4208.334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25250.004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25250.004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7934.72319537677</v>
      </c>
      <c r="B224" s="103" t="str">
        <f aca="false">B182</f>
        <v>239.99</v>
      </c>
      <c r="C224" s="103"/>
      <c r="D224" s="113"/>
      <c r="E224" s="103" t="n">
        <f aca="false">E182</f>
        <v>33434.7171953768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585.563634153622</v>
      </c>
      <c r="B230" s="103" t="str">
        <f aca="false">B167</f>
        <v>0</v>
      </c>
      <c r="C230" s="186"/>
      <c r="D230" s="186"/>
      <c r="E230" s="103" t="n">
        <f aca="false">E167</f>
        <v>585.563634153622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12690</v>
      </c>
      <c r="B233" s="103" t="n">
        <f aca="false">E185</f>
        <v>12700</v>
      </c>
      <c r="C233" s="93"/>
      <c r="D233" s="93"/>
      <c r="E233" s="103" t="n">
        <f aca="false">J18*0.000006*100*1.2</f>
        <v>29.17872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0)*100*1.2</f>
        <v>0</v>
      </c>
      <c r="B236" s="103" t="n">
        <f aca="false">E233+A236</f>
        <v>29.17872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1958.34</v>
      </c>
      <c r="B240" s="103" t="n">
        <f aca="false">B68</f>
        <v>210.4167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2268.74836666666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0.065</v>
      </c>
      <c r="C253" s="197"/>
      <c r="D253" s="198" t="s">
        <v>214</v>
      </c>
      <c r="E253" s="198"/>
      <c r="F253" s="196" t="n">
        <f aca="false">B83</f>
        <v>0.137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4214.67719537676</v>
      </c>
      <c r="C254" s="197"/>
      <c r="D254" s="198" t="s">
        <v>216</v>
      </c>
      <c r="E254" s="198"/>
      <c r="F254" s="200" t="n">
        <f aca="false">F261+F267+F269+B270+B271</f>
        <v>252.50004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4062.16882204343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0.072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0.137</v>
      </c>
      <c r="C260" s="43"/>
      <c r="D260" s="166" t="s">
        <v>215</v>
      </c>
      <c r="E260" s="166"/>
      <c r="F260" s="146" t="n">
        <f aca="false">B254</f>
        <v>4214.67719537676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252.50004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4062.16882204343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16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7.2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19083.33</v>
      </c>
      <c r="C2" s="4" t="s">
        <v>2</v>
      </c>
      <c r="D2" s="5" t="n">
        <f aca="false">C9</f>
        <v>3816.666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22899.996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19083.33</v>
      </c>
      <c r="C9" s="14" t="n">
        <f aca="false">B9*0.2</f>
        <v>3816.666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19083.33</v>
      </c>
      <c r="C15" s="14" t="n">
        <f aca="false">SUM(C9:C13)</f>
        <v>3816.666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22899.996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19083.33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12</v>
      </c>
      <c r="P29" s="212"/>
    </row>
    <row r="30" customFormat="false" ht="17.9" hidden="false" customHeight="false" outlineLevel="0" collapsed="false">
      <c r="A30" s="31" t="s">
        <v>181</v>
      </c>
      <c r="B30" s="104" t="s">
        <v>349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18720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201.96</v>
      </c>
      <c r="P32" s="212"/>
    </row>
    <row r="33" customFormat="false" ht="34.8" hidden="false" customHeight="false" outlineLevel="0" collapsed="false">
      <c r="A33" s="179" t="n">
        <f aca="false">A52</f>
        <v>12</v>
      </c>
      <c r="B33" s="232" t="n">
        <f aca="false">B51</f>
        <v>10000</v>
      </c>
      <c r="C33" s="93"/>
      <c r="D33" s="93"/>
      <c r="E33" s="232" t="n">
        <f aca="false">K48</f>
        <v>408.726417095459</v>
      </c>
      <c r="F33" s="232"/>
      <c r="G33" s="232"/>
      <c r="H33" s="47"/>
      <c r="I33" s="2"/>
      <c r="J33" s="34" t="s">
        <v>356</v>
      </c>
      <c r="K33" s="48" t="n">
        <f aca="false">E21</f>
        <v>19083.33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391.896417095458</v>
      </c>
      <c r="B36" s="232" t="n">
        <f aca="false">IF(B26="YES", K42, "0.00")</f>
        <v>16.83</v>
      </c>
      <c r="C36" s="232"/>
      <c r="D36" s="232"/>
      <c r="E36" s="232" t="n">
        <f aca="false">K31</f>
        <v>18720</v>
      </c>
      <c r="F36" s="232"/>
      <c r="G36" s="232"/>
      <c r="H36" s="47"/>
      <c r="I36" s="2"/>
      <c r="J36" s="2" t="s">
        <v>50</v>
      </c>
      <c r="K36" s="2" t="n">
        <f aca="false">K29</f>
        <v>12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19083.33</v>
      </c>
      <c r="L39" s="2" t="n">
        <f aca="false">(L47*K46)+K44</f>
        <v>23617.3952217881</v>
      </c>
      <c r="N39" s="1" t="n">
        <f aca="false">K39-L39</f>
        <v>-4534.06522178812</v>
      </c>
      <c r="P39" s="212"/>
    </row>
    <row r="40" customFormat="false" ht="17.35" hidden="false" customHeight="false" outlineLevel="0" collapsed="false">
      <c r="A40" s="107" t="n">
        <f aca="false">E36*A45/100</f>
        <v>18720</v>
      </c>
      <c r="B40" s="107" t="n">
        <f aca="false">IF(B26="YES", K42, "0.00")</f>
        <v>16.83</v>
      </c>
      <c r="C40" s="107"/>
      <c r="D40" s="107"/>
      <c r="E40" s="182" t="n">
        <f aca="false">K32</f>
        <v>201.96</v>
      </c>
      <c r="F40" s="186"/>
      <c r="G40" s="186"/>
      <c r="H40" s="47"/>
      <c r="J40" s="2" t="s">
        <v>106</v>
      </c>
      <c r="K40" s="2" t="n">
        <f aca="false">(A40)/1.2</f>
        <v>15600</v>
      </c>
      <c r="L40" s="2" t="n">
        <f aca="false">K39-L39</f>
        <v>-4534.06522178812</v>
      </c>
      <c r="N40" s="1" t="n">
        <f aca="false">N38-N39</f>
        <v>7445.74522178812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16.83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14542.0473963917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4541.28260360831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11.5879666297182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391.896417095458</v>
      </c>
      <c r="L47" s="2" t="n">
        <f aca="false">L49-K42</f>
        <v>783.17</v>
      </c>
      <c r="M47" s="1" t="n">
        <f aca="false">K47-L47</f>
        <v>-391.273582904541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408.726417095459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12</v>
      </c>
      <c r="B52" s="74" t="n">
        <f aca="false">K48</f>
        <v>408.726417095459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11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11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11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11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40526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40526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40526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0.0105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0.0105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0.024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449.861993574134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0.005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0.005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0.005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105.20835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2026.3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202.63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391.896417095458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391.896417095458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408.726417095459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408.726417095459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25250.004</v>
      </c>
      <c r="C81" s="93"/>
      <c r="D81" s="93"/>
      <c r="E81" s="113"/>
      <c r="F81" s="25" t="s">
        <v>105</v>
      </c>
      <c r="G81" s="27" t="n">
        <f aca="false">G158</f>
        <v>25250.004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IF(A111="YES",A40,0)*1.2</f>
        <v>22464</v>
      </c>
      <c r="C82" s="93"/>
      <c r="D82" s="93"/>
      <c r="E82" s="113"/>
      <c r="F82" s="31" t="s">
        <v>106</v>
      </c>
      <c r="G82" s="33" t="n">
        <f aca="false">IF(A111="YES",A40,0)*1.2</f>
        <v>22464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18720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18720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0.0995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0.1415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0.1415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0.00829166666666667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0.0117916666666667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0.0117916666666667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31" t="s">
        <v>109</v>
      </c>
      <c r="K85" s="33" t="n">
        <f aca="false">IF(K82=0, (K59+K58), (K59))</f>
        <v>12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11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11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20344.7780500269</v>
      </c>
      <c r="C86" s="93"/>
      <c r="D86" s="93"/>
      <c r="E86" s="113"/>
      <c r="F86" s="31" t="s">
        <v>110</v>
      </c>
      <c r="G86" s="33" t="n">
        <f aca="false">(G82/((1+G84)^(G85+1)))</f>
        <v>21053.9762204959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16263.4495442108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16263.4495442108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10.4718562469129</v>
      </c>
      <c r="C87" s="93"/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31" t="s">
        <v>111</v>
      </c>
      <c r="K87" s="33" t="n">
        <f aca="false">((1-(1/((1+K84)^K85)))/K84)</f>
        <v>10.5753412209172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10.2599315027351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10.2599315027351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4905.22594997312</v>
      </c>
      <c r="C88" s="93"/>
      <c r="D88" s="93"/>
      <c r="E88" s="113"/>
      <c r="F88" s="31" t="s">
        <v>112</v>
      </c>
      <c r="G88" s="33" t="n">
        <f aca="false">G81-G86</f>
        <v>4196.02777950411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468.419908974512</v>
      </c>
      <c r="C89" s="93"/>
      <c r="D89" s="93"/>
      <c r="E89" s="113"/>
      <c r="F89" s="31" t="s">
        <v>113</v>
      </c>
      <c r="G89" s="33" t="n">
        <f aca="false">(G88/G87)</f>
        <v>393.966037580706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5152.61899871964</v>
      </c>
      <c r="C90" s="93"/>
      <c r="D90" s="93"/>
      <c r="E90" s="113"/>
      <c r="F90" s="31" t="s">
        <v>114</v>
      </c>
      <c r="G90" s="33" t="n">
        <f aca="false">((G89*(G85))+G77)</f>
        <v>4333.62641338777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5152.61899871964</v>
      </c>
      <c r="C92" s="93"/>
      <c r="D92" s="93"/>
      <c r="E92" s="113"/>
      <c r="F92" s="56" t="s">
        <v>116</v>
      </c>
      <c r="G92" s="65" t="n">
        <f aca="false">(G90+G91)</f>
        <v>4333.62641338777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n">
        <f aca="false">IF(B26="YES",((E40/B85)*(1+A108)*(C45/100)),"0")</f>
        <v>22.032</v>
      </c>
      <c r="C94" s="93"/>
      <c r="D94" s="93"/>
      <c r="E94" s="113"/>
      <c r="F94" s="88" t="s">
        <v>117</v>
      </c>
      <c r="G94" s="94" t="n">
        <f aca="false">IF(B26="YES",((E40/B85)*(1+A108)*(C45/100)),"0")</f>
        <v>22.032</v>
      </c>
      <c r="H94" s="33"/>
      <c r="J94" s="88" t="s">
        <v>117</v>
      </c>
      <c r="K94" s="89" t="n">
        <f aca="false">((E40/K85)*(1+J108))*1.2</f>
        <v>26.2548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22.032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26.4384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(B92/B85)</f>
        <v>468.419908974512</v>
      </c>
      <c r="C95" s="93"/>
      <c r="D95" s="93"/>
      <c r="E95" s="113"/>
      <c r="F95" s="95" t="s">
        <v>118</v>
      </c>
      <c r="G95" s="96" t="n">
        <f aca="false">G92/(G85)</f>
        <v>393.966037580706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490.451908974513</v>
      </c>
      <c r="C96" s="93"/>
      <c r="D96" s="93"/>
      <c r="E96" s="113"/>
      <c r="F96" s="97" t="s">
        <v>119</v>
      </c>
      <c r="G96" s="98" t="n">
        <f aca="false">G94+G95</f>
        <v>415.998037580706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18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</v>
      </c>
      <c r="C108" s="107"/>
      <c r="D108" s="107" t="n">
        <v>0</v>
      </c>
      <c r="E108" s="108" t="n">
        <f aca="false">B83</f>
        <v>0.0995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0.1415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0.1415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236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19083.33</v>
      </c>
      <c r="C121" s="121" t="n">
        <v>21041.67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22899.996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22899.996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22899.996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19083.33</v>
      </c>
      <c r="C125" s="133" t="n">
        <f aca="false">C121-C124</f>
        <v>21041.67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19083.33</v>
      </c>
      <c r="H135" s="153" t="n">
        <f aca="false">C125+E125+G125+H128</f>
        <v>21041.67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3816.666</v>
      </c>
      <c r="H137" s="33" t="n">
        <f aca="false">(H135+H136)*20%</f>
        <v>4208.334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22899.996</v>
      </c>
      <c r="H141" s="157" t="n">
        <f aca="false">(H135+H136+H139+H140+H137)-H138</f>
        <v>25250.004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22899.996</v>
      </c>
      <c r="H147" s="164" t="n">
        <f aca="false">H141-((H144*1.2)+(H145*1.2)+(H146*1.2)+(H142*1.2))</f>
        <v>25250.004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1958.34</v>
      </c>
      <c r="I148" s="1" t="n">
        <f aca="false">(H148-G81)/1.2</f>
        <v>-19409.72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25250.004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468.419908974512</v>
      </c>
      <c r="B167" s="177" t="n">
        <f aca="false">B94</f>
        <v>22.032</v>
      </c>
      <c r="C167" s="174"/>
      <c r="D167" s="174"/>
      <c r="E167" s="177" t="n">
        <f aca="false">B96</f>
        <v>490.451908974513</v>
      </c>
      <c r="F167" s="23"/>
      <c r="G167" s="23" t="n">
        <f aca="false">ROUND(G95, 2)</f>
        <v>393.97</v>
      </c>
      <c r="H167" s="33"/>
      <c r="J167" s="176" t="e">
        <f aca="false">K95</f>
        <v>#VALUE!</v>
      </c>
      <c r="K167" s="177" t="n">
        <f aca="false">K94</f>
        <v>26.2548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22.032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26.4384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12</v>
      </c>
      <c r="B170" s="180" t="n">
        <f aca="false">K30</f>
        <v>10000</v>
      </c>
      <c r="C170" s="181"/>
      <c r="D170" s="23"/>
      <c r="E170" s="182" t="n">
        <f aca="false">IF(A111="YES",A40, 0)</f>
        <v>18720</v>
      </c>
      <c r="F170" s="23"/>
      <c r="G170" s="23"/>
      <c r="H170" s="33"/>
      <c r="J170" s="179" t="n">
        <f aca="false">K29</f>
        <v>12</v>
      </c>
      <c r="K170" s="180" t="n">
        <f aca="false">K30</f>
        <v>10000</v>
      </c>
      <c r="L170" s="181"/>
      <c r="M170" s="23"/>
      <c r="N170" s="182" t="n">
        <f aca="false">IF(A111="YES", A40, 0)</f>
        <v>18720</v>
      </c>
      <c r="O170" s="23"/>
      <c r="P170" s="23"/>
      <c r="Q170" s="33"/>
      <c r="S170" s="179" t="n">
        <f aca="false">K29</f>
        <v>12</v>
      </c>
      <c r="T170" s="180" t="n">
        <f aca="false">K30</f>
        <v>10000</v>
      </c>
      <c r="U170" s="181"/>
      <c r="V170" s="23"/>
      <c r="W170" s="182" t="n">
        <f aca="false">IF(A111="YES", A40, 0)</f>
        <v>18720</v>
      </c>
      <c r="X170" s="23"/>
      <c r="Y170" s="23"/>
      <c r="Z170" s="33"/>
      <c r="AB170" s="179" t="n">
        <f aca="false">K29</f>
        <v>12</v>
      </c>
      <c r="AC170" s="180" t="n">
        <f aca="false">K30</f>
        <v>10000</v>
      </c>
      <c r="AD170" s="181"/>
      <c r="AE170" s="23"/>
      <c r="AF170" s="182" t="n">
        <f aca="false">IF(A111="YES", A40, 0)</f>
        <v>18720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21041.67</v>
      </c>
      <c r="B173" s="103" t="n">
        <f aca="false">H137</f>
        <v>4208.334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H141</f>
        <v>25250.004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25250.004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-1377.38500128036</v>
      </c>
      <c r="B182" s="103" t="str">
        <f aca="false">B114</f>
        <v>199.99</v>
      </c>
      <c r="C182" s="103"/>
      <c r="D182" s="23"/>
      <c r="E182" s="103" t="n">
        <f aca="false">E179+A182+(B182*1.2)+A185</f>
        <v>24122.6069987196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239.988</v>
      </c>
      <c r="C185" s="103"/>
      <c r="D185" s="23"/>
      <c r="E185" s="103" t="n">
        <f aca="false">IF(A40=0,(E167),(E170+A185))</f>
        <v>18730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18740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18730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18730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</f>
        <v>8.1052</v>
      </c>
      <c r="B188" s="103" t="n">
        <f aca="false">(G158*B67)/1.2</f>
        <v>105.20835</v>
      </c>
      <c r="C188" s="93"/>
      <c r="D188" s="93"/>
      <c r="E188" s="103" t="n">
        <f aca="false">(E40*A108)*0.1*(C45/100)</f>
        <v>4.0392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6.0588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4.0392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4.0392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209.23755</v>
      </c>
      <c r="C191" s="93"/>
      <c r="D191" s="93"/>
      <c r="E191" s="103" t="n">
        <f aca="false">H148</f>
        <v>1958.34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12</v>
      </c>
      <c r="B197" s="74" t="n">
        <f aca="false">B96</f>
        <v>490.451908974513</v>
      </c>
      <c r="C197" s="74"/>
      <c r="D197" s="74"/>
      <c r="E197" s="23"/>
      <c r="F197" s="23"/>
      <c r="G197" s="23"/>
      <c r="H197" s="33"/>
      <c r="J197" s="73" t="n">
        <f aca="false">K29</f>
        <v>12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12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12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-2196.334</v>
      </c>
      <c r="B201" s="186" t="n">
        <f aca="false">E179+A201+(B182*1.2)+A185</f>
        <v>23303.658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12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468.419908974512</v>
      </c>
      <c r="B212" s="177" t="n">
        <f aca="false">B167</f>
        <v>22.032</v>
      </c>
      <c r="C212" s="174"/>
      <c r="D212" s="174"/>
      <c r="E212" s="177" t="n">
        <f aca="false">E167</f>
        <v>490.451908974513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21041.67</v>
      </c>
      <c r="B215" s="103" t="n">
        <f aca="false">B173</f>
        <v>4208.334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25250.004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25250.004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-1377.38500128036</v>
      </c>
      <c r="B224" s="103" t="str">
        <f aca="false">B182</f>
        <v>199.99</v>
      </c>
      <c r="C224" s="103"/>
      <c r="D224" s="113"/>
      <c r="E224" s="103" t="n">
        <f aca="false">E182</f>
        <v>24122.6069987196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468.419908974512</v>
      </c>
      <c r="B230" s="103" t="n">
        <f aca="false">B167</f>
        <v>22.032</v>
      </c>
      <c r="C230" s="186"/>
      <c r="D230" s="186"/>
      <c r="E230" s="103" t="n">
        <f aca="false">E167</f>
        <v>490.451908974513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18720</v>
      </c>
      <c r="B233" s="103" t="n">
        <f aca="false">E185</f>
        <v>18730</v>
      </c>
      <c r="C233" s="93"/>
      <c r="D233" s="93"/>
      <c r="E233" s="103" t="n">
        <f aca="false">J18*0.000006*100</f>
        <v>24.3156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</f>
        <v>8.1052</v>
      </c>
      <c r="B236" s="103" t="n">
        <f aca="false">E233+A236</f>
        <v>32.4208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1958.34</v>
      </c>
      <c r="B240" s="103" t="n">
        <f aca="false">B68</f>
        <v>105.20835</v>
      </c>
      <c r="C240" s="93"/>
      <c r="D240" s="93"/>
      <c r="E240" s="103" t="n">
        <f aca="false">E188</f>
        <v>4.0392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2167.57754999999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0.065</v>
      </c>
      <c r="C253" s="197"/>
      <c r="D253" s="198" t="s">
        <v>214</v>
      </c>
      <c r="E253" s="198"/>
      <c r="F253" s="196" t="n">
        <f aca="false">B83</f>
        <v>0.0995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828.948998719639</v>
      </c>
      <c r="C254" s="197"/>
      <c r="D254" s="198" t="s">
        <v>216</v>
      </c>
      <c r="E254" s="198"/>
      <c r="F254" s="200" t="n">
        <f aca="false">F261+F267+F269+B270+B271</f>
        <v>126.25002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140.382</v>
      </c>
      <c r="C255" s="197"/>
      <c r="D255" s="198" t="s">
        <v>218</v>
      </c>
      <c r="E255" s="198"/>
      <c r="F255" s="200" t="n">
        <f aca="false">(B254-F254)+B255</f>
        <v>843.08097871964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0.024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0.0995</v>
      </c>
      <c r="C260" s="43"/>
      <c r="D260" s="166" t="s">
        <v>215</v>
      </c>
      <c r="E260" s="166"/>
      <c r="F260" s="146" t="n">
        <f aca="false">B254</f>
        <v>828.948998719639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B68*1.2</f>
        <v>126.25002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40.392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843.08097871964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85" colorId="64" zoomScale="85" zoomScaleNormal="85" zoomScalePageLayoutView="100" workbookViewId="0">
      <selection pane="topLeft" activeCell="E112" activeCellId="0" sqref="E112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50000</v>
      </c>
      <c r="C2" s="4" t="s">
        <v>2</v>
      </c>
      <c r="D2" s="5" t="n">
        <f aca="false">C9</f>
        <v>10000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60000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50000</v>
      </c>
      <c r="C9" s="14" t="n">
        <f aca="false">B9*0.2</f>
        <v>10000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50000</v>
      </c>
      <c r="C15" s="14" t="n">
        <f aca="false">SUM(C9:C13)</f>
        <v>10000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60000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50000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19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36</v>
      </c>
      <c r="P29" s="212"/>
    </row>
    <row r="30" customFormat="false" ht="17.9" hidden="false" customHeight="false" outlineLevel="0" collapsed="false">
      <c r="A30" s="31" t="s">
        <v>181</v>
      </c>
      <c r="B30" s="104" t="s">
        <v>349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12690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1267.05574141944</v>
      </c>
      <c r="F33" s="232"/>
      <c r="G33" s="232"/>
      <c r="H33" s="47"/>
      <c r="I33" s="2"/>
      <c r="J33" s="34" t="s">
        <v>356</v>
      </c>
      <c r="K33" s="48" t="n">
        <f aca="false">E21</f>
        <v>50000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1267.05574141944</v>
      </c>
      <c r="B36" s="232" t="str">
        <f aca="false">IF(B26="YES", K42, "0.00")</f>
        <v>0.00</v>
      </c>
      <c r="C36" s="232"/>
      <c r="D36" s="232"/>
      <c r="E36" s="232" t="n">
        <f aca="false">K31</f>
        <v>12690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50000</v>
      </c>
      <c r="L39" s="2" t="n">
        <f aca="false">(L47*K46)+K44</f>
        <v>34761.1439986715</v>
      </c>
      <c r="N39" s="1" t="n">
        <f aca="false">K39-L39</f>
        <v>15238.8560013285</v>
      </c>
      <c r="P39" s="212"/>
    </row>
    <row r="40" customFormat="false" ht="17.35" hidden="false" customHeight="false" outlineLevel="0" collapsed="false">
      <c r="A40" s="107" t="n">
        <f aca="false">E36*A45/100</f>
        <v>12690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10575</v>
      </c>
      <c r="L40" s="2" t="n">
        <f aca="false">K39-L39</f>
        <v>15238.8560013285</v>
      </c>
      <c r="N40" s="1" t="n">
        <f aca="false">N38-N39</f>
        <v>-12327.1760013285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8659.15290867306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40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41340.8470913269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32.627488862498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1267.05574141944</v>
      </c>
      <c r="L47" s="2" t="n">
        <f aca="false">L49-K42</f>
        <v>800</v>
      </c>
      <c r="M47" s="1" t="n">
        <f aca="false">K47-L47</f>
        <v>467.05574141944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1267.05574141944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1267.05574141944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40526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40526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40526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0.072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17717.4832387736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503.333333333333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3039.45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405.26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1267.05574141944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1267.05574141944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1267.05574141944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1267.05574141944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60400</v>
      </c>
      <c r="C81" s="93"/>
      <c r="D81" s="93"/>
      <c r="E81" s="113"/>
      <c r="F81" s="25" t="s">
        <v>105</v>
      </c>
      <c r="G81" s="27" t="n">
        <f aca="false">G158</f>
        <v>60400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IF(A111="YES",A40,0)</f>
        <v>12690</v>
      </c>
      <c r="C82" s="93"/>
      <c r="D82" s="93"/>
      <c r="E82" s="113"/>
      <c r="F82" s="31" t="s">
        <v>106</v>
      </c>
      <c r="G82" s="33" t="n">
        <f aca="false">IF(A111="YES",A40,0)</f>
        <v>12690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12690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12690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0.137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0.0114166666666667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8432.91669105517</v>
      </c>
      <c r="C86" s="93"/>
      <c r="D86" s="93"/>
      <c r="E86" s="113"/>
      <c r="F86" s="31" t="s">
        <v>110</v>
      </c>
      <c r="G86" s="33" t="n">
        <f aca="false">(G82/((1+G84)^(G85+1)))</f>
        <v>10447.267984314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8584.37698639577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8584.37698639577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28.719487222345</v>
      </c>
      <c r="C87" s="93"/>
      <c r="D87" s="93"/>
      <c r="E87" s="113"/>
      <c r="F87" s="31" t="s">
        <v>111</v>
      </c>
      <c r="G87" s="33" t="n">
        <f aca="false">((1-(1/((1+G84)^G85)))/G84)</f>
        <v>31.8042210938366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51967.0833089448</v>
      </c>
      <c r="C88" s="93"/>
      <c r="D88" s="93"/>
      <c r="E88" s="113"/>
      <c r="F88" s="31" t="s">
        <v>112</v>
      </c>
      <c r="G88" s="33" t="n">
        <f aca="false">G81-G86</f>
        <v>49952.732015686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1809.47114085353</v>
      </c>
      <c r="C89" s="93"/>
      <c r="D89" s="93"/>
      <c r="E89" s="113"/>
      <c r="F89" s="31" t="s">
        <v>113</v>
      </c>
      <c r="G89" s="33" t="n">
        <f aca="false">(G88/G87)</f>
        <v>1570.63214559801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63331.4899298735</v>
      </c>
      <c r="C90" s="93"/>
      <c r="D90" s="93"/>
      <c r="E90" s="113"/>
      <c r="F90" s="31" t="s">
        <v>114</v>
      </c>
      <c r="G90" s="33" t="n">
        <f aca="false">((G89*(G85))+G77)</f>
        <v>54972.1250959303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63331.4899298735</v>
      </c>
      <c r="C92" s="93"/>
      <c r="D92" s="93"/>
      <c r="E92" s="113"/>
      <c r="F92" s="56" t="s">
        <v>116</v>
      </c>
      <c r="G92" s="65" t="n">
        <f aca="false">(G90+G91)</f>
        <v>54972.1250959303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str">
        <f aca="false">IF(B26="YES",((E40/B85)*(1+A108)*1.2*(C45/100)),"0")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1809.47114085353</v>
      </c>
      <c r="C95" s="93"/>
      <c r="D95" s="93"/>
      <c r="E95" s="113"/>
      <c r="F95" s="95" t="s">
        <v>118</v>
      </c>
      <c r="G95" s="96" t="n">
        <f aca="false">G92/(G85)</f>
        <v>1570.63214559801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1809.47114085353</v>
      </c>
      <c r="C96" s="93"/>
      <c r="D96" s="93"/>
      <c r="E96" s="113"/>
      <c r="F96" s="97" t="s">
        <v>119</v>
      </c>
      <c r="G96" s="98" t="n">
        <f aca="false">G94+G95</f>
        <v>1570.63214559801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19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</v>
      </c>
      <c r="C108" s="107"/>
      <c r="D108" s="107" t="n">
        <v>0</v>
      </c>
      <c r="E108" s="108" t="n">
        <f aca="false">B83</f>
        <v>0.137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</v>
      </c>
      <c r="C111" s="107"/>
      <c r="D111" s="107"/>
      <c r="E111" s="107" t="n">
        <v>1000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50000</v>
      </c>
      <c r="C121" s="121" t="n">
        <v>50000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60000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60000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60000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50000</v>
      </c>
      <c r="C125" s="133" t="n">
        <f aca="false">C121-C124</f>
        <v>50000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50000</v>
      </c>
      <c r="H135" s="153" t="n">
        <f aca="false">C125+E125+G125+H128</f>
        <v>50000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10000</v>
      </c>
      <c r="H137" s="33" t="n">
        <f aca="false">(H135+H136)*20%</f>
        <v>10000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60000</v>
      </c>
      <c r="H141" s="157" t="n">
        <f aca="false">(H135+H136+H139+H140+H137)-H138</f>
        <v>60000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60000</v>
      </c>
      <c r="H147" s="164" t="n">
        <f aca="false">H141-((H144*1.2)+(H145*1.2)+(H146*1.2)+(H142*1.2))</f>
        <v>60000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-50333.3333333333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1200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3600</v>
      </c>
      <c r="F153" s="166"/>
      <c r="G153" s="107" t="n">
        <v>3600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-3600</v>
      </c>
      <c r="F154" s="166"/>
      <c r="G154" s="167" t="n">
        <f aca="false">G152-G153</f>
        <v>-2400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-1200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60400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1809.47114085353</v>
      </c>
      <c r="B167" s="177" t="str">
        <f aca="false">B94</f>
        <v>0</v>
      </c>
      <c r="C167" s="174"/>
      <c r="D167" s="174"/>
      <c r="E167" s="177" t="n">
        <f aca="false">B96</f>
        <v>1809.47114085353</v>
      </c>
      <c r="F167" s="23"/>
      <c r="G167" s="23" t="n">
        <f aca="false">ROUND(G95, 2)</f>
        <v>1570.63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229" t="n">
        <f aca="false">K30</f>
        <v>10000</v>
      </c>
      <c r="C170" s="181"/>
      <c r="D170" s="23"/>
      <c r="E170" s="182" t="n">
        <f aca="false">IF(A111="YES", A40, 0)</f>
        <v>12690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12690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12690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12690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50000</v>
      </c>
      <c r="B173" s="103" t="n">
        <f aca="false">H137</f>
        <v>10000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60000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-2400</v>
      </c>
      <c r="C179" s="103"/>
      <c r="D179" s="23"/>
      <c r="E179" s="103" t="n">
        <f aca="false">A176-A179-B179</f>
        <v>60400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15621.4899298735</v>
      </c>
      <c r="B182" s="103" t="str">
        <f aca="false">B114</f>
        <v>239.99</v>
      </c>
      <c r="C182" s="103"/>
      <c r="D182" s="23"/>
      <c r="E182" s="103" t="n">
        <f aca="false">E179+A182+B182+A185</f>
        <v>76271.4799298735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A179+(B182)</f>
        <v>2239.99</v>
      </c>
      <c r="C185" s="103"/>
      <c r="D185" s="23"/>
      <c r="E185" s="103" t="n">
        <f aca="false">E170+A185</f>
        <v>12700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12710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12700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12700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 *1.2</f>
        <v>0</v>
      </c>
      <c r="B188" s="103" t="n">
        <f aca="false">(G158*B67)</f>
        <v>604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B182/1.2-100</f>
        <v>99.9916666666667</v>
      </c>
      <c r="B191" s="103" t="n">
        <f aca="false">B188+E188+A191</f>
        <v>703.991666666667</v>
      </c>
      <c r="C191" s="93"/>
      <c r="D191" s="93"/>
      <c r="E191" s="103" t="n">
        <f aca="false">H148</f>
        <v>0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1809.47114085353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7262.05</v>
      </c>
      <c r="B201" s="186" t="n">
        <f aca="false">E179+A201+B182+A185</f>
        <v>67912.04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1809.47114085353</v>
      </c>
      <c r="B212" s="177" t="str">
        <f aca="false">B167</f>
        <v>0</v>
      </c>
      <c r="C212" s="174"/>
      <c r="D212" s="174"/>
      <c r="E212" s="177" t="n">
        <f aca="false">E167</f>
        <v>1809.47114085353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50000</v>
      </c>
      <c r="B215" s="103" t="n">
        <f aca="false">B173</f>
        <v>10000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60000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-2400</v>
      </c>
      <c r="C221" s="103"/>
      <c r="D221" s="113"/>
      <c r="E221" s="103" t="n">
        <f aca="false">E179</f>
        <v>60400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15621.4899298735</v>
      </c>
      <c r="B224" s="103" t="str">
        <f aca="false">B182</f>
        <v>239.99</v>
      </c>
      <c r="C224" s="103"/>
      <c r="D224" s="113"/>
      <c r="E224" s="103" t="n">
        <f aca="false">E182</f>
        <v>76271.4799298735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2239.99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1809.47114085353</v>
      </c>
      <c r="B230" s="103" t="str">
        <f aca="false">B167</f>
        <v>0</v>
      </c>
      <c r="C230" s="186"/>
      <c r="D230" s="186"/>
      <c r="E230" s="103" t="n">
        <f aca="false">E167</f>
        <v>1809.47114085353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12690</v>
      </c>
      <c r="B233" s="103" t="n">
        <f aca="false">E185</f>
        <v>12700</v>
      </c>
      <c r="C233" s="93"/>
      <c r="D233" s="93"/>
      <c r="E233" s="103" t="n">
        <f aca="false">A188</f>
        <v>0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B68</f>
        <v>503.333333333333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603.325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0.065</v>
      </c>
      <c r="C253" s="197"/>
      <c r="D253" s="198" t="s">
        <v>214</v>
      </c>
      <c r="E253" s="198"/>
      <c r="F253" s="196" t="n">
        <f aca="false">B83</f>
        <v>0.137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8369.43992987345</v>
      </c>
      <c r="C254" s="197"/>
      <c r="D254" s="198" t="s">
        <v>216</v>
      </c>
      <c r="E254" s="198"/>
      <c r="F254" s="200" t="n">
        <f aca="false">F261+F267+F269+B270+B271</f>
        <v>604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7865.43159654012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0.072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0.137</v>
      </c>
      <c r="C260" s="43"/>
      <c r="D260" s="166" t="s">
        <v>215</v>
      </c>
      <c r="E260" s="166"/>
      <c r="F260" s="146" t="n">
        <f aca="false">B254</f>
        <v>8369.43992987345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604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7865.43159654012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30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7.2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19083.33</v>
      </c>
      <c r="C2" s="4" t="s">
        <v>2</v>
      </c>
      <c r="D2" s="5" t="n">
        <f aca="false">C9</f>
        <v>3816.666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22899.996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19083.33</v>
      </c>
      <c r="C9" s="14" t="n">
        <f aca="false">B9*0.2</f>
        <v>3816.666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19083.33</v>
      </c>
      <c r="C15" s="14" t="n">
        <f aca="false">SUM(C9:C13)</f>
        <v>3816.666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22899.996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19083.33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12</v>
      </c>
      <c r="P29" s="212"/>
    </row>
    <row r="30" customFormat="false" ht="17.9" hidden="false" customHeight="false" outlineLevel="0" collapsed="false">
      <c r="A30" s="31" t="s">
        <v>181</v>
      </c>
      <c r="B30" s="104" t="s">
        <v>349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18720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201.96</v>
      </c>
      <c r="P32" s="212"/>
    </row>
    <row r="33" customFormat="false" ht="34.8" hidden="false" customHeight="false" outlineLevel="0" collapsed="false">
      <c r="A33" s="179" t="n">
        <f aca="false">A52</f>
        <v>12</v>
      </c>
      <c r="B33" s="232" t="n">
        <f aca="false">B51</f>
        <v>10000</v>
      </c>
      <c r="C33" s="93"/>
      <c r="D33" s="93"/>
      <c r="E33" s="232" t="n">
        <f aca="false">K48</f>
        <v>408.726417095459</v>
      </c>
      <c r="F33" s="232"/>
      <c r="G33" s="232"/>
      <c r="H33" s="47"/>
      <c r="I33" s="2"/>
      <c r="J33" s="34" t="s">
        <v>356</v>
      </c>
      <c r="K33" s="48" t="n">
        <f aca="false">E21</f>
        <v>19083.33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391.896417095458</v>
      </c>
      <c r="B36" s="232" t="n">
        <f aca="false">IF(B26="YES", K42, "0.00")</f>
        <v>16.83</v>
      </c>
      <c r="C36" s="232"/>
      <c r="D36" s="232"/>
      <c r="E36" s="232" t="n">
        <f aca="false">K31</f>
        <v>18720</v>
      </c>
      <c r="F36" s="232"/>
      <c r="G36" s="232"/>
      <c r="H36" s="47"/>
      <c r="I36" s="2"/>
      <c r="J36" s="2" t="s">
        <v>50</v>
      </c>
      <c r="K36" s="2" t="n">
        <f aca="false">K29</f>
        <v>12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19083.33</v>
      </c>
      <c r="L39" s="2" t="n">
        <f aca="false">(L47*K46)+K44</f>
        <v>23617.3952217881</v>
      </c>
      <c r="N39" s="1" t="n">
        <f aca="false">K39-L39</f>
        <v>-4534.06522178812</v>
      </c>
      <c r="P39" s="212"/>
    </row>
    <row r="40" customFormat="false" ht="17.35" hidden="false" customHeight="false" outlineLevel="0" collapsed="false">
      <c r="A40" s="107" t="n">
        <f aca="false">E36*A45/100</f>
        <v>18720</v>
      </c>
      <c r="B40" s="107" t="n">
        <f aca="false">IF(B26="YES", K42, "0.00")</f>
        <v>16.83</v>
      </c>
      <c r="C40" s="107"/>
      <c r="D40" s="107"/>
      <c r="E40" s="182" t="n">
        <f aca="false">K32</f>
        <v>201.96</v>
      </c>
      <c r="F40" s="186"/>
      <c r="G40" s="186"/>
      <c r="H40" s="47"/>
      <c r="J40" s="2" t="s">
        <v>106</v>
      </c>
      <c r="K40" s="2" t="n">
        <f aca="false">(A40)/1.2</f>
        <v>15600</v>
      </c>
      <c r="L40" s="2" t="n">
        <f aca="false">K39-L39</f>
        <v>-4534.06522178812</v>
      </c>
      <c r="N40" s="1" t="n">
        <f aca="false">N38-N39</f>
        <v>7445.74522178812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16.83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14542.0473963917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4541.28260360831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11.5879666297182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391.896417095458</v>
      </c>
      <c r="L47" s="2" t="n">
        <f aca="false">L49-K42</f>
        <v>783.17</v>
      </c>
      <c r="M47" s="1" t="n">
        <f aca="false">K47-L47</f>
        <v>-391.273582904541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408.726417095459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12</v>
      </c>
      <c r="B52" s="74" t="n">
        <f aca="false">K48</f>
        <v>408.726417095459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11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11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11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11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40526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40526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40526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0.0105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0.0105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0.024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449.861993574134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0.005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0.005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0.005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105.20835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2026.3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202.63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391.896417095458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391.896417095458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408.726417095459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408.726417095459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25250.004</v>
      </c>
      <c r="C81" s="93"/>
      <c r="D81" s="93"/>
      <c r="E81" s="113"/>
      <c r="F81" s="25" t="s">
        <v>105</v>
      </c>
      <c r="G81" s="27" t="n">
        <f aca="false">G158</f>
        <v>25250.004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IF(A111="YES",A40,0)*1.2</f>
        <v>22464</v>
      </c>
      <c r="C82" s="93"/>
      <c r="D82" s="93"/>
      <c r="E82" s="113"/>
      <c r="F82" s="31" t="s">
        <v>106</v>
      </c>
      <c r="G82" s="33" t="n">
        <f aca="false">IF(A111="YES",A40,0)*1.2</f>
        <v>22464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18720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18720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0.0995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0.1415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0.1415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0.00829166666666667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0.0117916666666667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0.0117916666666667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31" t="s">
        <v>109</v>
      </c>
      <c r="K85" s="33" t="n">
        <f aca="false">IF(K82=0, (K59+K58), (K59))</f>
        <v>12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11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11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20344.7780500269</v>
      </c>
      <c r="C86" s="93"/>
      <c r="D86" s="93"/>
      <c r="E86" s="113"/>
      <c r="F86" s="31" t="s">
        <v>110</v>
      </c>
      <c r="G86" s="33" t="n">
        <f aca="false">(G82/((1+G84)^(G85+1)))</f>
        <v>21053.9762204959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16263.4495442108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16263.4495442108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10.4718562469129</v>
      </c>
      <c r="C87" s="93"/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31" t="s">
        <v>111</v>
      </c>
      <c r="K87" s="33" t="n">
        <f aca="false">((1-(1/((1+K84)^K85)))/K84)</f>
        <v>10.5753412209172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10.2599315027351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10.2599315027351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4905.22594997312</v>
      </c>
      <c r="C88" s="93"/>
      <c r="D88" s="93"/>
      <c r="E88" s="113"/>
      <c r="F88" s="31" t="s">
        <v>112</v>
      </c>
      <c r="G88" s="33" t="n">
        <f aca="false">G81-G86</f>
        <v>4196.02777950411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468.419908974512</v>
      </c>
      <c r="C89" s="93"/>
      <c r="D89" s="93"/>
      <c r="E89" s="113"/>
      <c r="F89" s="31" t="s">
        <v>113</v>
      </c>
      <c r="G89" s="33" t="n">
        <f aca="false">(G88/G87)</f>
        <v>393.966037580706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5152.61899871964</v>
      </c>
      <c r="C90" s="93"/>
      <c r="D90" s="93"/>
      <c r="E90" s="113"/>
      <c r="F90" s="31" t="s">
        <v>114</v>
      </c>
      <c r="G90" s="33" t="n">
        <f aca="false">((G89*(G85))+G77)</f>
        <v>4333.62641338777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5152.61899871964</v>
      </c>
      <c r="C92" s="93"/>
      <c r="D92" s="93"/>
      <c r="E92" s="113"/>
      <c r="F92" s="56" t="s">
        <v>116</v>
      </c>
      <c r="G92" s="65" t="n">
        <f aca="false">(G90+G91)</f>
        <v>4333.62641338777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n">
        <f aca="false">IF(B26="YES",((E40/B85)*(1+A108)*(C45/100)),"0")</f>
        <v>22.032</v>
      </c>
      <c r="C94" s="93"/>
      <c r="D94" s="93"/>
      <c r="E94" s="113"/>
      <c r="F94" s="88" t="s">
        <v>117</v>
      </c>
      <c r="G94" s="94" t="n">
        <f aca="false">IF(B26="YES",((E40/B85)*(1+A108)*(C45/100)),"0")</f>
        <v>22.032</v>
      </c>
      <c r="H94" s="33"/>
      <c r="J94" s="88" t="s">
        <v>117</v>
      </c>
      <c r="K94" s="89" t="n">
        <f aca="false">((E40/K85)*(1+J108))*1.2</f>
        <v>26.2548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22.032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26.4384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468.419908974512</v>
      </c>
      <c r="C95" s="93"/>
      <c r="D95" s="93"/>
      <c r="E95" s="113"/>
      <c r="F95" s="95" t="s">
        <v>118</v>
      </c>
      <c r="G95" s="96" t="n">
        <f aca="false">G92/(G85)</f>
        <v>393.966037580706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490.451908974513</v>
      </c>
      <c r="C96" s="93"/>
      <c r="D96" s="93"/>
      <c r="E96" s="113"/>
      <c r="F96" s="97" t="s">
        <v>119</v>
      </c>
      <c r="G96" s="98" t="n">
        <f aca="false">G94+G95</f>
        <v>415.998037580706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18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</v>
      </c>
      <c r="C108" s="107"/>
      <c r="D108" s="107" t="n">
        <v>0</v>
      </c>
      <c r="E108" s="108" t="n">
        <f aca="false">B83</f>
        <v>0.0995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0.1415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0.1415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236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19083.33</v>
      </c>
      <c r="C121" s="121" t="n">
        <v>21041.67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22899.996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22899.996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22899.996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19083.33</v>
      </c>
      <c r="C125" s="133" t="n">
        <f aca="false">C121-C124</f>
        <v>21041.67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19083.33</v>
      </c>
      <c r="H135" s="153" t="n">
        <f aca="false">C125+E125+G125+H128</f>
        <v>21041.67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3816.666</v>
      </c>
      <c r="H137" s="33" t="n">
        <f aca="false">(H135+H136)*20%</f>
        <v>4208.334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22899.996</v>
      </c>
      <c r="H141" s="157" t="n">
        <f aca="false">(H135+H136+H139+H140+H137)-H138</f>
        <v>25250.004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22899.996</v>
      </c>
      <c r="H147" s="164" t="n">
        <f aca="false">H141-((H144*1.2)+(H145*1.2)+(H146*1.2)+(H142*1.2))</f>
        <v>25250.004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1958.34</v>
      </c>
      <c r="I148" s="1" t="n">
        <f aca="false">(H148-G81)/1.2</f>
        <v>-19409.72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25250.004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468.419908974512</v>
      </c>
      <c r="B167" s="177" t="n">
        <f aca="false">B94</f>
        <v>22.032</v>
      </c>
      <c r="C167" s="174"/>
      <c r="D167" s="174"/>
      <c r="E167" s="177" t="n">
        <f aca="false">B96</f>
        <v>490.451908974513</v>
      </c>
      <c r="F167" s="23"/>
      <c r="G167" s="23" t="n">
        <f aca="false">ROUND(G95, 2)</f>
        <v>393.97</v>
      </c>
      <c r="H167" s="33"/>
      <c r="J167" s="176" t="e">
        <f aca="false">K95</f>
        <v>#VALUE!</v>
      </c>
      <c r="K167" s="177" t="n">
        <f aca="false">K94</f>
        <v>26.2548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22.032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26.4384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12</v>
      </c>
      <c r="B170" s="229" t="n">
        <f aca="false">K30</f>
        <v>10000</v>
      </c>
      <c r="C170" s="181"/>
      <c r="D170" s="23"/>
      <c r="E170" s="182" t="n">
        <f aca="false">IF(A111="YES", A40, 0)</f>
        <v>18720</v>
      </c>
      <c r="F170" s="23"/>
      <c r="G170" s="23"/>
      <c r="H170" s="33"/>
      <c r="J170" s="179" t="n">
        <f aca="false">K29</f>
        <v>12</v>
      </c>
      <c r="K170" s="180" t="n">
        <f aca="false">K30</f>
        <v>10000</v>
      </c>
      <c r="L170" s="181"/>
      <c r="M170" s="23"/>
      <c r="N170" s="182" t="n">
        <f aca="false">IF(A111="YES", A40, 0)</f>
        <v>18720</v>
      </c>
      <c r="O170" s="23"/>
      <c r="P170" s="23"/>
      <c r="Q170" s="33"/>
      <c r="S170" s="179" t="n">
        <f aca="false">K29</f>
        <v>12</v>
      </c>
      <c r="T170" s="180" t="n">
        <f aca="false">K30</f>
        <v>10000</v>
      </c>
      <c r="U170" s="181"/>
      <c r="V170" s="23"/>
      <c r="W170" s="182" t="n">
        <f aca="false">IF(A111="YES", A40, 0)</f>
        <v>18720</v>
      </c>
      <c r="X170" s="23"/>
      <c r="Y170" s="23"/>
      <c r="Z170" s="33"/>
      <c r="AB170" s="179" t="n">
        <f aca="false">K29</f>
        <v>12</v>
      </c>
      <c r="AC170" s="180" t="n">
        <f aca="false">K30</f>
        <v>10000</v>
      </c>
      <c r="AD170" s="181"/>
      <c r="AE170" s="23"/>
      <c r="AF170" s="182" t="n">
        <f aca="false">IF(A111="YES", A40, 0)</f>
        <v>18720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21041.67</v>
      </c>
      <c r="B173" s="103" t="n">
        <f aca="false">H137</f>
        <v>4208.334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25250.004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25250.004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-1377.38500128036</v>
      </c>
      <c r="B182" s="103" t="str">
        <f aca="false">B114</f>
        <v>199.99</v>
      </c>
      <c r="C182" s="103"/>
      <c r="D182" s="23"/>
      <c r="E182" s="103" t="n">
        <f aca="false">E179+A182+(B182*1.2)+A185</f>
        <v>24122.6069987196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239.988</v>
      </c>
      <c r="C185" s="103"/>
      <c r="D185" s="23"/>
      <c r="E185" s="103" t="n">
        <f aca="false">E170+A185</f>
        <v>18730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18740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18730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18730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</f>
        <v>8.1052</v>
      </c>
      <c r="B188" s="103" t="n">
        <f aca="false">(G158*B67)/1.2</f>
        <v>105.20835</v>
      </c>
      <c r="C188" s="93"/>
      <c r="D188" s="93"/>
      <c r="E188" s="103" t="n">
        <f aca="false">(E40*A108)*0.1*(C45/100)</f>
        <v>4.0392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6.0588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4.0392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4.0392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209.23755</v>
      </c>
      <c r="C191" s="93"/>
      <c r="D191" s="93"/>
      <c r="E191" s="103" t="n">
        <f aca="false">H148</f>
        <v>1958.34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12</v>
      </c>
      <c r="B197" s="74" t="n">
        <f aca="false">B96</f>
        <v>490.451908974513</v>
      </c>
      <c r="C197" s="74"/>
      <c r="D197" s="74"/>
      <c r="E197" s="23"/>
      <c r="F197" s="23"/>
      <c r="G197" s="23"/>
      <c r="H197" s="33"/>
      <c r="J197" s="73" t="n">
        <f aca="false">K29</f>
        <v>12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12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12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-2196.334</v>
      </c>
      <c r="B201" s="186" t="n">
        <f aca="false">E179+A201+(B182*1.2)+A185</f>
        <v>23303.658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n">
        <f aca="false">A197</f>
        <v>12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468.419908974512</v>
      </c>
      <c r="B212" s="177" t="n">
        <f aca="false">B167</f>
        <v>22.032</v>
      </c>
      <c r="C212" s="174"/>
      <c r="D212" s="174"/>
      <c r="E212" s="177" t="n">
        <f aca="false">E167</f>
        <v>490.451908974513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21041.67</v>
      </c>
      <c r="B215" s="103" t="n">
        <f aca="false">B173</f>
        <v>4208.334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25250.004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25250.004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-1377.38500128036</v>
      </c>
      <c r="B224" s="103" t="str">
        <f aca="false">B182</f>
        <v>199.99</v>
      </c>
      <c r="C224" s="103"/>
      <c r="D224" s="113"/>
      <c r="E224" s="103" t="n">
        <f aca="false">E182</f>
        <v>24122.6069987196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468.419908974512</v>
      </c>
      <c r="B230" s="103" t="n">
        <f aca="false">B167</f>
        <v>22.032</v>
      </c>
      <c r="C230" s="186"/>
      <c r="D230" s="186"/>
      <c r="E230" s="103" t="n">
        <f aca="false">E167</f>
        <v>490.451908974513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18720</v>
      </c>
      <c r="B233" s="103" t="n">
        <f aca="false">E185</f>
        <v>18730</v>
      </c>
      <c r="C233" s="93"/>
      <c r="D233" s="93"/>
      <c r="E233" s="103" t="n">
        <f aca="false">A188</f>
        <v>8.1052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1958.34</v>
      </c>
      <c r="B240" s="103" t="n">
        <f aca="false">B68</f>
        <v>105.20835</v>
      </c>
      <c r="C240" s="93"/>
      <c r="D240" s="93"/>
      <c r="E240" s="103" t="n">
        <f aca="false">E188</f>
        <v>4.0392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2167.57754999999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0.065</v>
      </c>
      <c r="C253" s="197"/>
      <c r="D253" s="198" t="s">
        <v>214</v>
      </c>
      <c r="E253" s="198"/>
      <c r="F253" s="196" t="n">
        <f aca="false">B83</f>
        <v>0.0995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828.948998719639</v>
      </c>
      <c r="C254" s="197"/>
      <c r="D254" s="198" t="s">
        <v>216</v>
      </c>
      <c r="E254" s="198"/>
      <c r="F254" s="200" t="n">
        <f aca="false">F261+F267+F269+B270+B271</f>
        <v>126.25002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140.382</v>
      </c>
      <c r="C255" s="197"/>
      <c r="D255" s="198" t="s">
        <v>218</v>
      </c>
      <c r="E255" s="198"/>
      <c r="F255" s="200" t="n">
        <f aca="false">(B254-F254)+B255</f>
        <v>843.08097871964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0.024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0.0995</v>
      </c>
      <c r="C260" s="43"/>
      <c r="D260" s="166" t="s">
        <v>215</v>
      </c>
      <c r="E260" s="166"/>
      <c r="F260" s="146" t="n">
        <f aca="false">B254</f>
        <v>828.948998719639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B68*1.2</f>
        <v>126.25002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40.392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843.08097871964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55" colorId="64" zoomScale="85" zoomScaleNormal="85" zoomScalePageLayoutView="100" workbookViewId="0">
      <selection pane="topLeft" activeCell="B65" activeCellId="0" sqref="B65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19083.33</v>
      </c>
      <c r="C2" s="4" t="s">
        <v>2</v>
      </c>
      <c r="D2" s="5" t="n">
        <f aca="false">C9</f>
        <v>3816.666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22899.996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19083.33</v>
      </c>
      <c r="C9" s="14" t="n">
        <f aca="false">B9*0.2</f>
        <v>3816.666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19083.33</v>
      </c>
      <c r="C15" s="14" t="n">
        <f aca="false">SUM(C9:C13)</f>
        <v>3816.666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22899.996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19083.33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12</v>
      </c>
      <c r="I29" s="387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349</v>
      </c>
      <c r="C30" s="172"/>
      <c r="D30" s="215"/>
      <c r="E30" s="216"/>
      <c r="F30" s="63"/>
      <c r="G30" s="218" t="s">
        <v>32</v>
      </c>
      <c r="H30" s="457" t="n">
        <v>35000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16740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976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12</v>
      </c>
      <c r="B33" s="229" t="n">
        <v>10000</v>
      </c>
      <c r="C33" s="230"/>
      <c r="D33" s="459" t="n">
        <f aca="false">H48</f>
        <v>1334.56481288654</v>
      </c>
      <c r="E33" s="216"/>
      <c r="F33" s="63"/>
      <c r="G33" s="219" t="s">
        <v>356</v>
      </c>
      <c r="H33" s="460" t="n">
        <f aca="false">E21-E11</f>
        <v>19083.33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12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1310.16481288654</v>
      </c>
      <c r="B36" s="103" t="n">
        <f aca="false">IF(B26="YES", H42, "")</f>
        <v>24.4</v>
      </c>
      <c r="C36" s="221"/>
      <c r="D36" s="184" t="n">
        <f aca="false">H31</f>
        <v>16740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19083.33</v>
      </c>
      <c r="I39" s="238" t="n">
        <f aca="false">(I48*H46)+H44</f>
        <v>19841.5907646801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5022</v>
      </c>
      <c r="B40" s="107" t="n">
        <f aca="false">IF(B26="YES",H42,"0")</f>
        <v>24.4</v>
      </c>
      <c r="C40" s="107"/>
      <c r="D40" s="184" t="n">
        <f aca="false">I32</f>
        <v>976</v>
      </c>
      <c r="E40" s="216"/>
      <c r="F40" s="63"/>
      <c r="G40" s="63" t="s">
        <v>106</v>
      </c>
      <c r="H40" s="238" t="n">
        <f aca="false">A40/1.2</f>
        <v>4185</v>
      </c>
      <c r="I40" s="238" t="n">
        <f aca="false">H39-I39</f>
        <v>-758.260764680101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0.00541666666666667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24.4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3901.18386883969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30</v>
      </c>
      <c r="B45" s="215"/>
      <c r="C45" s="463" t="n">
        <v>30</v>
      </c>
      <c r="D45" s="463"/>
      <c r="E45" s="216"/>
      <c r="F45" s="63"/>
      <c r="G45" s="63" t="s">
        <v>374</v>
      </c>
      <c r="H45" s="238" t="n">
        <f aca="false">(H39-H44)</f>
        <v>15182.1461311603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11.5879666297182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1310.16481288654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1334.56481288654</v>
      </c>
      <c r="I48" s="238" t="n">
        <f aca="false">I49-H42</f>
        <v>1375.6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35000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H48</f>
        <v>1334.56481288654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11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11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11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376</v>
      </c>
      <c r="B60" s="215" t="n">
        <f aca="false">E19</f>
        <v>22899.996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40526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292" t="s">
        <v>278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B62+(B62*0.25*((H29/12)-1))</f>
        <v>0.07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0.07</v>
      </c>
      <c r="I63" s="215"/>
      <c r="J63" s="215"/>
      <c r="K63" s="216"/>
      <c r="L63" s="63"/>
      <c r="M63" s="214" t="s">
        <v>279</v>
      </c>
      <c r="N63" s="294" t="n">
        <f aca="false">N62+(N62*0.25*(H29/12-1))</f>
        <v>0.07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1602.99972</v>
      </c>
      <c r="C64" s="465" t="n">
        <v>10000</v>
      </c>
      <c r="D64" s="291" t="n">
        <f aca="false">B64</f>
        <v>1602.99972</v>
      </c>
      <c r="E64" s="466" t="n">
        <f aca="false">D64/(B58+B57)</f>
        <v>133.58331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0.01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228.99996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60</v>
      </c>
      <c r="C73" s="215"/>
      <c r="D73" s="472" t="n">
        <f aca="false">B73+B71</f>
        <v>260</v>
      </c>
      <c r="E73" s="216" t="s">
        <v>227</v>
      </c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285" t="s">
        <v>99</v>
      </c>
      <c r="N73" s="133" t="n">
        <f aca="false">N72*H29</f>
        <v>54</v>
      </c>
      <c r="O73" s="215"/>
      <c r="P73" s="291" t="n">
        <f aca="false">N73+N71</f>
        <v>214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0</v>
      </c>
      <c r="C74" s="215"/>
      <c r="D74" s="215"/>
      <c r="E74" s="216"/>
      <c r="F74" s="63"/>
      <c r="G74" s="292" t="s">
        <v>280</v>
      </c>
      <c r="H74" s="298" t="n">
        <v>165</v>
      </c>
      <c r="I74" s="215"/>
      <c r="J74" s="215"/>
      <c r="K74" s="216"/>
      <c r="L74" s="63"/>
      <c r="M74" s="431" t="s">
        <v>280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</v>
      </c>
      <c r="C75" s="215"/>
      <c r="D75" s="215"/>
      <c r="E75" s="216"/>
      <c r="F75" s="63"/>
      <c r="G75" s="295" t="s">
        <v>281</v>
      </c>
      <c r="H75" s="299" t="n">
        <v>0</v>
      </c>
      <c r="I75" s="215"/>
      <c r="J75" s="215"/>
      <c r="K75" s="216"/>
      <c r="L75" s="63"/>
      <c r="M75" s="433" t="s">
        <v>281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((B74+B75)/12)*(H29+1)</f>
        <v>0</v>
      </c>
      <c r="C76" s="215"/>
      <c r="D76" s="291" t="n">
        <f aca="false">B76</f>
        <v>0</v>
      </c>
      <c r="E76" s="216"/>
      <c r="F76" s="63"/>
      <c r="G76" s="285" t="s">
        <v>282</v>
      </c>
      <c r="H76" s="133" t="n">
        <f aca="false">((H74+H75)/12)*(H29-11)</f>
        <v>13.75</v>
      </c>
      <c r="I76" s="215"/>
      <c r="J76" s="291" t="n">
        <f aca="false">H76</f>
        <v>13.75</v>
      </c>
      <c r="K76" s="216"/>
      <c r="L76" s="63"/>
      <c r="M76" s="435" t="s">
        <v>282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283</v>
      </c>
      <c r="B77" s="131" t="n">
        <f aca="false">B102/(1-0.1)</f>
        <v>444.444444444444</v>
      </c>
      <c r="C77" s="473"/>
      <c r="D77" s="291" t="n">
        <f aca="false">B77</f>
        <v>444.444444444444</v>
      </c>
      <c r="E77" s="466" t="n">
        <f aca="false">D77/(B58+B57)</f>
        <v>37.037037037037</v>
      </c>
      <c r="F77" s="63"/>
      <c r="G77" s="292" t="s">
        <v>283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283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222.222222222222</v>
      </c>
      <c r="C78" s="473"/>
      <c r="D78" s="291" t="n">
        <f aca="false">B78</f>
        <v>222.222222222222</v>
      </c>
      <c r="E78" s="466"/>
      <c r="F78" s="63"/>
      <c r="G78" s="214" t="s">
        <v>284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284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473"/>
      <c r="D79" s="291" t="n">
        <f aca="false">B79</f>
        <v>200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473"/>
      <c r="D80" s="291" t="n">
        <f aca="false">B80</f>
        <v>200</v>
      </c>
      <c r="E80" s="466" t="n">
        <f aca="false">(D73+D76+D79+D80)/(B58+B57)</f>
        <v>55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2929.66638666667</v>
      </c>
      <c r="C81" s="473"/>
      <c r="D81" s="474"/>
      <c r="E81" s="466"/>
      <c r="F81" s="63"/>
      <c r="G81" s="303" t="s">
        <v>102</v>
      </c>
      <c r="H81" s="304" t="n">
        <f aca="false">SUM(J64:J80)</f>
        <v>627.75</v>
      </c>
      <c r="I81" s="215"/>
      <c r="J81" s="215"/>
      <c r="K81" s="216"/>
      <c r="L81" s="63"/>
      <c r="M81" s="303" t="s">
        <v>102</v>
      </c>
      <c r="N81" s="304" t="n">
        <f aca="false">SUM(P64:P80)</f>
        <v>614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244.138865555556</v>
      </c>
      <c r="C82" s="473"/>
      <c r="D82" s="215"/>
      <c r="E82" s="466"/>
      <c r="F82" s="63"/>
      <c r="G82" s="214" t="s">
        <v>103</v>
      </c>
      <c r="H82" s="300" t="n">
        <f aca="false">H81/H29</f>
        <v>52.3125</v>
      </c>
      <c r="I82" s="215"/>
      <c r="J82" s="215"/>
      <c r="K82" s="216"/>
      <c r="L82" s="63"/>
      <c r="M82" s="214" t="s">
        <v>103</v>
      </c>
      <c r="N82" s="300" t="n">
        <f aca="false">N81/H29</f>
        <v>51.1666666666667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1310.16481288654</v>
      </c>
      <c r="C83" s="473"/>
      <c r="D83" s="215"/>
      <c r="E83" s="466" t="n">
        <f aca="false">B83+E80+E77+E64</f>
        <v>1535.78515992358</v>
      </c>
      <c r="F83" s="63"/>
      <c r="G83" s="305" t="s">
        <v>104</v>
      </c>
      <c r="H83" s="306" t="n">
        <f aca="false">H47</f>
        <v>1310.16481288654</v>
      </c>
      <c r="I83" s="215"/>
      <c r="J83" s="215"/>
      <c r="K83" s="216"/>
      <c r="L83" s="63"/>
      <c r="M83" s="305" t="s">
        <v>104</v>
      </c>
      <c r="N83" s="306" t="n">
        <f aca="false">H47</f>
        <v>1310.16481288654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18651.6441413052</v>
      </c>
      <c r="C85" s="473"/>
      <c r="D85" s="473"/>
      <c r="E85" s="466" t="n">
        <f aca="false">B85/(B58+B57)</f>
        <v>1554.3036784421</v>
      </c>
      <c r="F85" s="63"/>
      <c r="G85" s="288" t="s">
        <v>114</v>
      </c>
      <c r="H85" s="131" t="n">
        <f aca="false">((H83*H29)+H81)*1.2</f>
        <v>19619.6733055662</v>
      </c>
      <c r="I85" s="215"/>
      <c r="J85" s="215"/>
      <c r="K85" s="216"/>
      <c r="L85" s="63"/>
      <c r="M85" s="288" t="s">
        <v>114</v>
      </c>
      <c r="N85" s="131" t="n">
        <f aca="false">((N83*H29)+N81)</f>
        <v>16335.9777546385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158.001019349499</v>
      </c>
      <c r="C86" s="473" t="s">
        <v>230</v>
      </c>
      <c r="D86" s="215"/>
      <c r="E86" s="466" t="n">
        <f aca="false">B86/(B58+B57)</f>
        <v>13.1667516124583</v>
      </c>
      <c r="F86" s="63"/>
      <c r="G86" s="214" t="s">
        <v>115</v>
      </c>
      <c r="H86" s="300" t="n">
        <f aca="false">((((H83*H29)+H81))/(1-H70))*H70</f>
        <v>138.501122568539</v>
      </c>
      <c r="I86" s="215"/>
      <c r="J86" s="215"/>
      <c r="K86" s="216"/>
      <c r="L86" s="63"/>
      <c r="M86" s="214" t="s">
        <v>115</v>
      </c>
      <c r="N86" s="300" t="n">
        <f aca="false">(N85/(1-N70))*N70</f>
        <v>138.384644149822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18809.6451606547</v>
      </c>
      <c r="C87" s="473"/>
      <c r="D87" s="475"/>
      <c r="E87" s="466" t="n">
        <f aca="false">E86+E85</f>
        <v>1567.47043005456</v>
      </c>
      <c r="F87" s="63"/>
      <c r="G87" s="285" t="s">
        <v>116</v>
      </c>
      <c r="H87" s="133" t="n">
        <f aca="false">IF(H110="YES",((H85+H86)-K114),(H85+H86))</f>
        <v>19758.1744281348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16474.3623987883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</f>
        <v>29.28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82.6729411764706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68.8941176470588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1567.47043005456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1162.24555459616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969.080141105197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1596.75043005456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1244.91849577263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1037.97425875226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213" t="s">
        <v>343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214" t="s">
        <v>125</v>
      </c>
      <c r="N98" s="215" t="s">
        <v>23</v>
      </c>
      <c r="O98" s="215"/>
      <c r="P98" s="215" t="s">
        <v>286</v>
      </c>
      <c r="Q98" s="216"/>
      <c r="R98" s="63"/>
      <c r="S98" s="63"/>
      <c r="T98" s="63"/>
      <c r="U98" s="63"/>
      <c r="V98" s="63"/>
      <c r="W98" s="63"/>
      <c r="X98" s="63"/>
      <c r="Y98" s="63" t="s">
        <v>264</v>
      </c>
      <c r="Z98" s="63"/>
    </row>
    <row r="99" customFormat="false" ht="18.75" hidden="false" customHeight="true" outlineLevel="0" collapsed="false">
      <c r="A99" s="220" t="s">
        <v>287</v>
      </c>
      <c r="B99" s="312" t="s">
        <v>128</v>
      </c>
      <c r="C99" s="312"/>
      <c r="D99" s="107" t="n">
        <v>0</v>
      </c>
      <c r="E99" s="107"/>
      <c r="F99" s="63"/>
      <c r="G99" s="220" t="s">
        <v>287</v>
      </c>
      <c r="H99" s="312" t="s">
        <v>266</v>
      </c>
      <c r="I99" s="312"/>
      <c r="J99" s="107" t="n">
        <v>0</v>
      </c>
      <c r="K99" s="107"/>
      <c r="L99" s="63"/>
      <c r="M99" s="220" t="s">
        <v>287</v>
      </c>
      <c r="N99" s="312" t="s">
        <v>266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265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266</v>
      </c>
      <c r="Z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378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214" t="s">
        <v>289</v>
      </c>
      <c r="N101" s="215" t="s">
        <v>290</v>
      </c>
      <c r="O101" s="215"/>
      <c r="P101" s="215" t="s">
        <v>291</v>
      </c>
      <c r="Q101" s="216"/>
      <c r="R101" s="63"/>
      <c r="S101" s="63"/>
      <c r="T101" s="63"/>
      <c r="U101" s="63"/>
      <c r="V101" s="63"/>
      <c r="W101" s="63"/>
      <c r="X101" s="63"/>
      <c r="Y101" s="63" t="s">
        <v>267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400</v>
      </c>
      <c r="C102" s="107"/>
      <c r="D102" s="107" t="n">
        <v>200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268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269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270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0.2</v>
      </c>
      <c r="C105" s="314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271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344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217" t="s">
        <v>293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294</v>
      </c>
      <c r="B110" s="222" t="s">
        <v>19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214" t="s">
        <v>294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(E118*1.2)+E117-E114</f>
        <v>-2760.012</v>
      </c>
      <c r="F119" s="63"/>
      <c r="G119" s="315" t="s">
        <v>295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295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217" t="s">
        <v>296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12</v>
      </c>
      <c r="C125" s="325"/>
      <c r="D125" s="324" t="n">
        <f aca="false">B160</f>
        <v>35000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299</v>
      </c>
      <c r="H126" s="328" t="s">
        <v>300</v>
      </c>
      <c r="I126" s="328"/>
      <c r="J126" s="328" t="s">
        <v>301</v>
      </c>
      <c r="K126" s="216"/>
      <c r="L126" s="63"/>
      <c r="M126" s="327" t="s">
        <v>345</v>
      </c>
      <c r="N126" s="328" t="s">
        <v>253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333" t="n">
        <f aca="false">H90</f>
        <v>1162.24555459616</v>
      </c>
      <c r="H127" s="177" t="n">
        <f aca="false">IF(G105="YES", H89*H57, 0)</f>
        <v>496.037647058824</v>
      </c>
      <c r="I127" s="177"/>
      <c r="J127" s="334" t="n">
        <f aca="false">H91</f>
        <v>1244.91849577263</v>
      </c>
      <c r="K127" s="216"/>
      <c r="L127" s="63"/>
      <c r="M127" s="333" t="n">
        <f aca="false">N90</f>
        <v>969.080141105197</v>
      </c>
      <c r="N127" s="177" t="n">
        <f aca="false">IF(M105="YES", N89*N57, 0)</f>
        <v>413.364705882353</v>
      </c>
      <c r="O127" s="177"/>
      <c r="P127" s="177" t="n">
        <f aca="false">N91</f>
        <v>1037.97425875226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1567.47043005456</v>
      </c>
      <c r="B128" s="321" t="n">
        <f aca="false">IF(A105="YES", B89, 0)</f>
        <v>29.28</v>
      </c>
      <c r="C128" s="325"/>
      <c r="D128" s="321" t="n">
        <f aca="false">B91</f>
        <v>1596.75043005456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228" t="n">
        <f aca="false">G152</f>
        <v>12</v>
      </c>
      <c r="H130" s="229" t="n">
        <f aca="false">B151</f>
        <v>0</v>
      </c>
      <c r="I130" s="230"/>
      <c r="J130" s="229" t="n">
        <f aca="false">B58</f>
        <v>11</v>
      </c>
      <c r="K130" s="216"/>
      <c r="L130" s="63"/>
      <c r="M130" s="228" t="n">
        <f aca="false">M155</f>
        <v>12</v>
      </c>
      <c r="N130" s="229" t="n">
        <f aca="false">B151</f>
        <v>0</v>
      </c>
      <c r="O130" s="230"/>
      <c r="P130" s="229" t="n">
        <f aca="false">B58</f>
        <v>11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1567.47043005456</v>
      </c>
      <c r="C131" s="317"/>
      <c r="D131" s="38" t="n">
        <f aca="false">IF(A105="YES", B89*B57, 0)</f>
        <v>29.28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214" t="s">
        <v>346</v>
      </c>
      <c r="N132" s="215" t="s">
        <v>242</v>
      </c>
      <c r="O132" s="215"/>
      <c r="P132" s="215" t="s">
        <v>246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6973.47332757698</v>
      </c>
      <c r="H133" s="103" t="n">
        <f aca="false">IF(G105="YES", H89*H57, 0)</f>
        <v>496.037647058824</v>
      </c>
      <c r="I133" s="221"/>
      <c r="J133" s="184" t="n">
        <f aca="false">H91*H57</f>
        <v>7469.5109746358</v>
      </c>
      <c r="K133" s="216"/>
      <c r="L133" s="63"/>
      <c r="M133" s="185" t="n">
        <f aca="false">N90*N57</f>
        <v>5814.48084663118</v>
      </c>
      <c r="N133" s="103" t="n">
        <f aca="false">IF(M105="YES", N89*N57, 0)</f>
        <v>413.364705882353</v>
      </c>
      <c r="O133" s="221"/>
      <c r="P133" s="184" t="n">
        <f aca="false">N91*N57</f>
        <v>6227.84555251353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1596.75043005456</v>
      </c>
      <c r="B134" s="38" t="n">
        <f aca="false">E114</f>
        <v>4000</v>
      </c>
      <c r="C134" s="317"/>
      <c r="D134" s="337" t="n">
        <f aca="false">B58</f>
        <v>11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214" t="s">
        <v>255</v>
      </c>
      <c r="N135" s="215" t="s">
        <v>256</v>
      </c>
      <c r="O135" s="215"/>
      <c r="P135" s="215" t="s">
        <v>260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1567.47043005456</v>
      </c>
      <c r="B137" s="38" t="n">
        <f aca="false">IF(A105="YES", B89, 0)</f>
        <v>29.28</v>
      </c>
      <c r="C137" s="317"/>
      <c r="D137" s="38" t="n">
        <f aca="false">B91</f>
        <v>1596.75043005456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214" t="s">
        <v>139</v>
      </c>
      <c r="N138" s="215" t="s">
        <v>313</v>
      </c>
      <c r="O138" s="215"/>
      <c r="P138" s="215" t="s">
        <v>314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29.17872</v>
      </c>
      <c r="B140" s="343" t="n">
        <f aca="false">IF(A105="YES", B61*0.000002, 0)*1.2*100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214" t="s">
        <v>316</v>
      </c>
      <c r="N141" s="215" t="s">
        <v>317</v>
      </c>
      <c r="O141" s="215"/>
      <c r="P141" s="215" t="s">
        <v>318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((B36*H105)*0.1)*(G130), 0)</f>
        <v>5.856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5.856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214" t="s">
        <v>320</v>
      </c>
      <c r="N144" s="215" t="s">
        <v>321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347</v>
      </c>
      <c r="N147" s="166" t="s">
        <v>348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228.99996</v>
      </c>
      <c r="B148" s="103" t="n">
        <f aca="false">B102</f>
        <v>400</v>
      </c>
      <c r="C148" s="38"/>
      <c r="D148" s="38" t="n">
        <f aca="false">IF(A105="YES", (B40*B105)*B125, 0)*0.1</f>
        <v>5.856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734.84596</v>
      </c>
      <c r="E151" s="105"/>
      <c r="F151" s="63"/>
      <c r="G151" s="250"/>
      <c r="H151" s="252" t="n">
        <f aca="false">B51</f>
        <v>35000</v>
      </c>
      <c r="I151" s="252"/>
      <c r="J151" s="215"/>
      <c r="K151" s="216"/>
      <c r="L151" s="63"/>
      <c r="M151" s="281" t="s">
        <v>326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1244.91849577263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35000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12</v>
      </c>
      <c r="N155" s="74" t="n">
        <f aca="false">N91</f>
        <v>1037.97425875226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35000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1596.75043005456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24" t="n">
        <f aca="false">A161</f>
        <v>12</v>
      </c>
      <c r="C174" s="357"/>
      <c r="D174" s="324" t="n">
        <f aca="false">D125</f>
        <v>35000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1567.47043005456</v>
      </c>
      <c r="B177" s="355" t="n">
        <f aca="false">IF(A105="YES", B89, 0)</f>
        <v>29.28</v>
      </c>
      <c r="C177" s="357"/>
      <c r="D177" s="355" t="n">
        <f aca="false">B91</f>
        <v>1596.75043005456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1567.47043005456</v>
      </c>
      <c r="C180" s="353"/>
      <c r="D180" s="103" t="n">
        <f aca="false">IF(A105="YES", B89*B57, 0)</f>
        <v>29.28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1596.75043005456</v>
      </c>
      <c r="B183" s="103" t="n">
        <f aca="false">E114</f>
        <v>4000</v>
      </c>
      <c r="C183" s="353"/>
      <c r="D183" s="361" t="n">
        <f aca="false">B58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1567.47043005456</v>
      </c>
      <c r="B186" s="103" t="n">
        <f aca="false">IF(A105="YES", B89, 0)</f>
        <v>29.28</v>
      </c>
      <c r="C186" s="353"/>
      <c r="D186" s="103" t="n">
        <f aca="false">B91</f>
        <v>1596.75043005456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29.17872</v>
      </c>
      <c r="B189" s="365" t="n">
        <f aca="false">B140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228.99996</v>
      </c>
      <c r="B197" s="103" t="n">
        <f aca="false">B102</f>
        <v>400</v>
      </c>
      <c r="C197" s="103"/>
      <c r="D197" s="103" t="n">
        <f aca="false">IF(A105="YES", (B40*B105)*B125, 0)*0.1</f>
        <v>5.856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734.84596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D64</f>
        <v>1602.99972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228.99996</v>
      </c>
      <c r="C211" s="320" t="s">
        <v>217</v>
      </c>
      <c r="D211" s="370" t="n">
        <f aca="false">B225+E221+B221+B223</f>
        <v>398.55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1772.54976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1602.99972</v>
      </c>
      <c r="C217" s="375" t="s">
        <v>221</v>
      </c>
      <c r="D217" s="317"/>
      <c r="E217" s="376" t="n">
        <f aca="false">B66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228.99996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(B77-(B77*(E219*100)))*0.1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B78-(B78*(E219*100))</f>
        <v>200</v>
      </c>
      <c r="C223" s="336" t="s">
        <v>218</v>
      </c>
      <c r="D223" s="317"/>
      <c r="E223" s="33" t="n">
        <f aca="false">(B217-B211+D211)</f>
        <v>1772.54976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58.56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200</v>
      </c>
      <c r="C229" s="336" t="s">
        <v>226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158.001019349499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200</v>
      </c>
      <c r="C233" s="382" t="s">
        <v>333</v>
      </c>
      <c r="D233" s="383"/>
      <c r="E233" s="149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200</v>
      </c>
      <c r="C235" s="386" t="s">
        <v>334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52" colorId="64" zoomScale="85" zoomScaleNormal="85" zoomScalePageLayoutView="100" workbookViewId="0">
      <selection pane="topLeft" activeCell="B64" activeCellId="0" sqref="B64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19083.33</v>
      </c>
      <c r="C2" s="4" t="s">
        <v>2</v>
      </c>
      <c r="D2" s="5" t="n">
        <f aca="false">C9</f>
        <v>3816.666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22899.996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19083.33</v>
      </c>
      <c r="C9" s="14" t="n">
        <f aca="false">B9*0.2</f>
        <v>3816.666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19083.33</v>
      </c>
      <c r="C15" s="14" t="n">
        <f aca="false">SUM(C9:C13)</f>
        <v>3816.666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22899.996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19083.33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19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36</v>
      </c>
      <c r="I29" s="387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349</v>
      </c>
      <c r="C30" s="172"/>
      <c r="D30" s="215"/>
      <c r="E30" s="216"/>
      <c r="F30" s="63"/>
      <c r="G30" s="218" t="s">
        <v>32</v>
      </c>
      <c r="H30" s="457" t="n">
        <v>10000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f aca="false">1.2*10575</f>
        <v>12690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36</v>
      </c>
      <c r="B33" s="229" t="n">
        <v>10000</v>
      </c>
      <c r="C33" s="230"/>
      <c r="D33" s="459" t="n">
        <f aca="false">H48</f>
        <v>319.490633657329</v>
      </c>
      <c r="E33" s="216"/>
      <c r="F33" s="63"/>
      <c r="G33" s="219" t="s">
        <v>356</v>
      </c>
      <c r="H33" s="460" t="n">
        <f aca="false">E21-E11</f>
        <v>19083.33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36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319.490633657329</v>
      </c>
      <c r="B36" s="103" t="str">
        <f aca="false">IF(B26="YES", H42, "")</f>
        <v/>
      </c>
      <c r="C36" s="221"/>
      <c r="D36" s="184" t="n">
        <f aca="false">H31</f>
        <v>12690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19083.33</v>
      </c>
      <c r="I39" s="238" t="n">
        <f aca="false">(I48*H46)+H44</f>
        <v>54337.6373161703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12690</v>
      </c>
      <c r="B40" s="107" t="str">
        <f aca="false">IF(B26="YES",H42,"0")</f>
        <v>0</v>
      </c>
      <c r="C40" s="107"/>
      <c r="D40" s="184" t="n">
        <f aca="false">I32</f>
        <v>0</v>
      </c>
      <c r="E40" s="216"/>
      <c r="F40" s="63"/>
      <c r="G40" s="63" t="s">
        <v>106</v>
      </c>
      <c r="H40" s="238" t="n">
        <f aca="false">A40/1.2</f>
        <v>10575</v>
      </c>
      <c r="I40" s="238" t="n">
        <f aca="false">H39-I39</f>
        <v>-35254.3073161703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0.00541666666666667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8659.15290867306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</v>
      </c>
      <c r="B45" s="215"/>
      <c r="C45" s="463" t="n">
        <v>100</v>
      </c>
      <c r="D45" s="463"/>
      <c r="E45" s="216"/>
      <c r="F45" s="63"/>
      <c r="G45" s="63" t="s">
        <v>374</v>
      </c>
      <c r="H45" s="238" t="n">
        <f aca="false">(H39-H44)</f>
        <v>10424.1770913269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32.627488862498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319.490633657329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319.490633657329</v>
      </c>
      <c r="I48" s="238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10000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36</v>
      </c>
      <c r="B52" s="74" t="n">
        <f aca="false">H48</f>
        <v>319.490633657329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35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35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35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376</v>
      </c>
      <c r="B60" s="215" t="n">
        <f aca="false">E19</f>
        <v>22899.996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40526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292" t="s">
        <v>278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B62+(B62*0.25*((H29/12)-1))</f>
        <v>0.105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0.105</v>
      </c>
      <c r="I63" s="215"/>
      <c r="J63" s="215"/>
      <c r="K63" s="216"/>
      <c r="L63" s="63"/>
      <c r="M63" s="214" t="s">
        <v>279</v>
      </c>
      <c r="N63" s="294" t="n">
        <f aca="false">N62+(N62*0.25*(H29/12-1))</f>
        <v>0.105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2404.49958</v>
      </c>
      <c r="C64" s="465" t="n">
        <v>10000</v>
      </c>
      <c r="D64" s="291" t="n">
        <f aca="false">B64</f>
        <v>2404.49958</v>
      </c>
      <c r="E64" s="466" t="n">
        <f aca="false">D64/(B58+B57)</f>
        <v>66.791655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0.02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0.02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228.99996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180</v>
      </c>
      <c r="C73" s="215"/>
      <c r="D73" s="472" t="n">
        <f aca="false">B73+B71</f>
        <v>380</v>
      </c>
      <c r="E73" s="216" t="s">
        <v>227</v>
      </c>
      <c r="F73" s="63"/>
      <c r="G73" s="285" t="s">
        <v>99</v>
      </c>
      <c r="H73" s="133" t="n">
        <f aca="false">H72*H29</f>
        <v>162</v>
      </c>
      <c r="I73" s="215"/>
      <c r="J73" s="291" t="n">
        <f aca="false">H73+H71</f>
        <v>322</v>
      </c>
      <c r="K73" s="216"/>
      <c r="L73" s="63"/>
      <c r="M73" s="285" t="s">
        <v>99</v>
      </c>
      <c r="N73" s="133" t="n">
        <f aca="false">N72*H29</f>
        <v>162</v>
      </c>
      <c r="O73" s="215"/>
      <c r="P73" s="291" t="n">
        <f aca="false">N73+N71</f>
        <v>322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275</v>
      </c>
      <c r="C74" s="215"/>
      <c r="D74" s="215"/>
      <c r="E74" s="216"/>
      <c r="F74" s="63"/>
      <c r="G74" s="292" t="s">
        <v>280</v>
      </c>
      <c r="H74" s="298" t="n">
        <v>165</v>
      </c>
      <c r="I74" s="215"/>
      <c r="J74" s="215"/>
      <c r="K74" s="216"/>
      <c r="L74" s="63"/>
      <c r="M74" s="431" t="s">
        <v>280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</v>
      </c>
      <c r="C75" s="215"/>
      <c r="D75" s="215"/>
      <c r="E75" s="216"/>
      <c r="F75" s="63"/>
      <c r="G75" s="295" t="s">
        <v>281</v>
      </c>
      <c r="H75" s="299" t="n">
        <v>0</v>
      </c>
      <c r="I75" s="215"/>
      <c r="J75" s="215"/>
      <c r="K75" s="216"/>
      <c r="L75" s="63"/>
      <c r="M75" s="433" t="s">
        <v>281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((B74+B75)/12)*(H29+1)</f>
        <v>847.916666666667</v>
      </c>
      <c r="C76" s="215"/>
      <c r="D76" s="291" t="n">
        <f aca="false">B76</f>
        <v>847.916666666667</v>
      </c>
      <c r="E76" s="216"/>
      <c r="F76" s="63"/>
      <c r="G76" s="285" t="s">
        <v>282</v>
      </c>
      <c r="H76" s="133" t="n">
        <f aca="false">((H74+H75)/12)*(H29-11)</f>
        <v>343.75</v>
      </c>
      <c r="I76" s="215"/>
      <c r="J76" s="291" t="n">
        <f aca="false">H76</f>
        <v>343.75</v>
      </c>
      <c r="K76" s="216"/>
      <c r="L76" s="63"/>
      <c r="M76" s="435" t="s">
        <v>282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283</v>
      </c>
      <c r="B77" s="131" t="n">
        <f aca="false">B102/(1-0.1)</f>
        <v>0</v>
      </c>
      <c r="C77" s="473"/>
      <c r="D77" s="291" t="n">
        <f aca="false">B77</f>
        <v>0</v>
      </c>
      <c r="E77" s="466" t="n">
        <f aca="false">D77/(B58+B57)</f>
        <v>0</v>
      </c>
      <c r="F77" s="63"/>
      <c r="G77" s="292" t="s">
        <v>283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283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0</v>
      </c>
      <c r="C78" s="473"/>
      <c r="D78" s="291" t="n">
        <f aca="false">B78</f>
        <v>0</v>
      </c>
      <c r="E78" s="466"/>
      <c r="F78" s="63"/>
      <c r="G78" s="214" t="s">
        <v>284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284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473"/>
      <c r="D79" s="291" t="n">
        <f aca="false">B79</f>
        <v>200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473"/>
      <c r="D80" s="291" t="n">
        <f aca="false">B80</f>
        <v>200</v>
      </c>
      <c r="E80" s="466" t="n">
        <f aca="false">(D73+D76+D79+D80)/(B58+B57)</f>
        <v>45.2199074074074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4032.41624666667</v>
      </c>
      <c r="C81" s="473"/>
      <c r="D81" s="474"/>
      <c r="E81" s="466"/>
      <c r="F81" s="63"/>
      <c r="G81" s="303" t="s">
        <v>102</v>
      </c>
      <c r="H81" s="304" t="n">
        <f aca="false">SUM(J64:J80)</f>
        <v>1065.75</v>
      </c>
      <c r="I81" s="215"/>
      <c r="J81" s="215"/>
      <c r="K81" s="216"/>
      <c r="L81" s="63"/>
      <c r="M81" s="303" t="s">
        <v>102</v>
      </c>
      <c r="N81" s="304" t="n">
        <f aca="false">SUM(P64:P80)</f>
        <v>722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112.011562407407</v>
      </c>
      <c r="C82" s="473"/>
      <c r="D82" s="215"/>
      <c r="E82" s="466"/>
      <c r="F82" s="63"/>
      <c r="G82" s="214" t="s">
        <v>103</v>
      </c>
      <c r="H82" s="300" t="n">
        <f aca="false">H81/H29</f>
        <v>29.6041666666667</v>
      </c>
      <c r="I82" s="215"/>
      <c r="J82" s="215"/>
      <c r="K82" s="216"/>
      <c r="L82" s="63"/>
      <c r="M82" s="214" t="s">
        <v>103</v>
      </c>
      <c r="N82" s="300" t="n">
        <f aca="false">N81/H29</f>
        <v>20.0555555555556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319.490633657329</v>
      </c>
      <c r="C83" s="473"/>
      <c r="D83" s="215"/>
      <c r="E83" s="466" t="n">
        <f aca="false">B83+E80+E77+E64</f>
        <v>431.502196064737</v>
      </c>
      <c r="F83" s="63"/>
      <c r="G83" s="305" t="s">
        <v>104</v>
      </c>
      <c r="H83" s="306" t="n">
        <f aca="false">H47</f>
        <v>319.490633657329</v>
      </c>
      <c r="I83" s="215"/>
      <c r="J83" s="215"/>
      <c r="K83" s="216"/>
      <c r="L83" s="63"/>
      <c r="M83" s="305" t="s">
        <v>104</v>
      </c>
      <c r="N83" s="306" t="n">
        <f aca="false">H47</f>
        <v>319.490633657329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((B83*H29)+B81)*1.2</f>
        <v>18640.8948699966</v>
      </c>
      <c r="C85" s="473"/>
      <c r="D85" s="473"/>
      <c r="E85" s="466" t="n">
        <f aca="false">B85/(B58+B57)</f>
        <v>517.802635277684</v>
      </c>
      <c r="F85" s="63"/>
      <c r="G85" s="288" t="s">
        <v>114</v>
      </c>
      <c r="H85" s="131" t="n">
        <f aca="false">((H83*H29)+H81)*1.2</f>
        <v>15080.8953739966</v>
      </c>
      <c r="I85" s="215"/>
      <c r="J85" s="215"/>
      <c r="K85" s="216"/>
      <c r="L85" s="63"/>
      <c r="M85" s="288" t="s">
        <v>114</v>
      </c>
      <c r="N85" s="131" t="n">
        <f aca="false">((N83*H29)+N81)</f>
        <v>12223.6628116639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131.591633814014</v>
      </c>
      <c r="C86" s="473" t="s">
        <v>230</v>
      </c>
      <c r="D86" s="215"/>
      <c r="E86" s="466" t="n">
        <f aca="false">B86/(B58+B57)</f>
        <v>3.65532316150039</v>
      </c>
      <c r="F86" s="63"/>
      <c r="G86" s="214" t="s">
        <v>115</v>
      </c>
      <c r="H86" s="300" t="n">
        <f aca="false">((((H83*H29)+H81))/(1-H70))*H70</f>
        <v>106.460536121396</v>
      </c>
      <c r="I86" s="215"/>
      <c r="J86" s="215"/>
      <c r="K86" s="216"/>
      <c r="L86" s="63"/>
      <c r="M86" s="214" t="s">
        <v>115</v>
      </c>
      <c r="N86" s="300" t="n">
        <f aca="false">(N85/(1-N70))*N70</f>
        <v>103.548575653466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18772.4865038106</v>
      </c>
      <c r="C87" s="473"/>
      <c r="D87" s="475"/>
      <c r="E87" s="466" t="n">
        <f aca="false">E86+E85</f>
        <v>521.457958439184</v>
      </c>
      <c r="F87" s="63"/>
      <c r="G87" s="285" t="s">
        <v>116</v>
      </c>
      <c r="H87" s="133" t="n">
        <f aca="false">IF(H110="YES",((H85+H86)-K114),(H85+H86))</f>
        <v>15187.355910118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12327.2113873173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(I32+(I32*B105))/(B57+B58))*(C45/100)*1.2</f>
        <v>0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0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0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521.457958439184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370.423314880927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300.663692373593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521.457958439184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370.423314880927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300.663692373593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213" t="s">
        <v>343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214" t="s">
        <v>125</v>
      </c>
      <c r="N98" s="215" t="s">
        <v>23</v>
      </c>
      <c r="O98" s="215"/>
      <c r="P98" s="215" t="s">
        <v>286</v>
      </c>
      <c r="Q98" s="216"/>
      <c r="R98" s="63"/>
      <c r="S98" s="63"/>
      <c r="T98" s="63"/>
      <c r="U98" s="63"/>
      <c r="V98" s="63"/>
      <c r="W98" s="63"/>
      <c r="X98" s="63"/>
      <c r="Y98" s="63" t="s">
        <v>264</v>
      </c>
      <c r="Z98" s="63"/>
    </row>
    <row r="99" customFormat="false" ht="18.75" hidden="false" customHeight="true" outlineLevel="0" collapsed="false">
      <c r="A99" s="220" t="s">
        <v>287</v>
      </c>
      <c r="B99" s="312" t="s">
        <v>128</v>
      </c>
      <c r="C99" s="312"/>
      <c r="D99" s="107" t="n">
        <v>1000</v>
      </c>
      <c r="E99" s="107"/>
      <c r="F99" s="63"/>
      <c r="G99" s="220" t="s">
        <v>287</v>
      </c>
      <c r="H99" s="312" t="s">
        <v>266</v>
      </c>
      <c r="I99" s="312"/>
      <c r="J99" s="107" t="n">
        <v>0</v>
      </c>
      <c r="K99" s="107"/>
      <c r="L99" s="63"/>
      <c r="M99" s="220" t="s">
        <v>287</v>
      </c>
      <c r="N99" s="312" t="s">
        <v>266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265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266</v>
      </c>
      <c r="Z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378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214" t="s">
        <v>289</v>
      </c>
      <c r="N101" s="215" t="s">
        <v>290</v>
      </c>
      <c r="O101" s="215"/>
      <c r="P101" s="215" t="s">
        <v>291</v>
      </c>
      <c r="Q101" s="216"/>
      <c r="R101" s="63"/>
      <c r="S101" s="63"/>
      <c r="T101" s="63"/>
      <c r="U101" s="63"/>
      <c r="V101" s="63"/>
      <c r="W101" s="63"/>
      <c r="X101" s="63"/>
      <c r="Y101" s="63" t="s">
        <v>267</v>
      </c>
      <c r="Z101" s="63"/>
    </row>
    <row r="102" customFormat="false" ht="18.75" hidden="false" customHeight="true" outlineLevel="0" collapsed="false">
      <c r="A102" s="313" t="n">
        <v>239.99</v>
      </c>
      <c r="B102" s="107" t="n">
        <v>0</v>
      </c>
      <c r="C102" s="107"/>
      <c r="D102" s="107" t="n">
        <v>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268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269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270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0.2</v>
      </c>
      <c r="C105" s="314"/>
      <c r="D105" s="107" t="n">
        <v>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271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344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217" t="s">
        <v>293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294</v>
      </c>
      <c r="B110" s="222" t="s">
        <v>19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214" t="s">
        <v>294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1200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3600</v>
      </c>
      <c r="E113" s="107" t="n">
        <v>3600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-3600</v>
      </c>
      <c r="E114" s="167" t="n">
        <f aca="false">E112-E113</f>
        <v>-2400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-1200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(E118)+E117-E114</f>
        <v>3639.99</v>
      </c>
      <c r="F119" s="63"/>
      <c r="G119" s="315" t="s">
        <v>295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295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217" t="s">
        <v>296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36</v>
      </c>
      <c r="C125" s="325"/>
      <c r="D125" s="324" t="n">
        <f aca="false">B160</f>
        <v>10000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299</v>
      </c>
      <c r="H126" s="328" t="s">
        <v>300</v>
      </c>
      <c r="I126" s="328"/>
      <c r="J126" s="328" t="s">
        <v>301</v>
      </c>
      <c r="K126" s="216"/>
      <c r="L126" s="63"/>
      <c r="M126" s="327" t="s">
        <v>345</v>
      </c>
      <c r="N126" s="328" t="s">
        <v>253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333" t="n">
        <f aca="false">H90</f>
        <v>370.423314880927</v>
      </c>
      <c r="H127" s="177" t="n">
        <f aca="false">IF(G105="YES", H89*H57, 0)</f>
        <v>0</v>
      </c>
      <c r="I127" s="177"/>
      <c r="J127" s="334" t="n">
        <f aca="false">H91</f>
        <v>370.423314880927</v>
      </c>
      <c r="K127" s="216"/>
      <c r="L127" s="63"/>
      <c r="M127" s="333" t="n">
        <f aca="false">N90</f>
        <v>300.663692373593</v>
      </c>
      <c r="N127" s="177" t="n">
        <f aca="false">IF(M105="YES", N89*N57, 0)</f>
        <v>0</v>
      </c>
      <c r="O127" s="177"/>
      <c r="P127" s="177" t="n">
        <f aca="false">N91</f>
        <v>300.663692373593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521.457958439184</v>
      </c>
      <c r="B128" s="321" t="n">
        <f aca="false">IF(A105="YES", B89, 0)</f>
        <v>0</v>
      </c>
      <c r="C128" s="325"/>
      <c r="D128" s="321" t="n">
        <f aca="false">B91</f>
        <v>521.457958439184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228" t="n">
        <f aca="false">G152</f>
        <v>36</v>
      </c>
      <c r="H130" s="229" t="n">
        <f aca="false">B151</f>
        <v>0</v>
      </c>
      <c r="I130" s="230"/>
      <c r="J130" s="229" t="n">
        <f aca="false">B58</f>
        <v>35</v>
      </c>
      <c r="K130" s="216"/>
      <c r="L130" s="63"/>
      <c r="M130" s="228" t="n">
        <f aca="false">M155</f>
        <v>36</v>
      </c>
      <c r="N130" s="229" t="n">
        <f aca="false">B151</f>
        <v>0</v>
      </c>
      <c r="O130" s="230"/>
      <c r="P130" s="229" t="n">
        <f aca="false">B58</f>
        <v>35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521.457958439184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214" t="s">
        <v>346</v>
      </c>
      <c r="N132" s="215" t="s">
        <v>242</v>
      </c>
      <c r="O132" s="215"/>
      <c r="P132" s="215" t="s">
        <v>246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2222.53988928556</v>
      </c>
      <c r="H133" s="103" t="n">
        <f aca="false">IF(G105="YES", H89*H57, 0)</f>
        <v>0</v>
      </c>
      <c r="I133" s="221"/>
      <c r="J133" s="184" t="n">
        <f aca="false">H91*H57</f>
        <v>2222.53988928556</v>
      </c>
      <c r="K133" s="216"/>
      <c r="L133" s="63"/>
      <c r="M133" s="185" t="n">
        <f aca="false">N90*N57</f>
        <v>1803.98215424156</v>
      </c>
      <c r="N133" s="103" t="n">
        <f aca="false">IF(M105="YES", N89*N57, 0)</f>
        <v>0</v>
      </c>
      <c r="O133" s="221"/>
      <c r="P133" s="184" t="n">
        <f aca="false">N91*N57</f>
        <v>1803.98215424156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521.457958439184</v>
      </c>
      <c r="B134" s="38" t="n">
        <f aca="false">E114</f>
        <v>-2400</v>
      </c>
      <c r="C134" s="317"/>
      <c r="D134" s="337" t="n">
        <f aca="false">B58</f>
        <v>35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214" t="s">
        <v>255</v>
      </c>
      <c r="N135" s="215" t="s">
        <v>256</v>
      </c>
      <c r="O135" s="215"/>
      <c r="P135" s="215" t="s">
        <v>260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521.457958439184</v>
      </c>
      <c r="B137" s="38" t="n">
        <f aca="false">IF(A105="YES", B89, 0)</f>
        <v>0</v>
      </c>
      <c r="C137" s="317"/>
      <c r="D137" s="38" t="n">
        <f aca="false">B91</f>
        <v>521.457958439184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214" t="s">
        <v>139</v>
      </c>
      <c r="N138" s="215" t="s">
        <v>313</v>
      </c>
      <c r="O138" s="215"/>
      <c r="P138" s="215" t="s">
        <v>314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29.17872</v>
      </c>
      <c r="B140" s="343" t="n">
        <f aca="false">IF(A105="YES", B61*0.000002, 0)*1.2*100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214" t="s">
        <v>316</v>
      </c>
      <c r="N141" s="215" t="s">
        <v>317</v>
      </c>
      <c r="O141" s="215"/>
      <c r="P141" s="215" t="s">
        <v>318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e">
        <f aca="false">IF(G105="YES", ((B36*H105)*0.1)*(G130), 0)</f>
        <v>#VALUE!</v>
      </c>
      <c r="H142" s="103" t="n">
        <f aca="false">G102-100</f>
        <v>99.99</v>
      </c>
      <c r="I142" s="103"/>
      <c r="J142" s="103" t="e">
        <f aca="false">(H139+J139+G142+H142)-H145</f>
        <v>#VALUE!</v>
      </c>
      <c r="K142" s="105"/>
      <c r="L142" s="63"/>
      <c r="M142" s="111" t="e">
        <f aca="false">IF(M105="YES", ((B36*N105)*0.1)*(M130), 0)</f>
        <v>#VALUE!</v>
      </c>
      <c r="N142" s="103" t="n">
        <f aca="false">M102-100</f>
        <v>99.99</v>
      </c>
      <c r="O142" s="103"/>
      <c r="P142" s="103" t="e">
        <f aca="false">(N139+P139+M142+N142)-N145</f>
        <v>#VALUE!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239.99</v>
      </c>
      <c r="C143" s="317"/>
      <c r="D143" s="151" t="n">
        <f aca="false">B102</f>
        <v>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214" t="s">
        <v>320</v>
      </c>
      <c r="N144" s="215" t="s">
        <v>321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#VALUE!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#VALUE!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347</v>
      </c>
      <c r="N147" s="166" t="s">
        <v>348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228.99996</v>
      </c>
      <c r="B148" s="103" t="n">
        <f aca="false">B102</f>
        <v>0</v>
      </c>
      <c r="C148" s="38"/>
      <c r="D148" s="38" t="n">
        <f aca="false">IF(A105="YES", (B40*B105)*B125, 0)*0.1</f>
        <v>0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E118/1.2-100</f>
        <v>99.9916666666667</v>
      </c>
      <c r="B151" s="38" t="n">
        <f aca="false">(A148+B148+D148+A151)*(A143/B64)</f>
        <v>0</v>
      </c>
      <c r="C151" s="38"/>
      <c r="D151" s="38" t="n">
        <f aca="false">(A148+B148+D148+A151)-B151</f>
        <v>328.991626666667</v>
      </c>
      <c r="E151" s="105"/>
      <c r="F151" s="63"/>
      <c r="G151" s="250"/>
      <c r="H151" s="252" t="n">
        <f aca="false">B51</f>
        <v>10000</v>
      </c>
      <c r="I151" s="252"/>
      <c r="J151" s="215"/>
      <c r="K151" s="216"/>
      <c r="L151" s="63"/>
      <c r="M151" s="281" t="s">
        <v>326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36</v>
      </c>
      <c r="H152" s="74" t="n">
        <f aca="false">H91</f>
        <v>370.423314880927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10000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36</v>
      </c>
      <c r="N155" s="74" t="n">
        <f aca="false">N91</f>
        <v>300.663692373593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10000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36</v>
      </c>
      <c r="B161" s="74" t="n">
        <f aca="false">B91</f>
        <v>521.457958439184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24" t="n">
        <f aca="false">A161</f>
        <v>36</v>
      </c>
      <c r="C174" s="357"/>
      <c r="D174" s="324" t="n">
        <f aca="false">D125</f>
        <v>10000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521.457958439184</v>
      </c>
      <c r="B177" s="355" t="n">
        <f aca="false">IF(A105="YES", B89, 0)</f>
        <v>0</v>
      </c>
      <c r="C177" s="357"/>
      <c r="D177" s="355" t="n">
        <f aca="false">B91</f>
        <v>521.457958439184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521.457958439184</v>
      </c>
      <c r="C180" s="353"/>
      <c r="D180" s="103" t="n">
        <f aca="false">IF(A105="YES", B89*B57,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521.457958439184</v>
      </c>
      <c r="B183" s="103" t="n">
        <f aca="false">E114</f>
        <v>-2400</v>
      </c>
      <c r="C183" s="353"/>
      <c r="D183" s="361" t="n">
        <f aca="false">B58</f>
        <v>35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521.457958439184</v>
      </c>
      <c r="B186" s="103" t="n">
        <f aca="false">IF(A105="YES", B89, 0)</f>
        <v>0</v>
      </c>
      <c r="C186" s="353"/>
      <c r="D186" s="103" t="n">
        <f aca="false">B91</f>
        <v>521.457958439184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29.17872</v>
      </c>
      <c r="B189" s="365" t="n">
        <f aca="false">B140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239.99</v>
      </c>
      <c r="C192" s="353"/>
      <c r="D192" s="151" t="n">
        <f aca="false">B102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228.99996</v>
      </c>
      <c r="B197" s="103" t="n">
        <f aca="false">B102</f>
        <v>0</v>
      </c>
      <c r="C197" s="103"/>
      <c r="D197" s="103" t="n">
        <f aca="false">IF(A105="YES", (B40*B105)*B125,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E118/1.2-100</f>
        <v>99.9916666666667</v>
      </c>
      <c r="B200" s="103" t="n">
        <f aca="false">(A148+B148+D148+A151)*(A143/B64)</f>
        <v>0</v>
      </c>
      <c r="C200" s="103"/>
      <c r="D200" s="103" t="n">
        <f aca="false">(A148+B148+D148+A151)-B151</f>
        <v>328.991626666667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D64</f>
        <v>2404.49958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228.99996</v>
      </c>
      <c r="C211" s="320" t="s">
        <v>217</v>
      </c>
      <c r="D211" s="370" t="n">
        <f aca="false">B225+E221+B221+B223</f>
        <v>99.9916666666667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2275.49128666667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2404.49958</v>
      </c>
      <c r="C217" s="375" t="s">
        <v>221</v>
      </c>
      <c r="D217" s="317"/>
      <c r="E217" s="376" t="n">
        <f aca="false">B66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228.99996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(B77-(B77*(E219*100)))*0.1</f>
        <v>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B78-(B78*(E219*100))</f>
        <v>0</v>
      </c>
      <c r="C223" s="336" t="s">
        <v>218</v>
      </c>
      <c r="D223" s="317"/>
      <c r="E223" s="33" t="n">
        <f aca="false">(B217-B211+D211)</f>
        <v>2275.49128666667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200</v>
      </c>
      <c r="C229" s="336" t="s">
        <v>226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380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131.591633814014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200</v>
      </c>
      <c r="C233" s="382" t="s">
        <v>333</v>
      </c>
      <c r="D233" s="383"/>
      <c r="E233" s="149" t="n">
        <f aca="false">B74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200</v>
      </c>
      <c r="C235" s="386" t="s">
        <v>334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43" colorId="64" zoomScale="85" zoomScaleNormal="85" zoomScalePageLayoutView="100" workbookViewId="0">
      <selection pane="topLeft" activeCell="B64" activeCellId="0" sqref="B64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19083.33</v>
      </c>
      <c r="C2" s="4" t="s">
        <v>2</v>
      </c>
      <c r="D2" s="5" t="n">
        <f aca="false">C9</f>
        <v>3816.666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22899.996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19083.33</v>
      </c>
      <c r="C9" s="14" t="n">
        <f aca="false">B9*0.2</f>
        <v>3816.666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19083.33</v>
      </c>
      <c r="C15" s="14" t="n">
        <f aca="false">SUM(C9:C13)</f>
        <v>3816.666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22899.996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19083.33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19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36</v>
      </c>
      <c r="I29" s="387"/>
      <c r="J29" s="63"/>
      <c r="K29" s="63" t="n">
        <v>35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349</v>
      </c>
      <c r="C30" s="172"/>
      <c r="D30" s="215"/>
      <c r="E30" s="216"/>
      <c r="F30" s="63"/>
      <c r="G30" s="218" t="s">
        <v>32</v>
      </c>
      <c r="H30" s="457" t="n">
        <v>10000</v>
      </c>
      <c r="I30" s="63"/>
      <c r="J30" s="63"/>
      <c r="K30" s="63" t="n">
        <v>35000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f aca="false">10575*1.2</f>
        <v>12690</v>
      </c>
      <c r="I31" s="63"/>
      <c r="J31" s="63"/>
      <c r="K31" s="63" t="n">
        <v>80000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0</v>
      </c>
      <c r="J32" s="63"/>
      <c r="K32" s="63" t="n">
        <v>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36</v>
      </c>
      <c r="B33" s="229" t="n">
        <v>10000</v>
      </c>
      <c r="C33" s="230"/>
      <c r="D33" s="459" t="n">
        <f aca="false">H48</f>
        <v>319.490633657329</v>
      </c>
      <c r="E33" s="216"/>
      <c r="F33" s="63"/>
      <c r="G33" s="219" t="s">
        <v>356</v>
      </c>
      <c r="H33" s="460" t="n">
        <f aca="false">E21-E11</f>
        <v>19083.33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36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319.490633657329</v>
      </c>
      <c r="B36" s="103" t="str">
        <f aca="false">IF(B26="YES", H42, "")</f>
        <v/>
      </c>
      <c r="C36" s="221"/>
      <c r="D36" s="184" t="n">
        <f aca="false">H31</f>
        <v>12690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19083.33</v>
      </c>
      <c r="I39" s="238" t="n">
        <f aca="false">(I48*H46)+H44</f>
        <v>54337.6373161703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12690</v>
      </c>
      <c r="B40" s="107" t="str">
        <f aca="false">IF(B26="YES",H42,"0")</f>
        <v>0</v>
      </c>
      <c r="C40" s="107"/>
      <c r="D40" s="184" t="n">
        <f aca="false">I32</f>
        <v>0</v>
      </c>
      <c r="E40" s="216"/>
      <c r="F40" s="63"/>
      <c r="G40" s="63" t="s">
        <v>106</v>
      </c>
      <c r="H40" s="238" t="n">
        <f aca="false">A40/1.2</f>
        <v>10575</v>
      </c>
      <c r="I40" s="238" t="n">
        <f aca="false">H39-I39</f>
        <v>-35254.3073161703</v>
      </c>
      <c r="J40" s="63" t="n">
        <v>0</v>
      </c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0.00541666666666667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8659.15290867306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</v>
      </c>
      <c r="B45" s="215"/>
      <c r="C45" s="463" t="n">
        <v>100</v>
      </c>
      <c r="D45" s="463"/>
      <c r="E45" s="216"/>
      <c r="F45" s="63"/>
      <c r="G45" s="63" t="s">
        <v>374</v>
      </c>
      <c r="H45" s="238" t="n">
        <f aca="false">(H39-H44)</f>
        <v>10424.1770913269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32.627488862498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319.490633657329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319.490633657329</v>
      </c>
      <c r="I48" s="238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10000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36</v>
      </c>
      <c r="B52" s="74" t="n">
        <f aca="false">H48</f>
        <v>319.490633657329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6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35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35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35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376</v>
      </c>
      <c r="B60" s="215" t="n">
        <f aca="false">E19</f>
        <v>22899.996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40526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292" t="s">
        <v>278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B62+(B62*0.25*((H29/12)-1))</f>
        <v>0.105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0.105</v>
      </c>
      <c r="I63" s="215"/>
      <c r="J63" s="215"/>
      <c r="K63" s="216"/>
      <c r="L63" s="63"/>
      <c r="M63" s="214" t="s">
        <v>279</v>
      </c>
      <c r="N63" s="294" t="n">
        <f aca="false">N62+(N62*0.25*(H29/12-1))</f>
        <v>0.105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2404.49958</v>
      </c>
      <c r="C64" s="465" t="n">
        <v>10000</v>
      </c>
      <c r="D64" s="291" t="n">
        <f aca="false">B64</f>
        <v>2404.49958</v>
      </c>
      <c r="E64" s="466" t="n">
        <f aca="false">D64/(B58+B57)</f>
        <v>58.6463312195122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0.02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0.02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228.99996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180</v>
      </c>
      <c r="C73" s="215"/>
      <c r="D73" s="472" t="n">
        <f aca="false">B73+B71</f>
        <v>380</v>
      </c>
      <c r="E73" s="216" t="s">
        <v>227</v>
      </c>
      <c r="F73" s="63"/>
      <c r="G73" s="285" t="s">
        <v>99</v>
      </c>
      <c r="H73" s="133" t="n">
        <f aca="false">H72*H29</f>
        <v>162</v>
      </c>
      <c r="I73" s="215"/>
      <c r="J73" s="291" t="n">
        <f aca="false">H73+H71</f>
        <v>322</v>
      </c>
      <c r="K73" s="216"/>
      <c r="L73" s="63"/>
      <c r="M73" s="285" t="s">
        <v>99</v>
      </c>
      <c r="N73" s="133" t="n">
        <f aca="false">N72*H29</f>
        <v>162</v>
      </c>
      <c r="O73" s="215"/>
      <c r="P73" s="291" t="n">
        <f aca="false">N73+N71</f>
        <v>322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275</v>
      </c>
      <c r="C74" s="215"/>
      <c r="D74" s="215"/>
      <c r="E74" s="216"/>
      <c r="F74" s="63"/>
      <c r="G74" s="292" t="s">
        <v>280</v>
      </c>
      <c r="H74" s="298" t="n">
        <v>165</v>
      </c>
      <c r="I74" s="215"/>
      <c r="J74" s="215"/>
      <c r="K74" s="216"/>
      <c r="L74" s="63"/>
      <c r="M74" s="431" t="s">
        <v>280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</v>
      </c>
      <c r="C75" s="215"/>
      <c r="D75" s="215"/>
      <c r="E75" s="216"/>
      <c r="F75" s="63"/>
      <c r="G75" s="295" t="s">
        <v>281</v>
      </c>
      <c r="H75" s="299" t="n">
        <v>0</v>
      </c>
      <c r="I75" s="215"/>
      <c r="J75" s="215"/>
      <c r="K75" s="216"/>
      <c r="L75" s="63"/>
      <c r="M75" s="433" t="s">
        <v>281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((B74+B75)/12)*(H29+1)</f>
        <v>847.916666666667</v>
      </c>
      <c r="C76" s="215"/>
      <c r="D76" s="291" t="n">
        <f aca="false">B76</f>
        <v>847.916666666667</v>
      </c>
      <c r="E76" s="216"/>
      <c r="F76" s="63"/>
      <c r="G76" s="285" t="s">
        <v>282</v>
      </c>
      <c r="H76" s="133" t="n">
        <f aca="false">((H74+H75)/12)*(H29-11)</f>
        <v>343.75</v>
      </c>
      <c r="I76" s="215"/>
      <c r="J76" s="291" t="n">
        <f aca="false">H76</f>
        <v>343.75</v>
      </c>
      <c r="K76" s="216"/>
      <c r="L76" s="63"/>
      <c r="M76" s="435" t="s">
        <v>282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283</v>
      </c>
      <c r="B77" s="131" t="n">
        <f aca="false">B102/(1-0.1)</f>
        <v>0</v>
      </c>
      <c r="C77" s="473"/>
      <c r="D77" s="291" t="n">
        <f aca="false">B77</f>
        <v>0</v>
      </c>
      <c r="E77" s="466" t="n">
        <f aca="false">D77/(B58+B57)</f>
        <v>0</v>
      </c>
      <c r="F77" s="63"/>
      <c r="G77" s="292" t="s">
        <v>283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283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0</v>
      </c>
      <c r="C78" s="473"/>
      <c r="D78" s="291" t="n">
        <f aca="false">B78</f>
        <v>0</v>
      </c>
      <c r="E78" s="466"/>
      <c r="F78" s="63"/>
      <c r="G78" s="214" t="s">
        <v>284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284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473"/>
      <c r="D79" s="291" t="n">
        <f aca="false">B79</f>
        <v>200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473"/>
      <c r="D80" s="291" t="n">
        <f aca="false">B80</f>
        <v>200</v>
      </c>
      <c r="E80" s="466" t="n">
        <f aca="false">(D73+D76+D79+D80)/(B58+B57)</f>
        <v>39.7052845528455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4032.41624666667</v>
      </c>
      <c r="C81" s="473"/>
      <c r="D81" s="474"/>
      <c r="E81" s="466"/>
      <c r="F81" s="63"/>
      <c r="G81" s="303" t="s">
        <v>102</v>
      </c>
      <c r="H81" s="304" t="n">
        <f aca="false">SUM(J64:J80)</f>
        <v>1065.75</v>
      </c>
      <c r="I81" s="215"/>
      <c r="J81" s="215"/>
      <c r="K81" s="216"/>
      <c r="L81" s="63"/>
      <c r="M81" s="303" t="s">
        <v>102</v>
      </c>
      <c r="N81" s="304" t="n">
        <f aca="false">SUM(P64:P80)</f>
        <v>722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112.011562407407</v>
      </c>
      <c r="C82" s="473"/>
      <c r="D82" s="215"/>
      <c r="E82" s="466"/>
      <c r="F82" s="63"/>
      <c r="G82" s="214" t="s">
        <v>103</v>
      </c>
      <c r="H82" s="300" t="n">
        <f aca="false">H81/H29</f>
        <v>29.6041666666667</v>
      </c>
      <c r="I82" s="215"/>
      <c r="J82" s="215"/>
      <c r="K82" s="216"/>
      <c r="L82" s="63"/>
      <c r="M82" s="214" t="s">
        <v>103</v>
      </c>
      <c r="N82" s="300" t="n">
        <f aca="false">N81/H29</f>
        <v>20.0555555555556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319.490633657329</v>
      </c>
      <c r="C83" s="473"/>
      <c r="D83" s="215"/>
      <c r="E83" s="466" t="n">
        <f aca="false">B83+E80+E77+E64</f>
        <v>417.842249429687</v>
      </c>
      <c r="F83" s="63"/>
      <c r="G83" s="305" t="s">
        <v>104</v>
      </c>
      <c r="H83" s="306" t="n">
        <f aca="false">H47</f>
        <v>319.490633657329</v>
      </c>
      <c r="I83" s="215"/>
      <c r="J83" s="215"/>
      <c r="K83" s="216"/>
      <c r="L83" s="63"/>
      <c r="M83" s="305" t="s">
        <v>104</v>
      </c>
      <c r="N83" s="306" t="n">
        <f aca="false">H47</f>
        <v>319.490633657329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15534.0790583305</v>
      </c>
      <c r="C85" s="473"/>
      <c r="D85" s="473"/>
      <c r="E85" s="466" t="n">
        <f aca="false">B85/(B58+B57)</f>
        <v>378.879977032452</v>
      </c>
      <c r="F85" s="63"/>
      <c r="G85" s="288" t="s">
        <v>114</v>
      </c>
      <c r="H85" s="131" t="n">
        <f aca="false">((H83*H29)+H81)*1.2</f>
        <v>15080.8953739966</v>
      </c>
      <c r="I85" s="215"/>
      <c r="J85" s="215"/>
      <c r="K85" s="216"/>
      <c r="L85" s="63"/>
      <c r="M85" s="288" t="s">
        <v>114</v>
      </c>
      <c r="N85" s="131" t="n">
        <f aca="false">((N83*H29)+N81)</f>
        <v>12223.6628116639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131.591633814014</v>
      </c>
      <c r="C86" s="473" t="s">
        <v>230</v>
      </c>
      <c r="D86" s="215"/>
      <c r="E86" s="466" t="n">
        <f aca="false">B86/(B58+B57)</f>
        <v>3.20955204424425</v>
      </c>
      <c r="F86" s="63"/>
      <c r="G86" s="214" t="s">
        <v>115</v>
      </c>
      <c r="H86" s="300" t="n">
        <f aca="false">((((H83*H29)+H81))/(1-H70))*H70</f>
        <v>106.460536121396</v>
      </c>
      <c r="I86" s="215"/>
      <c r="J86" s="215"/>
      <c r="K86" s="216"/>
      <c r="L86" s="63"/>
      <c r="M86" s="214" t="s">
        <v>115</v>
      </c>
      <c r="N86" s="300" t="n">
        <f aca="false">(N85/(1-N70))*N70</f>
        <v>103.548575653466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15665.6706921445</v>
      </c>
      <c r="C87" s="473"/>
      <c r="D87" s="475"/>
      <c r="E87" s="466" t="n">
        <f aca="false">E86+E85</f>
        <v>382.089529076696</v>
      </c>
      <c r="F87" s="63"/>
      <c r="G87" s="285" t="s">
        <v>116</v>
      </c>
      <c r="H87" s="133" t="n">
        <f aca="false">IF(H110="YES",((H85+H86)-K114),(H85+H86))</f>
        <v>15187.355910118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12327.2113873173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</f>
        <v>0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0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0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382.089529076696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370.423314880927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300.663692373593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382.089529076696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370.423314880927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300.663692373593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213" t="s">
        <v>343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214" t="s">
        <v>125</v>
      </c>
      <c r="N98" s="215" t="s">
        <v>23</v>
      </c>
      <c r="O98" s="215"/>
      <c r="P98" s="215" t="s">
        <v>286</v>
      </c>
      <c r="Q98" s="216"/>
      <c r="R98" s="63"/>
      <c r="S98" s="63"/>
      <c r="T98" s="63"/>
      <c r="U98" s="63"/>
      <c r="V98" s="63"/>
      <c r="W98" s="63"/>
      <c r="X98" s="63"/>
      <c r="Y98" s="63" t="s">
        <v>264</v>
      </c>
      <c r="Z98" s="63"/>
    </row>
    <row r="99" customFormat="false" ht="18.75" hidden="false" customHeight="true" outlineLevel="0" collapsed="false">
      <c r="A99" s="220" t="s">
        <v>287</v>
      </c>
      <c r="B99" s="312" t="s">
        <v>266</v>
      </c>
      <c r="C99" s="312"/>
      <c r="D99" s="107" t="n">
        <v>1000</v>
      </c>
      <c r="E99" s="107"/>
      <c r="F99" s="63"/>
      <c r="G99" s="220" t="s">
        <v>287</v>
      </c>
      <c r="H99" s="312" t="s">
        <v>266</v>
      </c>
      <c r="I99" s="312"/>
      <c r="J99" s="107" t="n">
        <v>0</v>
      </c>
      <c r="K99" s="107"/>
      <c r="L99" s="63"/>
      <c r="M99" s="220" t="s">
        <v>287</v>
      </c>
      <c r="N99" s="312" t="s">
        <v>266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265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266</v>
      </c>
      <c r="Z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378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214" t="s">
        <v>289</v>
      </c>
      <c r="N101" s="215" t="s">
        <v>290</v>
      </c>
      <c r="O101" s="215"/>
      <c r="P101" s="215" t="s">
        <v>291</v>
      </c>
      <c r="Q101" s="216"/>
      <c r="R101" s="63"/>
      <c r="S101" s="63"/>
      <c r="T101" s="63"/>
      <c r="U101" s="63"/>
      <c r="V101" s="63"/>
      <c r="W101" s="63"/>
      <c r="X101" s="63"/>
      <c r="Y101" s="63" t="s">
        <v>267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0</v>
      </c>
      <c r="C102" s="107"/>
      <c r="D102" s="107" t="n">
        <v>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268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269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270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0.2</v>
      </c>
      <c r="C105" s="314"/>
      <c r="D105" s="107" t="n">
        <v>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271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344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217" t="s">
        <v>293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294</v>
      </c>
      <c r="B110" s="222" t="s">
        <v>19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214" t="s">
        <v>294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1200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3600</v>
      </c>
      <c r="E113" s="107" t="n">
        <v>3600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-3600</v>
      </c>
      <c r="E114" s="167" t="n">
        <f aca="false">E112-E113</f>
        <v>-2400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-1200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(E118*1.2)+E117-E114</f>
        <v>3639.988</v>
      </c>
      <c r="F119" s="63"/>
      <c r="G119" s="315" t="s">
        <v>295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295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217" t="s">
        <v>296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36</v>
      </c>
      <c r="C125" s="325"/>
      <c r="D125" s="324" t="n">
        <f aca="false">B160</f>
        <v>10000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299</v>
      </c>
      <c r="H126" s="328" t="s">
        <v>300</v>
      </c>
      <c r="I126" s="328"/>
      <c r="J126" s="328" t="s">
        <v>301</v>
      </c>
      <c r="K126" s="216"/>
      <c r="L126" s="63"/>
      <c r="M126" s="327" t="s">
        <v>345</v>
      </c>
      <c r="N126" s="328" t="s">
        <v>253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333" t="n">
        <f aca="false">H90</f>
        <v>370.423314880927</v>
      </c>
      <c r="H127" s="177" t="n">
        <f aca="false">IF(G105="YES", H89*H57, 0)</f>
        <v>0</v>
      </c>
      <c r="I127" s="177"/>
      <c r="J127" s="334" t="n">
        <f aca="false">H91</f>
        <v>370.423314880927</v>
      </c>
      <c r="K127" s="216"/>
      <c r="L127" s="63"/>
      <c r="M127" s="333" t="n">
        <f aca="false">N90</f>
        <v>300.663692373593</v>
      </c>
      <c r="N127" s="177" t="n">
        <f aca="false">IF(M105="YES", N89*N57, 0)</f>
        <v>0</v>
      </c>
      <c r="O127" s="177"/>
      <c r="P127" s="177" t="n">
        <f aca="false">N91</f>
        <v>300.663692373593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382.089529076696</v>
      </c>
      <c r="B128" s="321" t="n">
        <f aca="false">IF(A105="YES", B89, 0)</f>
        <v>0</v>
      </c>
      <c r="C128" s="325"/>
      <c r="D128" s="321" t="n">
        <f aca="false">B91</f>
        <v>382.089529076696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228" t="n">
        <f aca="false">G152</f>
        <v>36</v>
      </c>
      <c r="H130" s="229" t="n">
        <f aca="false">B151</f>
        <v>0</v>
      </c>
      <c r="I130" s="230"/>
      <c r="J130" s="229" t="n">
        <f aca="false">B58</f>
        <v>35</v>
      </c>
      <c r="K130" s="216"/>
      <c r="L130" s="63"/>
      <c r="M130" s="228" t="n">
        <f aca="false">M155</f>
        <v>36</v>
      </c>
      <c r="N130" s="229" t="n">
        <f aca="false">B151</f>
        <v>0</v>
      </c>
      <c r="O130" s="230"/>
      <c r="P130" s="229" t="n">
        <f aca="false">B58</f>
        <v>35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Spread rentals with 6 down </v>
      </c>
      <c r="B131" s="38" t="n">
        <f aca="false">B90*B57</f>
        <v>2292.53717446018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214" t="s">
        <v>346</v>
      </c>
      <c r="N132" s="215" t="s">
        <v>242</v>
      </c>
      <c r="O132" s="215"/>
      <c r="P132" s="215" t="s">
        <v>246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2222.53988928556</v>
      </c>
      <c r="H133" s="103" t="n">
        <f aca="false">IF(G105="YES", H89*H57, 0)</f>
        <v>0</v>
      </c>
      <c r="I133" s="221"/>
      <c r="J133" s="184" t="n">
        <f aca="false">H91*H57</f>
        <v>2222.53988928556</v>
      </c>
      <c r="K133" s="216"/>
      <c r="L133" s="63"/>
      <c r="M133" s="185" t="n">
        <f aca="false">N90*N57</f>
        <v>1803.98215424156</v>
      </c>
      <c r="N133" s="103" t="n">
        <f aca="false">IF(M105="YES", N89*N57, 0)</f>
        <v>0</v>
      </c>
      <c r="O133" s="221"/>
      <c r="P133" s="184" t="n">
        <f aca="false">N91*N57</f>
        <v>1803.98215424156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2292.53717446018</v>
      </c>
      <c r="B134" s="38" t="n">
        <f aca="false">E114</f>
        <v>-2400</v>
      </c>
      <c r="C134" s="317"/>
      <c r="D134" s="337" t="n">
        <f aca="false">B58</f>
        <v>35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214" t="s">
        <v>255</v>
      </c>
      <c r="N135" s="215" t="s">
        <v>256</v>
      </c>
      <c r="O135" s="215"/>
      <c r="P135" s="215" t="s">
        <v>260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382.089529076696</v>
      </c>
      <c r="B137" s="38" t="n">
        <f aca="false">IF(A105="YES", B89, 0)</f>
        <v>0</v>
      </c>
      <c r="C137" s="317"/>
      <c r="D137" s="38" t="n">
        <f aca="false">B91</f>
        <v>382.089529076696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214" t="s">
        <v>139</v>
      </c>
      <c r="N138" s="215" t="s">
        <v>313</v>
      </c>
      <c r="O138" s="215"/>
      <c r="P138" s="215" t="s">
        <v>314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29.17872</v>
      </c>
      <c r="B140" s="343" t="n">
        <f aca="false">IF(A105="YES", B61*0.000002, 0)*1.2*100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214" t="s">
        <v>316</v>
      </c>
      <c r="N141" s="215" t="s">
        <v>317</v>
      </c>
      <c r="O141" s="215"/>
      <c r="P141" s="215" t="s">
        <v>318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e">
        <f aca="false">IF(G105="YES", ((B36*H105)*0.1)*(G130), 0)</f>
        <v>#VALUE!</v>
      </c>
      <c r="H142" s="103" t="n">
        <f aca="false">G102-100</f>
        <v>99.99</v>
      </c>
      <c r="I142" s="103"/>
      <c r="J142" s="103" t="e">
        <f aca="false">(H139+J139+G142+H142)-H145</f>
        <v>#VALUE!</v>
      </c>
      <c r="K142" s="105"/>
      <c r="L142" s="63"/>
      <c r="M142" s="111" t="e">
        <f aca="false">IF(M105="YES", ((B36*N105)*0.1)*(M130), 0)</f>
        <v>#VALUE!</v>
      </c>
      <c r="N142" s="103" t="n">
        <f aca="false">M102-100</f>
        <v>99.99</v>
      </c>
      <c r="O142" s="103"/>
      <c r="P142" s="103" t="e">
        <f aca="false">(N139+P139+M142+N142)-N145</f>
        <v>#VALUE!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214" t="s">
        <v>320</v>
      </c>
      <c r="N144" s="215" t="s">
        <v>321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#VALUE!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#VALUE!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347</v>
      </c>
      <c r="N147" s="166" t="s">
        <v>348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228.99996</v>
      </c>
      <c r="B148" s="103" t="n">
        <f aca="false">B102</f>
        <v>0</v>
      </c>
      <c r="C148" s="38"/>
      <c r="D148" s="38" t="n">
        <f aca="false">IF(A105="YES", (B40*B105)*B125, 0)*0.1</f>
        <v>0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328.98996</v>
      </c>
      <c r="E151" s="105"/>
      <c r="F151" s="63"/>
      <c r="G151" s="250"/>
      <c r="H151" s="252" t="n">
        <f aca="false">B51</f>
        <v>10000</v>
      </c>
      <c r="I151" s="252"/>
      <c r="J151" s="215"/>
      <c r="K151" s="216"/>
      <c r="L151" s="63"/>
      <c r="M151" s="281" t="s">
        <v>326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36</v>
      </c>
      <c r="H152" s="74" t="n">
        <f aca="false">H91</f>
        <v>370.423314880927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10000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36</v>
      </c>
      <c r="N155" s="74" t="n">
        <f aca="false">N91</f>
        <v>300.663692373593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10000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36</v>
      </c>
      <c r="B161" s="74" t="n">
        <f aca="false">B91</f>
        <v>382.089529076696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24" t="n">
        <f aca="false">A161</f>
        <v>36</v>
      </c>
      <c r="C174" s="357"/>
      <c r="D174" s="324" t="n">
        <f aca="false">D125</f>
        <v>10000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382.089529076696</v>
      </c>
      <c r="B177" s="355" t="n">
        <f aca="false">IF(A105="YES", B89, 0)</f>
        <v>0</v>
      </c>
      <c r="C177" s="357"/>
      <c r="D177" s="355" t="n">
        <f aca="false">B91</f>
        <v>382.089529076696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Spread rentals with 6 down </v>
      </c>
      <c r="B180" s="103" t="n">
        <f aca="false">B90*B57</f>
        <v>2292.53717446018</v>
      </c>
      <c r="C180" s="353"/>
      <c r="D180" s="103" t="n">
        <f aca="false">IF(A105="YES", B89*B57,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2292.53717446018</v>
      </c>
      <c r="B183" s="103" t="n">
        <f aca="false">E114</f>
        <v>-2400</v>
      </c>
      <c r="C183" s="353"/>
      <c r="D183" s="361" t="n">
        <f aca="false">B58</f>
        <v>35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382.089529076696</v>
      </c>
      <c r="B186" s="103" t="n">
        <f aca="false">IF(A105="YES", B89, 0)</f>
        <v>0</v>
      </c>
      <c r="C186" s="353"/>
      <c r="D186" s="103" t="n">
        <f aca="false">B91</f>
        <v>382.089529076696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29.17872</v>
      </c>
      <c r="B189" s="365" t="n">
        <f aca="false">B140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228.99996</v>
      </c>
      <c r="B197" s="103" t="n">
        <f aca="false">B102</f>
        <v>0</v>
      </c>
      <c r="C197" s="103"/>
      <c r="D197" s="103" t="n">
        <f aca="false">IF(A105="YES", (B40*B105)*B125,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328.98996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D64</f>
        <v>2404.49958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228.99996</v>
      </c>
      <c r="C211" s="320" t="s">
        <v>217</v>
      </c>
      <c r="D211" s="370" t="n">
        <f aca="false">B225+E221+B221+B223</f>
        <v>99.99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2275.48962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2404.49958</v>
      </c>
      <c r="C217" s="375" t="s">
        <v>221</v>
      </c>
      <c r="D217" s="317"/>
      <c r="E217" s="376" t="n">
        <f aca="false">B66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228.99996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(B77-(B77*(E219*100)))*0.1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B78-(B78*(E219*100))</f>
        <v>0</v>
      </c>
      <c r="C223" s="336" t="s">
        <v>218</v>
      </c>
      <c r="D223" s="317"/>
      <c r="E223" s="33" t="n">
        <f aca="false">(B217-B211+D211)</f>
        <v>2275.48962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200</v>
      </c>
      <c r="C229" s="336" t="s">
        <v>226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380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131.591633814014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200</v>
      </c>
      <c r="C233" s="382" t="s">
        <v>333</v>
      </c>
      <c r="D233" s="383"/>
      <c r="E233" s="149" t="n">
        <f aca="false">B74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200</v>
      </c>
      <c r="C235" s="386" t="s">
        <v>334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250" colorId="64" zoomScale="85" zoomScaleNormal="85" zoomScalePageLayoutView="100" workbookViewId="0">
      <selection pane="topLeft" activeCell="F270" activeCellId="0" sqref="F270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2.47" collapsed="false" outlineLevel="0"/>
    <col min="14" max="14" customWidth="true" hidden="false" style="1" width="20.93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25149.996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42</v>
      </c>
      <c r="B34" s="32"/>
      <c r="C34" s="41" t="s">
        <v>43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1.6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s">
        <v>4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20958.33</v>
      </c>
      <c r="B37" s="32"/>
      <c r="C37" s="41" t="s">
        <v>45</v>
      </c>
      <c r="D37" s="41"/>
      <c r="E37" s="32"/>
      <c r="F37" s="43" t="n">
        <f aca="false">A37-C37</f>
        <v>19958.33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11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C15</f>
        <v>4191.666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265.972166666667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234.027833333333</v>
      </c>
      <c r="L45" s="2"/>
    </row>
    <row r="46" customFormat="false" ht="17.35" hidden="false" customHeight="false" outlineLevel="0" collapsed="false">
      <c r="A46" s="40" t="n">
        <v>0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236.6945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236.6945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250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236.6945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37404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37404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37404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37404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0.0105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15586.570496829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136.24998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1870.2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187.02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236.6945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236.6945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236.6945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19958.33</v>
      </c>
      <c r="C90" s="32"/>
      <c r="D90" s="32"/>
      <c r="E90" s="23"/>
      <c r="F90" s="25" t="s">
        <v>105</v>
      </c>
      <c r="G90" s="27" t="n">
        <f aca="false">F37</f>
        <v>19958.33</v>
      </c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</f>
        <v>6000</v>
      </c>
      <c r="C91" s="32"/>
      <c r="D91" s="32"/>
      <c r="E91" s="23"/>
      <c r="F91" s="31" t="s">
        <v>106</v>
      </c>
      <c r="G91" s="33" t="n">
        <f aca="false">IF(A111="YES",A43,0)</f>
        <v>6000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0.1255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0.0104583333333333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31" t="s">
        <v>109</v>
      </c>
      <c r="G94" s="33" t="n">
        <f aca="false">IF(G91=0, (B68+B67), (B68))</f>
        <v>11</v>
      </c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5295.78483323301</v>
      </c>
      <c r="C95" s="32"/>
      <c r="D95" s="32"/>
      <c r="E95" s="23"/>
      <c r="F95" s="31" t="s">
        <v>110</v>
      </c>
      <c r="G95" s="33" t="n">
        <f aca="false">(G91/((1+G93)^(G94+1)))</f>
        <v>5623.39108453416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10.3399216528992</v>
      </c>
      <c r="C96" s="32"/>
      <c r="D96" s="32"/>
      <c r="E96" s="23"/>
      <c r="F96" s="31" t="s">
        <v>111</v>
      </c>
      <c r="G96" s="33" t="n">
        <f aca="false">((1-(1/((1+G93)^G94)))/G93)</f>
        <v>10.6507347822959</v>
      </c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14662.545166767</v>
      </c>
      <c r="C97" s="32"/>
      <c r="D97" s="32"/>
      <c r="E97" s="23"/>
      <c r="F97" s="31" t="s">
        <v>112</v>
      </c>
      <c r="G97" s="33" t="n">
        <f aca="false">G90-G95</f>
        <v>14334.9389154658</v>
      </c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1418.05186334809</v>
      </c>
      <c r="C98" s="32"/>
      <c r="D98" s="32"/>
      <c r="E98" s="23"/>
      <c r="F98" s="31" t="s">
        <v>113</v>
      </c>
      <c r="G98" s="33" t="n">
        <f aca="false">(G97/G96)</f>
        <v>1345.91079474573</v>
      </c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15598.570496829</v>
      </c>
      <c r="C99" s="32"/>
      <c r="D99" s="32"/>
      <c r="E99" s="23"/>
      <c r="F99" s="31" t="s">
        <v>114</v>
      </c>
      <c r="G99" s="33" t="n">
        <f aca="false">((G98*(G94))+G86)</f>
        <v>14805.018742203</v>
      </c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15598.570496829</v>
      </c>
      <c r="C101" s="32"/>
      <c r="D101" s="32"/>
      <c r="E101" s="23"/>
      <c r="F101" s="56" t="s">
        <v>116</v>
      </c>
      <c r="G101" s="65" t="n">
        <f aca="false">(G99+G100)</f>
        <v>14805.018742203</v>
      </c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A34)*A117))/(B68)*1.2</f>
        <v>0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1418.05186334809</v>
      </c>
      <c r="C104" s="32"/>
      <c r="D104" s="32"/>
      <c r="E104" s="23"/>
      <c r="F104" s="95" t="s">
        <v>118</v>
      </c>
      <c r="G104" s="96" t="n">
        <f aca="false">G101/(G94)</f>
        <v>1345.91079474573</v>
      </c>
      <c r="H104" s="33"/>
      <c r="J104" s="95" t="s">
        <v>118</v>
      </c>
      <c r="K104" s="96" t="e">
        <f aca="false">K101/(K94)</f>
        <v>#VALUE!</v>
      </c>
      <c r="L104" s="32"/>
      <c r="M104" s="32"/>
      <c r="N104" s="23"/>
      <c r="O104" s="23"/>
      <c r="P104" s="23"/>
      <c r="Q104" s="33"/>
      <c r="S104" s="95" t="s">
        <v>118</v>
      </c>
      <c r="T104" s="96" t="e">
        <f aca="false">T101/(T94)</f>
        <v>#VALUE!</v>
      </c>
      <c r="U104" s="32"/>
      <c r="V104" s="32"/>
      <c r="W104" s="23"/>
      <c r="X104" s="23"/>
      <c r="Y104" s="23"/>
      <c r="Z104" s="33"/>
      <c r="AB104" s="95" t="s">
        <v>118</v>
      </c>
      <c r="AC104" s="96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1418.05186334809</v>
      </c>
      <c r="C105" s="32"/>
      <c r="D105" s="32"/>
      <c r="E105" s="23" t="s">
        <v>18</v>
      </c>
      <c r="F105" s="97" t="s">
        <v>119</v>
      </c>
      <c r="G105" s="98" t="n">
        <f aca="false">G103+G104</f>
        <v>1345.91079474573</v>
      </c>
      <c r="H105" s="33"/>
      <c r="J105" s="97" t="s">
        <v>119</v>
      </c>
      <c r="K105" s="98" t="e">
        <f aca="false">(K103+K104)</f>
        <v>#VALUE!</v>
      </c>
      <c r="L105" s="32"/>
      <c r="M105" s="32"/>
      <c r="N105" s="23"/>
      <c r="O105" s="23"/>
      <c r="P105" s="23"/>
      <c r="Q105" s="33"/>
      <c r="S105" s="97" t="s">
        <v>119</v>
      </c>
      <c r="T105" s="98" t="e">
        <f aca="false">T103+T104</f>
        <v>#VALUE!</v>
      </c>
      <c r="U105" s="32"/>
      <c r="V105" s="32"/>
      <c r="W105" s="23"/>
      <c r="X105" s="23"/>
      <c r="Y105" s="23"/>
      <c r="Z105" s="33"/>
      <c r="AB105" s="97" t="s">
        <v>119</v>
      </c>
      <c r="AC105" s="98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 t="s">
        <v>128</v>
      </c>
      <c r="C114" s="103"/>
      <c r="D114" s="103"/>
      <c r="E114" s="104" t="s">
        <v>19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0.2</v>
      </c>
      <c r="B117" s="107" t="s">
        <v>132</v>
      </c>
      <c r="C117" s="107"/>
      <c r="D117" s="107"/>
      <c r="E117" s="108" t="n">
        <f aca="false">B92</f>
        <v>0.1255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7" t="n">
        <v>0</v>
      </c>
      <c r="C120" s="107"/>
      <c r="D120" s="107"/>
      <c r="E120" s="107" t="n">
        <v>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141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113"/>
      <c r="C127" s="113"/>
      <c r="D127" s="113"/>
      <c r="E127" s="113"/>
      <c r="F127" s="113"/>
      <c r="G127" s="11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120" t="n">
        <f aca="false">E19</f>
        <v>25149.996</v>
      </c>
      <c r="C130" s="121" t="n">
        <v>22708.33</v>
      </c>
      <c r="D130" s="120" t="n">
        <f aca="false">D12</f>
        <v>0</v>
      </c>
      <c r="E130" s="121" t="n">
        <f aca="false">D130</f>
        <v>0</v>
      </c>
      <c r="F130" s="120" t="n">
        <v>0</v>
      </c>
      <c r="G130" s="121" t="n">
        <f aca="false">F130</f>
        <v>0</v>
      </c>
      <c r="H130" s="122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22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22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3" t="n">
        <v>0</v>
      </c>
      <c r="C131" s="124" t="n">
        <f aca="false">B131</f>
        <v>0</v>
      </c>
      <c r="D131" s="123" t="n">
        <v>0</v>
      </c>
      <c r="E131" s="124" t="n">
        <f aca="false">D131</f>
        <v>0</v>
      </c>
      <c r="F131" s="123" t="n">
        <v>0</v>
      </c>
      <c r="G131" s="125" t="n">
        <f aca="false">F131</f>
        <v>0</v>
      </c>
      <c r="H131" s="126"/>
      <c r="J131" s="31" t="s">
        <v>150</v>
      </c>
      <c r="K131" s="127" t="n">
        <f aca="false">B4</f>
        <v>25149.996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str">
        <f aca="false">F4</f>
        <v> </v>
      </c>
      <c r="P131" s="128" t="str">
        <f aca="false">O131</f>
        <v> </v>
      </c>
      <c r="Q131" s="129"/>
      <c r="S131" s="31" t="s">
        <v>150</v>
      </c>
      <c r="T131" s="127" t="n">
        <f aca="false">B4</f>
        <v>25149.996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str">
        <f aca="false">F4</f>
        <v> </v>
      </c>
      <c r="Y131" s="128" t="str">
        <f aca="false">X131</f>
        <v> </v>
      </c>
      <c r="Z131" s="129"/>
      <c r="AB131" s="31" t="s">
        <v>150</v>
      </c>
      <c r="AC131" s="127" t="n">
        <f aca="false">B4</f>
        <v>25149.996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str">
        <f aca="false">F4</f>
        <v> </v>
      </c>
      <c r="AH131" s="128" t="str">
        <f aca="false">AG131</f>
        <v> </v>
      </c>
      <c r="AI131" s="129"/>
    </row>
    <row r="132" customFormat="false" ht="17.35" hidden="false" customHeight="false" outlineLevel="0" collapsed="false">
      <c r="A132" s="31" t="s">
        <v>151</v>
      </c>
      <c r="B132" s="130" t="n">
        <v>0</v>
      </c>
      <c r="C132" s="121" t="n">
        <f aca="false">B132</f>
        <v>0</v>
      </c>
      <c r="D132" s="130" t="n">
        <v>0</v>
      </c>
      <c r="E132" s="121" t="n">
        <f aca="false">D132</f>
        <v>0</v>
      </c>
      <c r="F132" s="130" t="n">
        <v>0</v>
      </c>
      <c r="G132" s="121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30" t="n">
        <f aca="false">(B130*B131)+B132</f>
        <v>0</v>
      </c>
      <c r="C133" s="131" t="n">
        <f aca="false">(C130*C131/100)+C132</f>
        <v>0</v>
      </c>
      <c r="D133" s="130" t="n">
        <f aca="false">(D130*D131)+D132</f>
        <v>0</v>
      </c>
      <c r="E133" s="131" t="n">
        <f aca="false">(E130*E131/100)+E132</f>
        <v>0</v>
      </c>
      <c r="F133" s="130" t="n">
        <f aca="false">(F130*F131)+F132</f>
        <v>0</v>
      </c>
      <c r="G133" s="131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32" t="n">
        <f aca="false">B130-B133</f>
        <v>25149.996</v>
      </c>
      <c r="C134" s="133" t="n">
        <f aca="false">C130-C133</f>
        <v>22708.33</v>
      </c>
      <c r="D134" s="132" t="n">
        <f aca="false">D130-D133</f>
        <v>0</v>
      </c>
      <c r="E134" s="133" t="n">
        <f aca="false">E130-E133</f>
        <v>0</v>
      </c>
      <c r="F134" s="132" t="n">
        <f aca="false">F130-F133</f>
        <v>0</v>
      </c>
      <c r="G134" s="133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93"/>
      <c r="C135" s="93"/>
      <c r="D135" s="93"/>
      <c r="E135" s="93"/>
      <c r="F135" s="93"/>
      <c r="G135" s="93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5"/>
      <c r="C136" s="135"/>
      <c r="D136" s="135"/>
      <c r="E136" s="135"/>
      <c r="F136" s="135"/>
      <c r="G136" s="136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93"/>
      <c r="C138" s="93"/>
      <c r="D138" s="93"/>
      <c r="E138" s="93"/>
      <c r="F138" s="93"/>
      <c r="G138" s="144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93"/>
      <c r="C143" s="93"/>
      <c r="D143" s="93"/>
      <c r="E143" s="93"/>
      <c r="F143" s="93"/>
      <c r="G143" s="144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6" t="n">
        <f aca="false">E21</f>
        <v>20958.33</v>
      </c>
      <c r="H144" s="153" t="n">
        <f aca="false">C134+E134+G134+H137</f>
        <v>22708.33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0</v>
      </c>
      <c r="Q144" s="153" t="e">
        <f aca="false">L134+N134+P134+Q137</f>
        <v>#VALUE!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0</v>
      </c>
      <c r="Z144" s="153" t="e">
        <f aca="false">U134+W134+Y134+Z137</f>
        <v>#VALUE!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0</v>
      </c>
      <c r="AI144" s="153" t="e">
        <f aca="false">AD134+AF134+AH134+AI137</f>
        <v>#VALUE!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5" t="n">
        <f aca="false">H19</f>
        <v>0</v>
      </c>
      <c r="H145" s="33" t="n">
        <f aca="false">G145</f>
        <v>0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0</v>
      </c>
      <c r="Q145" s="33" t="n">
        <f aca="false">P145</f>
        <v>0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0</v>
      </c>
      <c r="Z145" s="33" t="n">
        <f aca="false">Y145</f>
        <v>0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33" t="n">
        <f aca="false">(G144+G145)*20%</f>
        <v>4191.666</v>
      </c>
      <c r="H146" s="33" t="n">
        <f aca="false">(H144+H145)*20%</f>
        <v>4541.666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0</v>
      </c>
      <c r="Q146" s="33" t="e">
        <f aca="false">(Q144+Q145)*20%</f>
        <v>#VALUE!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0</v>
      </c>
      <c r="Z146" s="33" t="e">
        <f aca="false">(Z144+Z145)*20%</f>
        <v>#VALUE!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5" t="n">
        <f aca="false">H21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5" t="n">
        <f aca="false">H22</f>
        <v>0</v>
      </c>
      <c r="H148" s="33" t="n">
        <f aca="false">G148</f>
        <v>0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0</v>
      </c>
      <c r="Q148" s="33" t="n">
        <f aca="false">P148</f>
        <v>0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0</v>
      </c>
      <c r="Z148" s="33" t="n">
        <f aca="false">Y148</f>
        <v>0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5" t="n">
        <f aca="false">H23</f>
        <v>0</v>
      </c>
      <c r="H149" s="33" t="n">
        <f aca="false">G149</f>
        <v>0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0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0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7" t="n">
        <f aca="false">(G144+G145+G148+G149+G146)-G147</f>
        <v>25149.996</v>
      </c>
      <c r="H150" s="157" t="n">
        <f aca="false">(H144+H145+H148+H149+H146)-H147</f>
        <v>27249.996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0</v>
      </c>
      <c r="Q150" s="157" t="e">
        <f aca="false">(Q144+Q145+Q148+Q149+Q146)-Q147</f>
        <v>#VALUE!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0</v>
      </c>
      <c r="Z150" s="157" t="e">
        <f aca="false">(Z144+Z145+Z148+Z149+Z146)-Z147</f>
        <v>#VALUE!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0</v>
      </c>
      <c r="AI150" s="157" t="e">
        <f aca="false">(AI144+AI145+AI148+AI149+AI146)-AI147</f>
        <v>#VALUE!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40" t="n">
        <f aca="false">F151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3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n">
        <v>0</v>
      </c>
      <c r="C153" s="161"/>
      <c r="D153" s="161"/>
      <c r="E153" s="161"/>
      <c r="F153" s="161"/>
      <c r="G153" s="40" t="n">
        <v>0</v>
      </c>
      <c r="H153" s="40" t="n"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40" t="n"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40" t="n"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64" t="n">
        <f aca="false">G150-((G153*1.2)+(G154*1.2)+(G155*1.2)+(G151*1.2))</f>
        <v>25149.996</v>
      </c>
      <c r="H156" s="164" t="n">
        <f aca="false">H150-((H153*1.2)+(H154*1.2)+(H155*1.2)+(H151*1.2))</f>
        <v>27249.996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0</v>
      </c>
      <c r="Q156" s="164" t="e">
        <f aca="false">Q150-((Q153*1.2)+(Q154*1.2)+(Q155*1.2)+(Q151*1.2))</f>
        <v>#VALUE!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0</v>
      </c>
      <c r="Z156" s="164" t="e">
        <f aca="false">Z150-((Z153*1.2)+(Z154*1.2)+(Z155*1.2)+(Z151*1.2))</f>
        <v>#VALUE!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0</v>
      </c>
      <c r="AI156" s="164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5"/>
      <c r="H157" s="40" t="n">
        <f aca="false">((H156-G156)-(H146-G146))+((I155-I154)*0.2)</f>
        <v>1750</v>
      </c>
      <c r="I157" s="1" t="n">
        <f aca="false">(H157-G90)/1.2</f>
        <v>-15173.6083333333</v>
      </c>
      <c r="J157" s="154" t="s">
        <v>172</v>
      </c>
      <c r="K157" s="154"/>
      <c r="L157" s="154"/>
      <c r="M157" s="154"/>
      <c r="N157" s="154"/>
      <c r="O157" s="154"/>
      <c r="P157" s="156"/>
      <c r="Q157" s="40" t="e">
        <f aca="false">Q156-P156</f>
        <v>#VALUE!</v>
      </c>
      <c r="S157" s="154" t="s">
        <v>172</v>
      </c>
      <c r="T157" s="154"/>
      <c r="U157" s="154"/>
      <c r="V157" s="154"/>
      <c r="W157" s="154"/>
      <c r="X157" s="154"/>
      <c r="Y157" s="156"/>
      <c r="Z157" s="40" t="e">
        <f aca="false">Z156-Y156</f>
        <v>#VALUE!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</v>
      </c>
      <c r="F161" s="107"/>
      <c r="G161" s="107" t="n">
        <v>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27249.996</v>
      </c>
      <c r="H167" s="170"/>
      <c r="J167" s="169" t="s">
        <v>179</v>
      </c>
      <c r="K167" s="32"/>
      <c r="L167" s="32"/>
      <c r="M167" s="23"/>
      <c r="N167" s="32"/>
      <c r="O167" s="23"/>
      <c r="P167" s="170" t="e">
        <f aca="false">Q156-P163-P166</f>
        <v>#VALUE!</v>
      </c>
      <c r="Q167" s="170"/>
      <c r="S167" s="169" t="s">
        <v>179</v>
      </c>
      <c r="T167" s="32"/>
      <c r="U167" s="32"/>
      <c r="V167" s="23"/>
      <c r="W167" s="32"/>
      <c r="X167" s="23"/>
      <c r="Y167" s="170" t="e">
        <f aca="false">Z156-Y163-Y166</f>
        <v>#VALUE!</v>
      </c>
      <c r="Z167" s="170"/>
      <c r="AB167" s="169" t="s">
        <v>179</v>
      </c>
      <c r="AC167" s="32"/>
      <c r="AD167" s="32"/>
      <c r="AE167" s="23"/>
      <c r="AF167" s="32"/>
      <c r="AG167" s="23"/>
      <c r="AH167" s="170" t="e">
        <f aca="false">AI156-AH163-AH166</f>
        <v>#VALUE!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239.99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1418.05186334809</v>
      </c>
      <c r="B176" s="177" t="n">
        <f aca="false">B103</f>
        <v>0</v>
      </c>
      <c r="C176" s="174"/>
      <c r="D176" s="174"/>
      <c r="E176" s="177" t="n">
        <f aca="false">B105</f>
        <v>1418.05186334809</v>
      </c>
      <c r="F176" s="23"/>
      <c r="G176" s="23" t="n">
        <f aca="false">ROUND(G104, 2)</f>
        <v>1345.91</v>
      </c>
      <c r="H176" s="33"/>
      <c r="J176" s="176" t="e">
        <f aca="false">K104</f>
        <v>#VALUE!</v>
      </c>
      <c r="K176" s="178" t="n">
        <f aca="false">K103</f>
        <v>0</v>
      </c>
      <c r="L176" s="175"/>
      <c r="M176" s="175"/>
      <c r="N176" s="178" t="e">
        <f aca="false">K105</f>
        <v>#VALUE!</v>
      </c>
      <c r="O176" s="23"/>
      <c r="P176" s="23"/>
      <c r="Q176" s="33"/>
      <c r="S176" s="176" t="e">
        <f aca="false">T104</f>
        <v>#VALUE!</v>
      </c>
      <c r="T176" s="178" t="n">
        <f aca="false">T103</f>
        <v>0</v>
      </c>
      <c r="U176" s="175"/>
      <c r="V176" s="175"/>
      <c r="W176" s="178" t="e">
        <f aca="false">T105</f>
        <v>#VALUE!</v>
      </c>
      <c r="X176" s="23"/>
      <c r="Y176" s="23"/>
      <c r="Z176" s="33"/>
      <c r="AB176" s="176" t="e">
        <f aca="false">AC104</f>
        <v>#VALUE!</v>
      </c>
      <c r="AC176" s="178" t="n">
        <f aca="false">AC103</f>
        <v>0</v>
      </c>
      <c r="AD176" s="175"/>
      <c r="AE176" s="175"/>
      <c r="AF176" s="178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n">
        <f aca="false">B38</f>
        <v>0</v>
      </c>
      <c r="B179" s="180" t="n">
        <f aca="false">B39</f>
        <v>0</v>
      </c>
      <c r="C179" s="181"/>
      <c r="D179" s="23"/>
      <c r="E179" s="182" t="n">
        <v>6000</v>
      </c>
      <c r="F179" s="23"/>
      <c r="G179" s="23"/>
      <c r="H179" s="33"/>
      <c r="J179" s="179" t="str">
        <f aca="false">K29</f>
        <v>12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12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12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22708.33</v>
      </c>
      <c r="B182" s="103" t="n">
        <f aca="false">H146</f>
        <v>4541.666</v>
      </c>
      <c r="C182" s="186"/>
      <c r="D182" s="23"/>
      <c r="E182" s="182" t="n">
        <f aca="false">H148+H149</f>
        <v>0</v>
      </c>
      <c r="F182" s="23"/>
      <c r="G182" s="23"/>
      <c r="H182" s="33"/>
      <c r="J182" s="185" t="e">
        <f aca="false">Q150-Q146-Q148-Q149</f>
        <v>#VALUE!</v>
      </c>
      <c r="K182" s="38" t="e">
        <f aca="false">Q146</f>
        <v>#VALUE!</v>
      </c>
      <c r="L182" s="43"/>
      <c r="M182" s="23"/>
      <c r="N182" s="184" t="n">
        <f aca="false">Q148+Q149</f>
        <v>55</v>
      </c>
      <c r="O182" s="23"/>
      <c r="P182" s="23"/>
      <c r="Q182" s="33"/>
      <c r="S182" s="185" t="e">
        <f aca="false">Z150-Z146-Z148-Z149</f>
        <v>#VALUE!</v>
      </c>
      <c r="T182" s="38" t="e">
        <f aca="false">Z146</f>
        <v>#VALUE!</v>
      </c>
      <c r="U182" s="43"/>
      <c r="V182" s="23"/>
      <c r="W182" s="184" t="n">
        <f aca="false">Z148+Z149</f>
        <v>55</v>
      </c>
      <c r="X182" s="23"/>
      <c r="Y182" s="23"/>
      <c r="Z182" s="33"/>
      <c r="AB182" s="185" t="e">
        <f aca="false">AI150-AI146-AI148-AI149</f>
        <v>#VALUE!</v>
      </c>
      <c r="AC182" s="38" t="e">
        <f aca="false">AI146</f>
        <v>#VALUE!</v>
      </c>
      <c r="AD182" s="43"/>
      <c r="AE182" s="23"/>
      <c r="AF182" s="184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27249.996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27249.996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-5651.42550317099</v>
      </c>
      <c r="B191" s="103" t="str">
        <f aca="false">B123</f>
        <v>239.99</v>
      </c>
      <c r="C191" s="103"/>
      <c r="D191" s="23"/>
      <c r="E191" s="103" t="n">
        <f aca="false">E188+A191+B191+A194</f>
        <v>21848.560496829</v>
      </c>
      <c r="F191" s="23"/>
      <c r="G191" s="23"/>
      <c r="H191" s="105"/>
      <c r="J191" s="111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5"/>
      <c r="S191" s="111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5"/>
      <c r="AB191" s="111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</f>
        <v>239.99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J18*0.000002*100*1.2</f>
        <v>8.97696</v>
      </c>
      <c r="B197" s="103" t="n">
        <f aca="false">(G167*B76)/1.2</f>
        <v>113.54165</v>
      </c>
      <c r="C197" s="93"/>
      <c r="D197" s="93"/>
      <c r="E197" s="103" t="n">
        <f aca="false">K55*A117*0.1</f>
        <v>0</v>
      </c>
      <c r="F197" s="23"/>
      <c r="G197" s="23"/>
      <c r="H197" s="33"/>
      <c r="J197" s="111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(B191/1.2)-100</f>
        <v>99.9916666666667</v>
      </c>
      <c r="B200" s="103" t="n">
        <f aca="false">B197+E197+A200</f>
        <v>213.533316666667</v>
      </c>
      <c r="C200" s="93"/>
      <c r="D200" s="93"/>
      <c r="E200" s="103" t="n">
        <f aca="false">H157</f>
        <v>1750</v>
      </c>
      <c r="F200" s="23"/>
      <c r="G200" s="23"/>
      <c r="H200" s="33"/>
      <c r="J200" s="111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11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11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1418.05186334809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-6444.986</v>
      </c>
      <c r="B210" s="186" t="n">
        <f aca="false">E188+A210+B191+A194</f>
        <v>21055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12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1418.05186334809</v>
      </c>
      <c r="B221" s="177" t="n">
        <f aca="false">B176</f>
        <v>0</v>
      </c>
      <c r="C221" s="174"/>
      <c r="D221" s="174"/>
      <c r="E221" s="177" t="n">
        <f aca="false">E176</f>
        <v>1418.05186334809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22708.33</v>
      </c>
      <c r="B224" s="103" t="n">
        <f aca="false">B182</f>
        <v>4541.666</v>
      </c>
      <c r="C224" s="186"/>
      <c r="D224" s="113"/>
      <c r="E224" s="182" t="n">
        <f aca="false">E182</f>
        <v>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27249.996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27249.996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-5651.42550317099</v>
      </c>
      <c r="B233" s="103" t="str">
        <f aca="false">B191</f>
        <v>239.99</v>
      </c>
      <c r="C233" s="103"/>
      <c r="D233" s="113"/>
      <c r="E233" s="103" t="n">
        <f aca="false">E191</f>
        <v>21848.560496829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239.99</v>
      </c>
      <c r="C236" s="103"/>
      <c r="D236" s="113"/>
      <c r="E236" s="103" t="n">
        <f aca="false">B68</f>
        <v>11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1418.05186334809</v>
      </c>
      <c r="B239" s="103" t="n">
        <f aca="false">B176</f>
        <v>0</v>
      </c>
      <c r="C239" s="186"/>
      <c r="D239" s="186"/>
      <c r="E239" s="103" t="n">
        <f aca="false">E176</f>
        <v>1418.05186334809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J18*0.000006*100*1.2</f>
        <v>26.93088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8.97696</v>
      </c>
      <c r="B245" s="103" t="n">
        <f aca="false">E242+A245</f>
        <v>35.90784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1750</v>
      </c>
      <c r="B249" s="103" t="n">
        <f aca="false">B197</f>
        <v>113.54165</v>
      </c>
      <c r="C249" s="93"/>
      <c r="D249" s="93"/>
      <c r="E249" s="103" t="n">
        <f aca="false">E197</f>
        <v>0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99.9916666666667</v>
      </c>
      <c r="B252" s="103" t="n">
        <f aca="false">B249+E249+A252+A249</f>
        <v>1963.53331666667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0.1255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199" t="n">
        <f aca="false">(E191-B191)-(B210-B191-A194)</f>
        <v>803.560496829006</v>
      </c>
      <c r="C263" s="197"/>
      <c r="D263" s="198" t="s">
        <v>216</v>
      </c>
      <c r="E263" s="198"/>
      <c r="F263" s="200" t="n">
        <f aca="false">F270+F276+F278+B279+B280</f>
        <v>136.24998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99.9916666666667</v>
      </c>
      <c r="C264" s="197"/>
      <c r="D264" s="198" t="s">
        <v>218</v>
      </c>
      <c r="E264" s="198"/>
      <c r="F264" s="200" t="n">
        <f aca="false">(B263-F263)+B264</f>
        <v>767.302183495673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0.05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0.1255</v>
      </c>
      <c r="C269" s="43"/>
      <c r="D269" s="166" t="s">
        <v>215</v>
      </c>
      <c r="E269" s="166"/>
      <c r="F269" s="146" t="n">
        <f aca="false">B263</f>
        <v>803.560496829006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0.005</v>
      </c>
      <c r="C270" s="32"/>
      <c r="D270" s="166" t="s">
        <v>221</v>
      </c>
      <c r="E270" s="166"/>
      <c r="F270" s="151" t="n">
        <f aca="false">B77</f>
        <v>136.24998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0.2</v>
      </c>
      <c r="C271" s="32"/>
      <c r="D271" s="166" t="s">
        <v>222</v>
      </c>
      <c r="E271" s="166"/>
      <c r="F271" s="146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99.9916666666667</v>
      </c>
      <c r="C272" s="32"/>
      <c r="D272" s="39" t="s">
        <v>218</v>
      </c>
      <c r="E272" s="39"/>
      <c r="F272" s="146" t="n">
        <f aca="false">(B263-F263)+B264</f>
        <v>767.302183495673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250" colorId="64" zoomScale="85" zoomScaleNormal="85" zoomScalePageLayoutView="100" workbookViewId="0">
      <selection pane="topLeft" activeCell="F270" activeCellId="0" sqref="F270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4.23" collapsed="false" outlineLevel="0"/>
    <col min="14" max="14" customWidth="true" hidden="false" style="1" width="16.72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25149.996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42</v>
      </c>
      <c r="B34" s="32"/>
      <c r="C34" s="41" t="s">
        <v>43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20958.33</v>
      </c>
      <c r="B37" s="32"/>
      <c r="C37" s="41" t="s">
        <v>45</v>
      </c>
      <c r="D37" s="41"/>
      <c r="E37" s="32"/>
      <c r="F37" s="43" t="n">
        <f aca="false">A37-C37</f>
        <v>19958.33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11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C15</f>
        <v>4191.666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265.972166666667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234.027833333333</v>
      </c>
      <c r="L45" s="2"/>
    </row>
    <row r="46" customFormat="false" ht="17.35" hidden="false" customHeight="false" outlineLevel="0" collapsed="false">
      <c r="A46" s="40" t="n">
        <v>0</v>
      </c>
      <c r="B46" s="32"/>
      <c r="C46" s="41" t="n">
        <v>1</v>
      </c>
      <c r="D46" s="41"/>
      <c r="E46" s="32"/>
      <c r="F46" s="41" t="n">
        <v>1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2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236.6945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236.6945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250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236.6945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 t="s">
        <v>4</v>
      </c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 t="s">
        <v>4</v>
      </c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 t="s">
        <v>4</v>
      </c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 t="s">
        <v>4</v>
      </c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37404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37404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37404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37404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0.0105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15586.570496829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136.24998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1870.2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187.02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236.6945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236.6945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236.6945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19958.33</v>
      </c>
      <c r="C90" s="32"/>
      <c r="D90" s="32"/>
      <c r="E90" s="23"/>
      <c r="F90" s="25" t="s">
        <v>105</v>
      </c>
      <c r="G90" s="27" t="n">
        <f aca="false">F37</f>
        <v>19958.33</v>
      </c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</f>
        <v>6000</v>
      </c>
      <c r="C91" s="32"/>
      <c r="D91" s="32"/>
      <c r="E91" s="23"/>
      <c r="F91" s="31" t="s">
        <v>106</v>
      </c>
      <c r="G91" s="33" t="n">
        <f aca="false">IF(A111="YES",A43,0)</f>
        <v>6000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0.1255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0.0104583333333333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31" t="s">
        <v>109</v>
      </c>
      <c r="G94" s="33" t="n">
        <f aca="false">IF(G91=0, (B68+B67), (B68))</f>
        <v>11</v>
      </c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5295.78483323301</v>
      </c>
      <c r="C95" s="32"/>
      <c r="D95" s="32"/>
      <c r="E95" s="23"/>
      <c r="F95" s="31" t="s">
        <v>110</v>
      </c>
      <c r="G95" s="33" t="n">
        <f aca="false">(G91/((1+G93)^(G94+1)))</f>
        <v>5623.39108453416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10.3399216528992</v>
      </c>
      <c r="C96" s="32"/>
      <c r="D96" s="32"/>
      <c r="E96" s="23"/>
      <c r="F96" s="31" t="s">
        <v>111</v>
      </c>
      <c r="G96" s="33" t="n">
        <f aca="false">((1-(1/((1+G93)^G94)))/G93)</f>
        <v>10.6507347822959</v>
      </c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14662.545166767</v>
      </c>
      <c r="C97" s="32"/>
      <c r="D97" s="32"/>
      <c r="E97" s="23"/>
      <c r="F97" s="31" t="s">
        <v>112</v>
      </c>
      <c r="G97" s="33" t="n">
        <f aca="false">G90-G95</f>
        <v>14334.9389154658</v>
      </c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1418.05186334809</v>
      </c>
      <c r="C98" s="32"/>
      <c r="D98" s="32"/>
      <c r="E98" s="23"/>
      <c r="F98" s="31" t="s">
        <v>113</v>
      </c>
      <c r="G98" s="33" t="n">
        <f aca="false">(G97/G96)</f>
        <v>1345.91079474573</v>
      </c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15598.570496829</v>
      </c>
      <c r="C99" s="32"/>
      <c r="D99" s="32"/>
      <c r="E99" s="23"/>
      <c r="F99" s="31" t="s">
        <v>114</v>
      </c>
      <c r="G99" s="33" t="n">
        <f aca="false">((G98*(G94))+G86)</f>
        <v>14805.018742203</v>
      </c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15598.570496829</v>
      </c>
      <c r="C101" s="32"/>
      <c r="D101" s="32"/>
      <c r="E101" s="23"/>
      <c r="F101" s="56" t="s">
        <v>116</v>
      </c>
      <c r="G101" s="65" t="n">
        <f aca="false">(G99+G100)</f>
        <v>14805.018742203</v>
      </c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</f>
        <v>0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1418.05186334809</v>
      </c>
      <c r="C104" s="32"/>
      <c r="D104" s="32"/>
      <c r="E104" s="23"/>
      <c r="F104" s="95" t="s">
        <v>118</v>
      </c>
      <c r="G104" s="96" t="n">
        <f aca="false">G101/(G94)</f>
        <v>1345.91079474573</v>
      </c>
      <c r="H104" s="33"/>
      <c r="J104" s="95" t="s">
        <v>118</v>
      </c>
      <c r="K104" s="96" t="e">
        <f aca="false">K101/(K94)</f>
        <v>#VALUE!</v>
      </c>
      <c r="L104" s="32"/>
      <c r="M104" s="32"/>
      <c r="N104" s="23"/>
      <c r="O104" s="23"/>
      <c r="P104" s="23"/>
      <c r="Q104" s="33"/>
      <c r="S104" s="95" t="s">
        <v>118</v>
      </c>
      <c r="T104" s="96" t="e">
        <f aca="false">T101/(T94)</f>
        <v>#VALUE!</v>
      </c>
      <c r="U104" s="32"/>
      <c r="V104" s="32"/>
      <c r="W104" s="23"/>
      <c r="X104" s="23"/>
      <c r="Y104" s="23"/>
      <c r="Z104" s="33"/>
      <c r="AB104" s="95" t="s">
        <v>118</v>
      </c>
      <c r="AC104" s="96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1418.05186334809</v>
      </c>
      <c r="C105" s="32"/>
      <c r="D105" s="32"/>
      <c r="E105" s="23" t="s">
        <v>18</v>
      </c>
      <c r="F105" s="97" t="s">
        <v>119</v>
      </c>
      <c r="G105" s="98" t="n">
        <f aca="false">G103+G104</f>
        <v>1345.91079474573</v>
      </c>
      <c r="H105" s="33"/>
      <c r="J105" s="97" t="s">
        <v>119</v>
      </c>
      <c r="K105" s="98" t="e">
        <f aca="false">(K103+K104)</f>
        <v>#VALUE!</v>
      </c>
      <c r="L105" s="32"/>
      <c r="M105" s="32"/>
      <c r="N105" s="23"/>
      <c r="O105" s="23"/>
      <c r="P105" s="23"/>
      <c r="Q105" s="33"/>
      <c r="S105" s="97" t="s">
        <v>119</v>
      </c>
      <c r="T105" s="98" t="e">
        <f aca="false">T103+T104</f>
        <v>#VALUE!</v>
      </c>
      <c r="U105" s="32"/>
      <c r="V105" s="32"/>
      <c r="W105" s="23"/>
      <c r="X105" s="23"/>
      <c r="Y105" s="23"/>
      <c r="Z105" s="33"/>
      <c r="AB105" s="97" t="s">
        <v>119</v>
      </c>
      <c r="AC105" s="98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 t="s">
        <v>236</v>
      </c>
      <c r="C114" s="103"/>
      <c r="D114" s="103"/>
      <c r="E114" s="104" t="s">
        <v>19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0.2</v>
      </c>
      <c r="B117" s="107" t="s">
        <v>132</v>
      </c>
      <c r="C117" s="107"/>
      <c r="D117" s="107"/>
      <c r="E117" s="108" t="n">
        <f aca="false">B92</f>
        <v>0.1255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7" t="n">
        <v>0</v>
      </c>
      <c r="C120" s="107"/>
      <c r="D120" s="107"/>
      <c r="E120" s="107" t="n">
        <v>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 t="s">
        <v>4</v>
      </c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236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113"/>
      <c r="C127" s="113"/>
      <c r="D127" s="113"/>
      <c r="E127" s="113"/>
      <c r="F127" s="113"/>
      <c r="G127" s="11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120" t="n">
        <f aca="false">E19</f>
        <v>25149.996</v>
      </c>
      <c r="C130" s="121" t="n">
        <v>22708.33</v>
      </c>
      <c r="D130" s="120" t="n">
        <f aca="false">D12</f>
        <v>0</v>
      </c>
      <c r="E130" s="121" t="n">
        <f aca="false">D130</f>
        <v>0</v>
      </c>
      <c r="F130" s="120" t="n">
        <v>0</v>
      </c>
      <c r="G130" s="121" t="n">
        <f aca="false">F130</f>
        <v>0</v>
      </c>
      <c r="H130" s="122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22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22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3" t="n">
        <v>0</v>
      </c>
      <c r="C131" s="124" t="n">
        <f aca="false">B131</f>
        <v>0</v>
      </c>
      <c r="D131" s="123" t="n">
        <v>0</v>
      </c>
      <c r="E131" s="124" t="n">
        <f aca="false">D131</f>
        <v>0</v>
      </c>
      <c r="F131" s="123" t="n">
        <v>0</v>
      </c>
      <c r="G131" s="125" t="n">
        <f aca="false">F131</f>
        <v>0</v>
      </c>
      <c r="H131" s="126"/>
      <c r="J131" s="31" t="s">
        <v>150</v>
      </c>
      <c r="K131" s="127" t="n">
        <f aca="false">B4</f>
        <v>25149.996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str">
        <f aca="false">F4</f>
        <v> </v>
      </c>
      <c r="P131" s="128" t="str">
        <f aca="false">O131</f>
        <v> </v>
      </c>
      <c r="Q131" s="129"/>
      <c r="S131" s="31" t="s">
        <v>150</v>
      </c>
      <c r="T131" s="127" t="n">
        <f aca="false">B4</f>
        <v>25149.996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str">
        <f aca="false">F4</f>
        <v> </v>
      </c>
      <c r="Y131" s="128" t="str">
        <f aca="false">X131</f>
        <v> </v>
      </c>
      <c r="Z131" s="129"/>
      <c r="AB131" s="31" t="s">
        <v>150</v>
      </c>
      <c r="AC131" s="127" t="n">
        <f aca="false">B4</f>
        <v>25149.996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str">
        <f aca="false">F4</f>
        <v> </v>
      </c>
      <c r="AH131" s="128" t="str">
        <f aca="false">AG131</f>
        <v> </v>
      </c>
      <c r="AI131" s="129"/>
    </row>
    <row r="132" customFormat="false" ht="17.35" hidden="false" customHeight="false" outlineLevel="0" collapsed="false">
      <c r="A132" s="31" t="s">
        <v>151</v>
      </c>
      <c r="B132" s="130" t="n">
        <v>0</v>
      </c>
      <c r="C132" s="121" t="n">
        <f aca="false">B132</f>
        <v>0</v>
      </c>
      <c r="D132" s="130" t="n">
        <v>0</v>
      </c>
      <c r="E132" s="121" t="n">
        <f aca="false">D132</f>
        <v>0</v>
      </c>
      <c r="F132" s="130" t="n">
        <v>0</v>
      </c>
      <c r="G132" s="121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30" t="n">
        <f aca="false">(B130*B131)+B132</f>
        <v>0</v>
      </c>
      <c r="C133" s="131" t="n">
        <f aca="false">(C130*C131/100)+C132</f>
        <v>0</v>
      </c>
      <c r="D133" s="130" t="n">
        <f aca="false">(D130*D131)+D132</f>
        <v>0</v>
      </c>
      <c r="E133" s="131" t="n">
        <f aca="false">(E130*E131/100)+E132</f>
        <v>0</v>
      </c>
      <c r="F133" s="130" t="n">
        <f aca="false">(F130*F131)+F132</f>
        <v>0</v>
      </c>
      <c r="G133" s="131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32" t="n">
        <f aca="false">B130-B133</f>
        <v>25149.996</v>
      </c>
      <c r="C134" s="133" t="n">
        <f aca="false">C130-C133</f>
        <v>22708.33</v>
      </c>
      <c r="D134" s="132" t="n">
        <f aca="false">D130-D133</f>
        <v>0</v>
      </c>
      <c r="E134" s="133" t="n">
        <f aca="false">E130-E133</f>
        <v>0</v>
      </c>
      <c r="F134" s="132" t="n">
        <f aca="false">F130-F133</f>
        <v>0</v>
      </c>
      <c r="G134" s="133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93"/>
      <c r="C135" s="93"/>
      <c r="D135" s="93"/>
      <c r="E135" s="93"/>
      <c r="F135" s="93"/>
      <c r="G135" s="93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5"/>
      <c r="C136" s="135"/>
      <c r="D136" s="135"/>
      <c r="E136" s="135"/>
      <c r="F136" s="135"/>
      <c r="G136" s="136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93"/>
      <c r="C138" s="93"/>
      <c r="D138" s="93"/>
      <c r="E138" s="93"/>
      <c r="F138" s="93"/>
      <c r="G138" s="144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93"/>
      <c r="C143" s="93"/>
      <c r="D143" s="93"/>
      <c r="E143" s="93"/>
      <c r="F143" s="93"/>
      <c r="G143" s="144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6" t="n">
        <f aca="false">E21</f>
        <v>20958.33</v>
      </c>
      <c r="H144" s="153" t="n">
        <f aca="false">C134+E134+G134+H137</f>
        <v>22708.33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0</v>
      </c>
      <c r="Q144" s="153" t="e">
        <f aca="false">L134+N134+P134+Q137</f>
        <v>#VALUE!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0</v>
      </c>
      <c r="Z144" s="153" t="e">
        <f aca="false">U134+W134+Y134+Z137</f>
        <v>#VALUE!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0</v>
      </c>
      <c r="AI144" s="153" t="e">
        <f aca="false">AD134+AF134+AH134+AI137</f>
        <v>#VALUE!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5" t="n">
        <f aca="false">H19</f>
        <v>0</v>
      </c>
      <c r="H145" s="33" t="n">
        <f aca="false">G145</f>
        <v>0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0</v>
      </c>
      <c r="Q145" s="33" t="n">
        <f aca="false">P145</f>
        <v>0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0</v>
      </c>
      <c r="Z145" s="33" t="n">
        <f aca="false">Y145</f>
        <v>0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33" t="n">
        <f aca="false">(G144+G145)*20%</f>
        <v>4191.666</v>
      </c>
      <c r="H146" s="33" t="n">
        <f aca="false">(H144+H145)*20%</f>
        <v>4541.666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0</v>
      </c>
      <c r="Q146" s="33" t="e">
        <f aca="false">(Q144+Q145)*20%</f>
        <v>#VALUE!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0</v>
      </c>
      <c r="Z146" s="33" t="e">
        <f aca="false">(Z144+Z145)*20%</f>
        <v>#VALUE!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5" t="n">
        <f aca="false">H21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5" t="n">
        <f aca="false">H22</f>
        <v>0</v>
      </c>
      <c r="H148" s="33" t="n">
        <f aca="false">G148</f>
        <v>0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0</v>
      </c>
      <c r="Q148" s="33" t="n">
        <f aca="false">P148</f>
        <v>0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0</v>
      </c>
      <c r="Z148" s="33" t="n">
        <f aca="false">Y148</f>
        <v>0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5" t="n">
        <f aca="false">H23</f>
        <v>0</v>
      </c>
      <c r="H149" s="33" t="n">
        <f aca="false">G149</f>
        <v>0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0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0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7" t="n">
        <f aca="false">(G144+G145+G148+G149+G146)-G147</f>
        <v>25149.996</v>
      </c>
      <c r="H150" s="157" t="n">
        <f aca="false">(H144+H145+H148+H149+H146)-H147</f>
        <v>27249.996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0</v>
      </c>
      <c r="Q150" s="157" t="e">
        <f aca="false">(Q144+Q145+Q148+Q149+Q146)-Q147</f>
        <v>#VALUE!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0</v>
      </c>
      <c r="Z150" s="157" t="e">
        <f aca="false">(Z144+Z145+Z148+Z149+Z146)-Z147</f>
        <v>#VALUE!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0</v>
      </c>
      <c r="AI150" s="157" t="e">
        <f aca="false">(AI144+AI145+AI148+AI149+AI146)-AI147</f>
        <v>#VALUE!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40" t="n">
        <f aca="false">F151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3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n">
        <v>0</v>
      </c>
      <c r="C153" s="161"/>
      <c r="D153" s="161"/>
      <c r="E153" s="161"/>
      <c r="F153" s="161"/>
      <c r="G153" s="40" t="n">
        <v>0</v>
      </c>
      <c r="H153" s="40" t="n"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40" t="n"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40" t="n"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64" t="n">
        <f aca="false">G150-((G153*1.2)+(G154*1.2)+(G155*1.2)+(G151*1.2))</f>
        <v>25149.996</v>
      </c>
      <c r="H156" s="164" t="n">
        <f aca="false">H150-((H153*1.2)+(H154*1.2)+(H155*1.2)+(H151*1.2))</f>
        <v>27249.996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0</v>
      </c>
      <c r="Q156" s="164" t="e">
        <f aca="false">Q150-((Q153*1.2)+(Q154*1.2)+(Q155*1.2)+(Q151*1.2))</f>
        <v>#VALUE!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0</v>
      </c>
      <c r="Z156" s="164" t="e">
        <f aca="false">Z150-((Z153*1.2)+(Z154*1.2)+(Z155*1.2)+(Z151*1.2))</f>
        <v>#VALUE!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0</v>
      </c>
      <c r="AI156" s="164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5"/>
      <c r="H157" s="40" t="n">
        <f aca="false">((H156-G156)-(H146-G146))+((I155-I154)*0.2)</f>
        <v>1750</v>
      </c>
      <c r="I157" s="1" t="n">
        <f aca="false">(H157-G90)/1.2</f>
        <v>-15173.6083333333</v>
      </c>
      <c r="J157" s="154" t="s">
        <v>172</v>
      </c>
      <c r="K157" s="154"/>
      <c r="L157" s="154"/>
      <c r="M157" s="154"/>
      <c r="N157" s="154"/>
      <c r="O157" s="154"/>
      <c r="P157" s="156"/>
      <c r="Q157" s="40" t="e">
        <f aca="false">Q156-P156</f>
        <v>#VALUE!</v>
      </c>
      <c r="S157" s="154" t="s">
        <v>172</v>
      </c>
      <c r="T157" s="154"/>
      <c r="U157" s="154"/>
      <c r="V157" s="154"/>
      <c r="W157" s="154"/>
      <c r="X157" s="154"/>
      <c r="Y157" s="156"/>
      <c r="Z157" s="40" t="e">
        <f aca="false">Z156-Y156</f>
        <v>#VALUE!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</v>
      </c>
      <c r="F161" s="107"/>
      <c r="G161" s="107" t="n">
        <v>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27249.996</v>
      </c>
      <c r="H167" s="170"/>
      <c r="J167" s="169" t="s">
        <v>179</v>
      </c>
      <c r="K167" s="32"/>
      <c r="L167" s="32"/>
      <c r="M167" s="23"/>
      <c r="N167" s="32"/>
      <c r="O167" s="23"/>
      <c r="P167" s="170" t="e">
        <f aca="false">Q156-P163-P166</f>
        <v>#VALUE!</v>
      </c>
      <c r="Q167" s="170"/>
      <c r="S167" s="169" t="s">
        <v>179</v>
      </c>
      <c r="T167" s="32"/>
      <c r="U167" s="32"/>
      <c r="V167" s="23"/>
      <c r="W167" s="32"/>
      <c r="X167" s="23"/>
      <c r="Y167" s="170" t="e">
        <f aca="false">Z156-Y163-Y166</f>
        <v>#VALUE!</v>
      </c>
      <c r="Z167" s="170"/>
      <c r="AB167" s="169" t="s">
        <v>179</v>
      </c>
      <c r="AC167" s="32"/>
      <c r="AD167" s="32"/>
      <c r="AE167" s="23"/>
      <c r="AF167" s="32"/>
      <c r="AG167" s="23"/>
      <c r="AH167" s="170" t="e">
        <f aca="false">AI156-AH163-AH166</f>
        <v>#VALUE!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199.99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1418.05186334809</v>
      </c>
      <c r="B176" s="177" t="n">
        <f aca="false">B103</f>
        <v>0</v>
      </c>
      <c r="C176" s="174"/>
      <c r="D176" s="174"/>
      <c r="E176" s="177" t="n">
        <f aca="false">B105</f>
        <v>1418.05186334809</v>
      </c>
      <c r="F176" s="23"/>
      <c r="G176" s="23" t="n">
        <f aca="false">ROUND(G104, 2)</f>
        <v>1345.91</v>
      </c>
      <c r="H176" s="33"/>
      <c r="J176" s="176" t="e">
        <f aca="false">K104</f>
        <v>#VALUE!</v>
      </c>
      <c r="K176" s="178" t="n">
        <f aca="false">K103</f>
        <v>0</v>
      </c>
      <c r="L176" s="175"/>
      <c r="M176" s="175"/>
      <c r="N176" s="178" t="e">
        <f aca="false">K105</f>
        <v>#VALUE!</v>
      </c>
      <c r="O176" s="23"/>
      <c r="P176" s="23"/>
      <c r="Q176" s="33"/>
      <c r="S176" s="176" t="e">
        <f aca="false">T104</f>
        <v>#VALUE!</v>
      </c>
      <c r="T176" s="178" t="n">
        <f aca="false">T103</f>
        <v>0</v>
      </c>
      <c r="U176" s="175"/>
      <c r="V176" s="175"/>
      <c r="W176" s="178" t="e">
        <f aca="false">T105</f>
        <v>#VALUE!</v>
      </c>
      <c r="X176" s="23"/>
      <c r="Y176" s="23"/>
      <c r="Z176" s="33"/>
      <c r="AB176" s="176" t="e">
        <f aca="false">AC104</f>
        <v>#VALUE!</v>
      </c>
      <c r="AC176" s="178" t="n">
        <f aca="false">AC103</f>
        <v>0</v>
      </c>
      <c r="AD176" s="175"/>
      <c r="AE176" s="175"/>
      <c r="AF176" s="178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str">
        <f aca="false">K29</f>
        <v>12</v>
      </c>
      <c r="B179" s="180" t="str">
        <f aca="false">K30</f>
        <v>5000</v>
      </c>
      <c r="C179" s="181"/>
      <c r="D179" s="23"/>
      <c r="E179" s="182" t="n">
        <v>6000</v>
      </c>
      <c r="F179" s="23"/>
      <c r="G179" s="23"/>
      <c r="H179" s="33"/>
      <c r="J179" s="179" t="str">
        <f aca="false">K29</f>
        <v>12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12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12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22708.33</v>
      </c>
      <c r="B182" s="103" t="n">
        <f aca="false">H146</f>
        <v>4541.666</v>
      </c>
      <c r="C182" s="186"/>
      <c r="D182" s="23"/>
      <c r="E182" s="182" t="n">
        <f aca="false">H148+H149</f>
        <v>0</v>
      </c>
      <c r="F182" s="23"/>
      <c r="G182" s="23"/>
      <c r="H182" s="33"/>
      <c r="J182" s="185" t="e">
        <f aca="false">Q150-Q146-Q148-Q149</f>
        <v>#VALUE!</v>
      </c>
      <c r="K182" s="38" t="e">
        <f aca="false">Q146</f>
        <v>#VALUE!</v>
      </c>
      <c r="L182" s="43"/>
      <c r="M182" s="23"/>
      <c r="N182" s="184" t="n">
        <f aca="false">Q148+Q149</f>
        <v>55</v>
      </c>
      <c r="O182" s="23"/>
      <c r="P182" s="23"/>
      <c r="Q182" s="33"/>
      <c r="S182" s="185" t="e">
        <f aca="false">Z150-Z146-Z148-Z149</f>
        <v>#VALUE!</v>
      </c>
      <c r="T182" s="38" t="e">
        <f aca="false">Z146</f>
        <v>#VALUE!</v>
      </c>
      <c r="U182" s="43"/>
      <c r="V182" s="23"/>
      <c r="W182" s="184" t="n">
        <f aca="false">Z148+Z149</f>
        <v>55</v>
      </c>
      <c r="X182" s="23"/>
      <c r="Y182" s="23"/>
      <c r="Z182" s="33"/>
      <c r="AB182" s="185" t="e">
        <f aca="false">AI150-AI146-AI148-AI149</f>
        <v>#VALUE!</v>
      </c>
      <c r="AC182" s="38" t="e">
        <f aca="false">AI146</f>
        <v>#VALUE!</v>
      </c>
      <c r="AD182" s="43"/>
      <c r="AE182" s="23"/>
      <c r="AF182" s="184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27249.996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27249.996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-5651.42550317099</v>
      </c>
      <c r="B191" s="103" t="str">
        <f aca="false">B123</f>
        <v>199.99</v>
      </c>
      <c r="C191" s="103"/>
      <c r="D191" s="23"/>
      <c r="E191" s="103" t="n">
        <f aca="false">E188+A191+(B191*1.2)+A194</f>
        <v>21848.558496829</v>
      </c>
      <c r="F191" s="23"/>
      <c r="G191" s="23"/>
      <c r="H191" s="105"/>
      <c r="J191" s="111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5"/>
      <c r="S191" s="111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5"/>
      <c r="AB191" s="111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A188+B191*1.2</f>
        <v>239.988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</f>
        <v>7.4808</v>
      </c>
      <c r="B197" s="103" t="n">
        <f aca="false">(G167*B76)/1.2</f>
        <v>113.54165</v>
      </c>
      <c r="C197" s="93"/>
      <c r="D197" s="93"/>
      <c r="E197" s="103" t="n">
        <f aca="false">K55*A117*0.1</f>
        <v>0</v>
      </c>
      <c r="F197" s="23"/>
      <c r="G197" s="23"/>
      <c r="H197" s="33"/>
      <c r="J197" s="111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B191-100</f>
        <v>99.99</v>
      </c>
      <c r="B200" s="103" t="n">
        <f aca="false">B197+E197+A200</f>
        <v>213.53165</v>
      </c>
      <c r="C200" s="93"/>
      <c r="D200" s="93"/>
      <c r="E200" s="103" t="n">
        <f aca="false">H157</f>
        <v>1750</v>
      </c>
      <c r="F200" s="23"/>
      <c r="G200" s="23"/>
      <c r="H200" s="33"/>
      <c r="J200" s="111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11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11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1418.05186334809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-6444.986</v>
      </c>
      <c r="B210" s="186" t="n">
        <f aca="false">E188+A210+(B191*1.2)+A194</f>
        <v>21054.998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12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1418.05186334809</v>
      </c>
      <c r="B221" s="177" t="n">
        <f aca="false">B176</f>
        <v>0</v>
      </c>
      <c r="C221" s="174"/>
      <c r="D221" s="174"/>
      <c r="E221" s="177" t="n">
        <f aca="false">E176</f>
        <v>1418.05186334809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22708.33</v>
      </c>
      <c r="B224" s="103" t="n">
        <f aca="false">B182</f>
        <v>4541.666</v>
      </c>
      <c r="C224" s="186"/>
      <c r="D224" s="113"/>
      <c r="E224" s="182" t="n">
        <f aca="false">E182</f>
        <v>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27249.996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27249.996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-5651.42550317099</v>
      </c>
      <c r="B233" s="103" t="str">
        <f aca="false">B191</f>
        <v>199.99</v>
      </c>
      <c r="C233" s="103"/>
      <c r="D233" s="113"/>
      <c r="E233" s="103" t="n">
        <f aca="false">E191</f>
        <v>21848.558496829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239.988</v>
      </c>
      <c r="C236" s="103"/>
      <c r="D236" s="113"/>
      <c r="E236" s="103" t="n">
        <f aca="false">B68</f>
        <v>11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1418.05186334809</v>
      </c>
      <c r="B239" s="103" t="n">
        <f aca="false">B176</f>
        <v>0</v>
      </c>
      <c r="C239" s="186"/>
      <c r="D239" s="186"/>
      <c r="E239" s="103" t="n">
        <f aca="false">E176</f>
        <v>1418.05186334809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</f>
        <v>22.4424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7.4808</v>
      </c>
      <c r="B245" s="103" t="n">
        <f aca="false">E242+A245</f>
        <v>29.9232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1750</v>
      </c>
      <c r="B249" s="103" t="n">
        <f aca="false">B197</f>
        <v>113.54165</v>
      </c>
      <c r="C249" s="93"/>
      <c r="D249" s="93"/>
      <c r="E249" s="103" t="n">
        <f aca="false">E197</f>
        <v>0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</v>
      </c>
      <c r="B252" s="103" t="n">
        <f aca="false">B249+E249+A252+A249</f>
        <v>1963.53165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0.1255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200" t="n">
        <f aca="false">(E191-B191)-(B210-B191-A194)</f>
        <v>803.560496829006</v>
      </c>
      <c r="C263" s="197"/>
      <c r="D263" s="198" t="s">
        <v>216</v>
      </c>
      <c r="E263" s="198"/>
      <c r="F263" s="200" t="n">
        <f aca="false">F270+F276+F278+B279+B280</f>
        <v>136.24998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99.99</v>
      </c>
      <c r="C264" s="197"/>
      <c r="D264" s="198" t="s">
        <v>218</v>
      </c>
      <c r="E264" s="198"/>
      <c r="F264" s="200" t="n">
        <f aca="false">(B263-F263)+B264</f>
        <v>767.300516829006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0.05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0.1255</v>
      </c>
      <c r="C269" s="43"/>
      <c r="D269" s="166" t="s">
        <v>215</v>
      </c>
      <c r="E269" s="166"/>
      <c r="F269" s="146" t="n">
        <f aca="false">B263</f>
        <v>803.560496829006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0.005</v>
      </c>
      <c r="C270" s="32"/>
      <c r="D270" s="166" t="s">
        <v>221</v>
      </c>
      <c r="E270" s="166"/>
      <c r="F270" s="151" t="n">
        <f aca="false">B77</f>
        <v>136.24998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0.2</v>
      </c>
      <c r="C271" s="32"/>
      <c r="D271" s="166" t="s">
        <v>222</v>
      </c>
      <c r="E271" s="166"/>
      <c r="F271" s="146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</v>
      </c>
      <c r="C272" s="32"/>
      <c r="D272" s="39" t="s">
        <v>218</v>
      </c>
      <c r="E272" s="39"/>
      <c r="F272" s="146" t="n">
        <f aca="false">(B263-F263)+B264</f>
        <v>767.300516829006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24" colorId="64" zoomScale="85" zoomScaleNormal="85" zoomScalePageLayoutView="100" workbookViewId="0">
      <selection pane="topLeft" activeCell="F260" activeCellId="0" sqref="F260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25149.996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45295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0"/>
      <c r="J32" s="44" t="s">
        <v>37</v>
      </c>
      <c r="K32" s="45" t="s">
        <v>380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249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19958.33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500.363636363636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53" t="s">
        <v>4</v>
      </c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500.363636363636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37404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17662.6606535404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255.4687125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19958.33</v>
      </c>
      <c r="C81" s="93"/>
      <c r="D81" s="93"/>
      <c r="E81" s="113"/>
      <c r="F81" s="25" t="s">
        <v>105</v>
      </c>
      <c r="G81" s="27" t="n">
        <f aca="false">B81</f>
        <v>19958.33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0.115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0.00958333333333333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4379.8532592462</v>
      </c>
      <c r="C86" s="93" t="n">
        <f aca="false">(B82/((1+B84)^(B85+1)))</f>
        <v>4379.8532592462</v>
      </c>
      <c r="D86" s="93"/>
      <c r="E86" s="113"/>
      <c r="F86" s="31" t="s">
        <v>110</v>
      </c>
      <c r="G86" s="33" t="n">
        <f aca="false">(G82/((1+G84)^(G85+1)))</f>
        <v>5020.31079273804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27.4464895133802</v>
      </c>
      <c r="C87" s="93" t="n">
        <f aca="false">((1-(1/((1+B84)^B85)))/B84)</f>
        <v>27.4464895133802</v>
      </c>
      <c r="D87" s="93"/>
      <c r="E87" s="113"/>
      <c r="F87" s="31" t="s">
        <v>111</v>
      </c>
      <c r="G87" s="33" t="n">
        <f aca="false">((1-(1/((1+G84)^G85)))/G84)</f>
        <v>29.3075648349115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15578.4767407538</v>
      </c>
      <c r="C88" s="93" t="n">
        <f aca="false">B81-B86</f>
        <v>15578.4767407538</v>
      </c>
      <c r="D88" s="93"/>
      <c r="E88" s="113"/>
      <c r="F88" s="31" t="s">
        <v>112</v>
      </c>
      <c r="G88" s="33" t="n">
        <f aca="false">G81-G86</f>
        <v>14938.019207262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567.594509059502</v>
      </c>
      <c r="C89" s="93" t="n">
        <f aca="false">(B88/B87)</f>
        <v>567.594509059502</v>
      </c>
      <c r="D89" s="93"/>
      <c r="E89" s="113"/>
      <c r="F89" s="31" t="s">
        <v>113</v>
      </c>
      <c r="G89" s="33" t="n">
        <f aca="false">(G88/G87)</f>
        <v>509.698410339013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18163.0242899041</v>
      </c>
      <c r="C90" s="93"/>
      <c r="D90" s="93"/>
      <c r="E90" s="113"/>
      <c r="F90" s="31" t="s">
        <v>114</v>
      </c>
      <c r="G90" s="33" t="n">
        <f aca="false">((G89*(G85))+G77)</f>
        <v>16310.3491308484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18163.0242899041</v>
      </c>
      <c r="C92" s="93"/>
      <c r="D92" s="93"/>
      <c r="E92" s="113"/>
      <c r="F92" s="56" t="s">
        <v>116</v>
      </c>
      <c r="G92" s="65" t="n">
        <f aca="false">(G90+G91)</f>
        <v>16310.3491308484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IF(B38="YES",((H36/B85)*(1+A108)*1.2),"0")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567.594509059502</v>
      </c>
      <c r="C95" s="93"/>
      <c r="D95" s="93"/>
      <c r="E95" s="113"/>
      <c r="F95" s="95" t="s">
        <v>118</v>
      </c>
      <c r="G95" s="96" t="n">
        <f aca="false">G92/(G85)</f>
        <v>509.698410339013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567.594509059502</v>
      </c>
      <c r="C96" s="93"/>
      <c r="D96" s="93"/>
      <c r="E96" s="113"/>
      <c r="F96" s="97" t="s">
        <v>119</v>
      </c>
      <c r="G96" s="98" t="n">
        <f aca="false">G94+G95</f>
        <v>509.698410339013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235</v>
      </c>
      <c r="C108" s="107"/>
      <c r="D108" s="107" t="n">
        <v>0</v>
      </c>
      <c r="E108" s="108" t="n">
        <f aca="false">B83</f>
        <v>0.115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25149.996</v>
      </c>
      <c r="C121" s="121" t="n">
        <v>22708.33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25149.996</v>
      </c>
      <c r="C125" s="133" t="n">
        <f aca="false">C121-C124</f>
        <v>22708.33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20958.33</v>
      </c>
      <c r="H135" s="153" t="n">
        <f aca="false">C125+E125+G125+H128</f>
        <v>22708.33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4191.666</v>
      </c>
      <c r="H137" s="33" t="n">
        <f aca="false">(H135+H136)*20%</f>
        <v>4541.666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25149.996</v>
      </c>
      <c r="H141" s="157" t="n">
        <f aca="false">(H135+H136+H139+H140+H137)-H138</f>
        <v>27249.996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25149.996</v>
      </c>
      <c r="H147" s="164" t="n">
        <f aca="false">H141-((H144*1.2)+(H145*1.2)+(H146*1.2)+(H142*1.2))</f>
        <v>27249.996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1750</v>
      </c>
      <c r="I148" s="1" t="n">
        <f aca="false">(H148-G81)/1.2</f>
        <v>-15173.6083333333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27249.996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567.594509059502</v>
      </c>
      <c r="B167" s="177" t="str">
        <f aca="false">B94</f>
        <v>0</v>
      </c>
      <c r="C167" s="174"/>
      <c r="D167" s="174"/>
      <c r="E167" s="177" t="n">
        <f aca="false">B96</f>
        <v>567.594509059502</v>
      </c>
      <c r="F167" s="23"/>
      <c r="G167" s="23" t="n">
        <f aca="false">ROUND(G95, 2)</f>
        <v>509.7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n">
        <f aca="false">B29</f>
        <v>12345</v>
      </c>
      <c r="B170" s="180" t="n">
        <f aca="false">B30</f>
        <v>0</v>
      </c>
      <c r="C170" s="181"/>
      <c r="D170" s="23"/>
      <c r="E170" s="182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22708.33</v>
      </c>
      <c r="B173" s="103" t="n">
        <f aca="false">H137</f>
        <v>4541.666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27249.996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27249.996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-3086.97171009595</v>
      </c>
      <c r="B182" s="103" t="str">
        <f aca="false">B114</f>
        <v>239.99</v>
      </c>
      <c r="C182" s="103"/>
      <c r="D182" s="23"/>
      <c r="E182" s="103" t="n">
        <f aca="false">E179+A182+B182+A185</f>
        <v>24413.0142899041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8.97696</v>
      </c>
      <c r="B188" s="103" t="n">
        <f aca="false">(G158*B67)/1.2</f>
        <v>212.89059375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312.882260416667</v>
      </c>
      <c r="C191" s="93"/>
      <c r="D191" s="93"/>
      <c r="E191" s="103" t="n">
        <f aca="false">H148</f>
        <v>1750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567.594509059502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-4939.596</v>
      </c>
      <c r="B201" s="186" t="n">
        <f aca="false">E179+A201+B182+A185</f>
        <v>22560.39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567.594509059502</v>
      </c>
      <c r="B212" s="177" t="str">
        <f aca="false">B167</f>
        <v>0</v>
      </c>
      <c r="C212" s="174"/>
      <c r="D212" s="174"/>
      <c r="E212" s="177" t="n">
        <f aca="false">E167</f>
        <v>567.594509059502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22708.33</v>
      </c>
      <c r="B215" s="103" t="n">
        <f aca="false">B173</f>
        <v>4541.666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27249.996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27249.996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-3086.97171009595</v>
      </c>
      <c r="B224" s="103" t="str">
        <f aca="false">B182</f>
        <v>239.99</v>
      </c>
      <c r="C224" s="103"/>
      <c r="D224" s="113"/>
      <c r="E224" s="103" t="n">
        <f aca="false">E182</f>
        <v>24413.0142899041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567.594509059502</v>
      </c>
      <c r="B230" s="103" t="str">
        <f aca="false">B167</f>
        <v>0</v>
      </c>
      <c r="C230" s="186"/>
      <c r="D230" s="186"/>
      <c r="E230" s="103" t="n">
        <f aca="false">E167</f>
        <v>567.594509059502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J18*0.000006*100*1.2</f>
        <v>26.93088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8.97696</v>
      </c>
      <c r="B236" s="103" t="n">
        <f aca="false">E233+A236</f>
        <v>35.90784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1750</v>
      </c>
      <c r="B240" s="103" t="n">
        <f aca="false">B188</f>
        <v>212.89059375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2062.88226041667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1862.62428990405</v>
      </c>
      <c r="C254" s="197"/>
      <c r="D254" s="198" t="s">
        <v>216</v>
      </c>
      <c r="E254" s="198"/>
      <c r="F254" s="200" t="n">
        <f aca="false">F261+F267+F269+B270+B271</f>
        <v>255.4687125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1707.14724407071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0.115</v>
      </c>
      <c r="C260" s="43"/>
      <c r="D260" s="166" t="s">
        <v>215</v>
      </c>
      <c r="E260" s="166"/>
      <c r="F260" s="146" t="n">
        <f aca="false">B254</f>
        <v>1862.62428990405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255.4687125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1707.14724407071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23" colorId="64" zoomScale="85" zoomScaleNormal="85" zoomScalePageLayoutView="100" workbookViewId="0">
      <selection pane="topLeft" activeCell="F260" activeCellId="0" sqref="F260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25149.996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45295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0"/>
      <c r="J32" s="44" t="s">
        <v>37</v>
      </c>
      <c r="K32" s="45" t="s">
        <v>380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s">
        <v>250</v>
      </c>
      <c r="I36" s="0"/>
      <c r="J36" s="44" t="s">
        <v>51</v>
      </c>
      <c r="K36" s="52" t="n">
        <f aca="false">K32-K34</f>
        <v>19958.33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n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37404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0.072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15387.4472240485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136.24998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19958.33</v>
      </c>
      <c r="C81" s="93"/>
      <c r="D81" s="93"/>
      <c r="E81" s="113"/>
      <c r="F81" s="25" t="s">
        <v>105</v>
      </c>
      <c r="G81" s="27" t="n">
        <f aca="false">B81</f>
        <v>19958.33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0.1475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0.0122916666666667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5181.83177930431</v>
      </c>
      <c r="C86" s="93" t="n">
        <f aca="false">(B82/((1+B84)^(B85+1)))</f>
        <v>5181.83177930431</v>
      </c>
      <c r="D86" s="93"/>
      <c r="E86" s="113"/>
      <c r="F86" s="31" t="s">
        <v>110</v>
      </c>
      <c r="G86" s="33" t="n">
        <f aca="false">(G82/((1+G84)^(G85+1)))</f>
        <v>5623.39108453416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10.2301677524304</v>
      </c>
      <c r="C87" s="93" t="n">
        <f aca="false">((1-(1/((1+B84)^B85)))/B84)</f>
        <v>10.2301677524304</v>
      </c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14776.4982206957</v>
      </c>
      <c r="C88" s="93" t="n">
        <f aca="false">B81-B86</f>
        <v>14776.4982206957</v>
      </c>
      <c r="D88" s="93"/>
      <c r="E88" s="113"/>
      <c r="F88" s="31" t="s">
        <v>112</v>
      </c>
      <c r="G88" s="33" t="n">
        <f aca="false">G81-G86</f>
        <v>14334.9389154658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1444.40429309532</v>
      </c>
      <c r="C89" s="93" t="n">
        <f aca="false">(B88/B87)</f>
        <v>1444.40429309532</v>
      </c>
      <c r="D89" s="93"/>
      <c r="E89" s="113"/>
      <c r="F89" s="31" t="s">
        <v>113</v>
      </c>
      <c r="G89" s="33" t="n">
        <f aca="false">(G88/G87)</f>
        <v>1345.91079474573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15888.4472240485</v>
      </c>
      <c r="C90" s="93"/>
      <c r="D90" s="93"/>
      <c r="E90" s="113"/>
      <c r="F90" s="31" t="s">
        <v>114</v>
      </c>
      <c r="G90" s="33" t="n">
        <f aca="false">((G89*(G85))+G77)</f>
        <v>14805.018742203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15888.4472240485</v>
      </c>
      <c r="C92" s="93"/>
      <c r="D92" s="93"/>
      <c r="E92" s="113"/>
      <c r="F92" s="56" t="s">
        <v>116</v>
      </c>
      <c r="G92" s="65" t="n">
        <f aca="false">(G90+G91)</f>
        <v>14805.018742203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n">
        <f aca="false">IF(B38="YES",((H36/B85)*(1+A108)),"0")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1444.40429309532</v>
      </c>
      <c r="C95" s="93"/>
      <c r="D95" s="93"/>
      <c r="E95" s="113"/>
      <c r="F95" s="95" t="s">
        <v>118</v>
      </c>
      <c r="G95" s="96" t="n">
        <f aca="false">G92/(G85)</f>
        <v>1345.91079474573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1444.40429309532</v>
      </c>
      <c r="C96" s="93"/>
      <c r="D96" s="93"/>
      <c r="E96" s="113"/>
      <c r="F96" s="97" t="s">
        <v>119</v>
      </c>
      <c r="G96" s="98" t="n">
        <f aca="false">G94+G95</f>
        <v>1345.91079474573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18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235</v>
      </c>
      <c r="C108" s="107"/>
      <c r="D108" s="107" t="n">
        <v>0</v>
      </c>
      <c r="E108" s="108" t="n">
        <f aca="false">B83</f>
        <v>0.1475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236</v>
      </c>
      <c r="C114" s="107"/>
      <c r="D114" s="107"/>
      <c r="E114" s="107" t="s">
        <v>18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25149.996</v>
      </c>
      <c r="C121" s="121" t="n">
        <v>22708.33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25149.996</v>
      </c>
      <c r="C125" s="133" t="n">
        <f aca="false">C121-C124</f>
        <v>22708.33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20958.33</v>
      </c>
      <c r="H135" s="153" t="n">
        <f aca="false">C125+E125+G125+H128</f>
        <v>22708.33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4191.666</v>
      </c>
      <c r="H137" s="33" t="n">
        <f aca="false">(H135+H136)*20%</f>
        <v>4541.666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25149.996</v>
      </c>
      <c r="H141" s="157" t="n">
        <f aca="false">(H135+H136+H139+H140+H137)-H138</f>
        <v>27249.996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25149.996</v>
      </c>
      <c r="H147" s="164" t="n">
        <f aca="false">H141-((H144*1.2)+(H145*1.2)+(H146*1.2)+(H142*1.2))</f>
        <v>27249.996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1750</v>
      </c>
      <c r="I148" s="1" t="n">
        <f aca="false">(H148-G81)/1.2</f>
        <v>-15173.6083333333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27249.996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 t="n">
        <v>0</v>
      </c>
      <c r="F161" s="23"/>
      <c r="G161" s="23" t="n">
        <v>0</v>
      </c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 t="n">
        <v>0</v>
      </c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1444.40429309532</v>
      </c>
      <c r="B167" s="177" t="n">
        <f aca="false">B94</f>
        <v>0</v>
      </c>
      <c r="C167" s="174"/>
      <c r="D167" s="174"/>
      <c r="E167" s="177" t="n">
        <f aca="false">B96</f>
        <v>1444.40429309532</v>
      </c>
      <c r="F167" s="23"/>
      <c r="G167" s="23" t="n">
        <f aca="false">ROUND(G95, 2)</f>
        <v>1345.91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180" t="str">
        <f aca="false">H30</f>
        <v>5000</v>
      </c>
      <c r="C170" s="181"/>
      <c r="D170" s="23"/>
      <c r="E170" s="182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22708.33</v>
      </c>
      <c r="B173" s="103" t="n">
        <f aca="false">H137</f>
        <v>4541.666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27249.996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27249.996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-5361.5487759515</v>
      </c>
      <c r="B182" s="103" t="str">
        <f aca="false">B114</f>
        <v>199.99</v>
      </c>
      <c r="C182" s="103"/>
      <c r="D182" s="23"/>
      <c r="E182" s="103" t="n">
        <f aca="false">E179+A182+(B182*1.2)+A185</f>
        <v>22138.4352240485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239.988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7.4808</v>
      </c>
      <c r="B188" s="103" t="n">
        <f aca="false">(G158*B67)/1.2</f>
        <v>113.54165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213.53165</v>
      </c>
      <c r="C191" s="93"/>
      <c r="D191" s="93"/>
      <c r="E191" s="103" t="n">
        <f aca="false">H148</f>
        <v>1750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1444.40429309532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-6444.986</v>
      </c>
      <c r="B201" s="186" t="n">
        <f aca="false">E179+A201+(B182*1.2)+A185</f>
        <v>21054.998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1444.40429309532</v>
      </c>
      <c r="B212" s="177" t="n">
        <f aca="false">B167</f>
        <v>0</v>
      </c>
      <c r="C212" s="174"/>
      <c r="D212" s="174"/>
      <c r="E212" s="177" t="n">
        <f aca="false">E167</f>
        <v>1444.40429309532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22708.33</v>
      </c>
      <c r="B215" s="103" t="n">
        <f aca="false">B173</f>
        <v>4541.666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27249.996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27249.996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-5361.5487759515</v>
      </c>
      <c r="B224" s="103" t="str">
        <f aca="false">B182</f>
        <v>199.99</v>
      </c>
      <c r="C224" s="103"/>
      <c r="D224" s="113"/>
      <c r="E224" s="103" t="n">
        <f aca="false">E182</f>
        <v>22138.4352240485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1444.40429309532</v>
      </c>
      <c r="B230" s="103" t="n">
        <f aca="false">B167</f>
        <v>0</v>
      </c>
      <c r="C230" s="186"/>
      <c r="D230" s="186"/>
      <c r="E230" s="103" t="n">
        <f aca="false">E167</f>
        <v>1444.40429309532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J18*0.000006*100</f>
        <v>22.4424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7.4808</v>
      </c>
      <c r="B236" s="103" t="n">
        <f aca="false">E233+A236</f>
        <v>29.9232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1750</v>
      </c>
      <c r="B240" s="103" t="n">
        <f aca="false">B188</f>
        <v>113.54165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1963.53165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0.1475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1093.4372240485</v>
      </c>
      <c r="C254" s="197"/>
      <c r="D254" s="198" t="s">
        <v>216</v>
      </c>
      <c r="E254" s="198"/>
      <c r="F254" s="200" t="n">
        <f aca="false">F261+F267+F269+B270+B271</f>
        <v>136.24998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1057.1772440485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0.072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0.1475</v>
      </c>
      <c r="C260" s="43"/>
      <c r="D260" s="166" t="s">
        <v>215</v>
      </c>
      <c r="E260" s="166"/>
      <c r="F260" s="146" t="n">
        <f aca="false">B254</f>
        <v>1093.4372240485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136.24998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1057.1772440485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34" colorId="64" zoomScale="85" zoomScaleNormal="85" zoomScalePageLayoutView="100" workbookViewId="0">
      <selection pane="topLeft" activeCell="F260" activeCellId="0" sqref="F260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25149.996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45295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0"/>
      <c r="J32" s="44" t="s">
        <v>37</v>
      </c>
      <c r="K32" s="45" t="s">
        <v>380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19958.33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37404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0.024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14755.8916889165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136.24998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19958.33</v>
      </c>
      <c r="C81" s="93"/>
      <c r="D81" s="93"/>
      <c r="E81" s="113"/>
      <c r="F81" s="25" t="s">
        <v>105</v>
      </c>
      <c r="G81" s="27" t="n">
        <f aca="false">B81</f>
        <v>19958.33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0.0995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0.00829166666666667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5433.96849626786</v>
      </c>
      <c r="C86" s="93" t="n">
        <f aca="false">(B82/((1+B84)^(B85+1)))</f>
        <v>5433.96849626786</v>
      </c>
      <c r="D86" s="93"/>
      <c r="E86" s="113"/>
      <c r="F86" s="31" t="s">
        <v>110</v>
      </c>
      <c r="G86" s="33" t="n">
        <f aca="false">(G82/((1+G84)^(G85+1)))</f>
        <v>5623.39108453416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10.4718562469129</v>
      </c>
      <c r="C87" s="93" t="n">
        <f aca="false">((1-(1/((1+B84)^B85)))/B84)</f>
        <v>10.4718562469129</v>
      </c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14524.3615037321</v>
      </c>
      <c r="C88" s="93" t="n">
        <f aca="false">B81-B86</f>
        <v>14524.3615037321</v>
      </c>
      <c r="D88" s="93"/>
      <c r="E88" s="113"/>
      <c r="F88" s="31" t="s">
        <v>112</v>
      </c>
      <c r="G88" s="33" t="n">
        <f aca="false">G81-G86</f>
        <v>14334.9389154658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1386.99015353786</v>
      </c>
      <c r="C89" s="93" t="n">
        <f aca="false">(B88/B87)</f>
        <v>1386.99015353786</v>
      </c>
      <c r="D89" s="93"/>
      <c r="E89" s="113"/>
      <c r="F89" s="31" t="s">
        <v>113</v>
      </c>
      <c r="G89" s="33" t="n">
        <f aca="false">(G88/G87)</f>
        <v>1345.91079474573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15256.8916889165</v>
      </c>
      <c r="C90" s="93"/>
      <c r="D90" s="93"/>
      <c r="E90" s="113"/>
      <c r="F90" s="31" t="s">
        <v>114</v>
      </c>
      <c r="G90" s="33" t="n">
        <f aca="false">((G89*(G85))+G77)</f>
        <v>14805.018742203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15256.8916889165</v>
      </c>
      <c r="C92" s="93"/>
      <c r="D92" s="93"/>
      <c r="E92" s="113"/>
      <c r="F92" s="56" t="s">
        <v>116</v>
      </c>
      <c r="G92" s="65" t="n">
        <f aca="false">(G90+G91)</f>
        <v>14805.018742203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IF(B38="YES",((H36/B85)*(1+A108)*1.2),"0")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1386.99015353786</v>
      </c>
      <c r="C95" s="93"/>
      <c r="D95" s="93"/>
      <c r="E95" s="113"/>
      <c r="F95" s="95" t="s">
        <v>118</v>
      </c>
      <c r="G95" s="96" t="n">
        <f aca="false">G92/(G85)</f>
        <v>1345.91079474573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1386.99015353786</v>
      </c>
      <c r="C96" s="93"/>
      <c r="D96" s="93"/>
      <c r="E96" s="113"/>
      <c r="F96" s="97" t="s">
        <v>119</v>
      </c>
      <c r="G96" s="98" t="n">
        <f aca="false">G94+G95</f>
        <v>1345.91079474573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272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18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n">
        <v>0</v>
      </c>
      <c r="C108" s="107"/>
      <c r="D108" s="107" t="n">
        <v>0</v>
      </c>
      <c r="E108" s="108" t="n">
        <f aca="false">B83</f>
        <v>0.0995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25149.996</v>
      </c>
      <c r="C121" s="121" t="n">
        <v>22708.33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25149.996</v>
      </c>
      <c r="C125" s="133" t="n">
        <f aca="false">C121-C124</f>
        <v>22708.33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20958.33</v>
      </c>
      <c r="H135" s="153" t="n">
        <f aca="false">C125+E125+G125+H128</f>
        <v>22708.33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4191.666</v>
      </c>
      <c r="H137" s="33" t="n">
        <f aca="false">(H135+H136)*20%</f>
        <v>4541.666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25149.996</v>
      </c>
      <c r="H141" s="157" t="n">
        <f aca="false">(H135+H136+H139+H140+H137)-H138</f>
        <v>27249.996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25149.996</v>
      </c>
      <c r="H147" s="164" t="n">
        <f aca="false">H141-((H144*1.2)+(H145*1.2)+(H146*1.2)+(H142*1.2))</f>
        <v>27249.996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1750</v>
      </c>
      <c r="I148" s="1" t="n">
        <f aca="false">(H148-G81)/1.2</f>
        <v>-15173.6083333333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27249.996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1386.99015353786</v>
      </c>
      <c r="B167" s="177" t="str">
        <f aca="false">B94</f>
        <v>0</v>
      </c>
      <c r="C167" s="174"/>
      <c r="D167" s="174"/>
      <c r="E167" s="177" t="n">
        <f aca="false">B96</f>
        <v>1386.99015353786</v>
      </c>
      <c r="F167" s="23"/>
      <c r="G167" s="23" t="n">
        <f aca="false">ROUND(G95, 2)</f>
        <v>1345.91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229" t="str">
        <f aca="false">H30</f>
        <v>5000</v>
      </c>
      <c r="C170" s="181"/>
      <c r="D170" s="23"/>
      <c r="E170" s="182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22708.33</v>
      </c>
      <c r="B173" s="103" t="n">
        <f aca="false">H137</f>
        <v>4541.666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27249.996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27249.996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-5993.10431108352</v>
      </c>
      <c r="B182" s="103" t="str">
        <f aca="false">B114</f>
        <v>239.99</v>
      </c>
      <c r="C182" s="103"/>
      <c r="D182" s="23"/>
      <c r="E182" s="103" t="n">
        <f aca="false">E179+A182+B182+A185</f>
        <v>21506.8816889165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8.97696</v>
      </c>
      <c r="B188" s="103" t="n">
        <f aca="false">(G158*B67)/1.2</f>
        <v>113.54165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213.533316666667</v>
      </c>
      <c r="C191" s="93"/>
      <c r="D191" s="93"/>
      <c r="E191" s="103" t="n">
        <f aca="false">H148</f>
        <v>1750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1386.99015353786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-6444.986</v>
      </c>
      <c r="B201" s="186" t="n">
        <f aca="false">E179+A201+B182+A185</f>
        <v>21055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1386.99015353786</v>
      </c>
      <c r="B212" s="177" t="str">
        <f aca="false">B167</f>
        <v>0</v>
      </c>
      <c r="C212" s="174"/>
      <c r="D212" s="174"/>
      <c r="E212" s="177" t="n">
        <f aca="false">E167</f>
        <v>1386.99015353786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22708.33</v>
      </c>
      <c r="B215" s="103" t="n">
        <f aca="false">B173</f>
        <v>4541.666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27249.996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27249.996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-5993.10431108352</v>
      </c>
      <c r="B224" s="103" t="str">
        <f aca="false">B182</f>
        <v>239.99</v>
      </c>
      <c r="C224" s="103"/>
      <c r="D224" s="113"/>
      <c r="E224" s="103" t="n">
        <f aca="false">E182</f>
        <v>21506.8816889165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1386.99015353786</v>
      </c>
      <c r="B230" s="103" t="str">
        <f aca="false">B167</f>
        <v>0</v>
      </c>
      <c r="C230" s="186"/>
      <c r="D230" s="186"/>
      <c r="E230" s="103" t="n">
        <f aca="false">E167</f>
        <v>1386.99015353786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A188</f>
        <v>8.97696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1750</v>
      </c>
      <c r="B240" s="103" t="n">
        <f aca="false">B188</f>
        <v>113.54165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1963.53331666667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0.0995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461.881688916481</v>
      </c>
      <c r="C254" s="197"/>
      <c r="D254" s="198" t="s">
        <v>216</v>
      </c>
      <c r="E254" s="198"/>
      <c r="F254" s="200" t="n">
        <f aca="false">F261+F267+F269+B270+B271</f>
        <v>136.24998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425.623375583148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0.024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0.0995</v>
      </c>
      <c r="C260" s="43"/>
      <c r="D260" s="166" t="s">
        <v>215</v>
      </c>
      <c r="E260" s="166"/>
      <c r="F260" s="146" t="n">
        <f aca="false">B254</f>
        <v>461.881688916481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136.24998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425.623375583148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41" colorId="64" zoomScale="85" zoomScaleNormal="85" zoomScalePageLayoutView="100" workbookViewId="0">
      <selection pane="topLeft" activeCell="F261" activeCellId="0" sqref="F261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25149.996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18375.0</v>
      </c>
      <c r="C9" s="14" t="n">
        <f aca="false">B9*0.2</f>
        <v>4191.666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45295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0"/>
      <c r="J32" s="44" t="s">
        <v>37</v>
      </c>
      <c r="K32" s="263" t="s">
        <v>413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391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408</v>
      </c>
      <c r="C35" s="223"/>
      <c r="D35" s="223" t="s">
        <v>409</v>
      </c>
      <c r="E35" s="223"/>
      <c r="F35" s="63"/>
      <c r="G35" s="233"/>
      <c r="H35" s="234"/>
      <c r="I35" s="0"/>
      <c r="J35" s="44"/>
      <c r="K35" s="12" t="n">
        <v>0.07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33000.0</v>
      </c>
      <c r="I36" s="0"/>
      <c r="J36" s="44" t="s">
        <v>51</v>
      </c>
      <c r="K36" s="52" t="n">
        <f aca="false">K32-K34</f>
        <v>19958.33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406</v>
      </c>
      <c r="C38" s="223"/>
      <c r="D38" s="104" t="s">
        <v>393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392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264" t="s">
        <v>4</v>
      </c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10.0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37404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0.07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15097.570496829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136.24998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0.0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0.0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0.0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0.0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0.0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0.0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19958.33</v>
      </c>
      <c r="C81" s="93"/>
      <c r="D81" s="93"/>
      <c r="E81" s="113"/>
      <c r="F81" s="25" t="s">
        <v>105</v>
      </c>
      <c r="G81" s="27" t="n">
        <f aca="false">B81</f>
        <v>19958.33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0.1255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0.0104583333333333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5295.78483323301</v>
      </c>
      <c r="C86" s="93" t="n">
        <f aca="false">(B82/((1+B84)^(B85+1)))</f>
        <v>5295.78483323301</v>
      </c>
      <c r="D86" s="93"/>
      <c r="E86" s="113"/>
      <c r="F86" s="31" t="s">
        <v>110</v>
      </c>
      <c r="G86" s="33" t="n">
        <f aca="false">(G82/((1+G84)^(G85+1)))</f>
        <v>5623.39108453416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10.3399216528992</v>
      </c>
      <c r="C87" s="93" t="n">
        <f aca="false">((1-(1/((1+B84)^B85)))/B84)</f>
        <v>10.3399216528992</v>
      </c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14662.545166767</v>
      </c>
      <c r="C88" s="93" t="n">
        <f aca="false">B81-B86</f>
        <v>14662.545166767</v>
      </c>
      <c r="D88" s="93"/>
      <c r="E88" s="113"/>
      <c r="F88" s="31" t="s">
        <v>112</v>
      </c>
      <c r="G88" s="33" t="n">
        <f aca="false">G81-G86</f>
        <v>14334.9389154658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1418.05186334809</v>
      </c>
      <c r="C89" s="93" t="n">
        <f aca="false">(B88/B87)</f>
        <v>1418.05186334809</v>
      </c>
      <c r="D89" s="93"/>
      <c r="E89" s="113"/>
      <c r="F89" s="31" t="s">
        <v>113</v>
      </c>
      <c r="G89" s="33" t="n">
        <f aca="false">(G88/G87)</f>
        <v>1345.91079474573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15598.570496829</v>
      </c>
      <c r="C90" s="93"/>
      <c r="D90" s="93"/>
      <c r="E90" s="113"/>
      <c r="F90" s="31" t="s">
        <v>114</v>
      </c>
      <c r="G90" s="33" t="n">
        <f aca="false">((G89*(G85))+G77)</f>
        <v>14805.018742203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15598.570496829</v>
      </c>
      <c r="C92" s="93"/>
      <c r="D92" s="93"/>
      <c r="E92" s="113"/>
      <c r="F92" s="56" t="s">
        <v>116</v>
      </c>
      <c r="G92" s="65" t="n">
        <f aca="false">(G90+G91)</f>
        <v>14805.018742203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1418.05186334809</v>
      </c>
      <c r="C95" s="93"/>
      <c r="D95" s="93"/>
      <c r="E95" s="113"/>
      <c r="F95" s="95" t="s">
        <v>118</v>
      </c>
      <c r="G95" s="96" t="n">
        <f aca="false">G92/(G85)</f>
        <v>1345.91079474573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1418.05186334809</v>
      </c>
      <c r="C96" s="93"/>
      <c r="D96" s="93"/>
      <c r="E96" s="113"/>
      <c r="F96" s="97" t="s">
        <v>119</v>
      </c>
      <c r="G96" s="98" t="n">
        <f aca="false">G94+G95</f>
        <v>1345.91079474573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406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415</v>
      </c>
      <c r="C108" s="107"/>
      <c r="D108" s="107" t="n">
        <v>0.0</v>
      </c>
      <c r="E108" s="108" t="n">
        <f aca="false">B83</f>
        <v>0.1255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398</v>
      </c>
      <c r="B111" s="107" t="n">
        <v>5000.0</v>
      </c>
      <c r="C111" s="107"/>
      <c r="D111" s="107"/>
      <c r="E111" s="107" t="n">
        <v>4000.0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414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25149.996</v>
      </c>
      <c r="C121" s="121" t="n">
        <v>20208.33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25149.996</v>
      </c>
      <c r="C125" s="133" t="n">
        <f aca="false">C121-C124</f>
        <v>22708.33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20958.33</v>
      </c>
      <c r="H135" s="153" t="n">
        <f aca="false">C125+E125+G125+H128</f>
        <v>22708.33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4191.666</v>
      </c>
      <c r="H137" s="33" t="n">
        <f aca="false">(H135+H136)*20%</f>
        <v>4541.666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25149.996</v>
      </c>
      <c r="H141" s="157" t="n">
        <f aca="false">(H135+H136+H139+H140+H137)-H138</f>
        <v>27249.996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25149.996</v>
      </c>
      <c r="H147" s="164" t="n">
        <f aca="false">H141-((H144*1.2)+(H145*1.2)+(H146*1.2)+(H142*1.2))</f>
        <v>27249.996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1750</v>
      </c>
      <c r="I148" s="1" t="n">
        <f aca="false">(H148-G81)/1.2</f>
        <v>-15173.6083333333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0.0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0.0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27249.996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1418.05186334809</v>
      </c>
      <c r="B167" s="177" t="str">
        <f aca="false">B94</f>
        <v>0</v>
      </c>
      <c r="C167" s="174"/>
      <c r="D167" s="174"/>
      <c r="E167" s="177" t="n">
        <f aca="false">B96</f>
        <v>1418.05186334809</v>
      </c>
      <c r="F167" s="23"/>
      <c r="G167" s="23" t="n">
        <f aca="false">ROUND(G95, 2)</f>
        <v>1345.91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229" t="str">
        <f aca="false">H30</f>
        <v>5000</v>
      </c>
      <c r="C170" s="181"/>
      <c r="D170" s="23"/>
      <c r="E170" s="182" t="n">
        <v>6000.0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22708.33</v>
      </c>
      <c r="B173" s="103" t="n">
        <f aca="false">H137</f>
        <v>4541.666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27249.996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27249.996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-5651.42550317099</v>
      </c>
      <c r="B182" s="103" t="str">
        <f aca="false">B114</f>
        <v>199.99</v>
      </c>
      <c r="C182" s="103"/>
      <c r="D182" s="23"/>
      <c r="E182" s="103" t="n">
        <f aca="false">E179+A182+(B182*1.2)+A185</f>
        <v>21848.558496829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239.988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7.4808</v>
      </c>
      <c r="B188" s="103" t="n">
        <f aca="false">(G158*B67)/1.2</f>
        <v>113.54165</v>
      </c>
      <c r="C188" s="93"/>
      <c r="D188" s="93"/>
      <c r="E188" s="103" t="n">
        <f aca="false">IF(E105 ="YES"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213.53165</v>
      </c>
      <c r="C191" s="93"/>
      <c r="D191" s="93"/>
      <c r="E191" s="103" t="n">
        <f aca="false">H148</f>
        <v>1750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1418.05186334809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-6444.986</v>
      </c>
      <c r="B201" s="186" t="n">
        <f aca="false">E179+A201+(B182*1.2)+A185</f>
        <v>21054.998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1418.05186334809</v>
      </c>
      <c r="B212" s="177" t="str">
        <f aca="false">B167</f>
        <v>0</v>
      </c>
      <c r="C212" s="174"/>
      <c r="D212" s="174"/>
      <c r="E212" s="177" t="n">
        <f aca="false">E167</f>
        <v>1418.05186334809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22708.33</v>
      </c>
      <c r="B215" s="103" t="n">
        <f aca="false">B173</f>
        <v>4541.666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27249.996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27249.996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-5651.42550317099</v>
      </c>
      <c r="B224" s="103" t="str">
        <f aca="false">B182</f>
        <v>199.99</v>
      </c>
      <c r="C224" s="103"/>
      <c r="D224" s="113"/>
      <c r="E224" s="103" t="n">
        <f aca="false">E182</f>
        <v>21848.558496829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1418.05186334809</v>
      </c>
      <c r="B230" s="103" t="str">
        <f aca="false">B167</f>
        <v>0</v>
      </c>
      <c r="C230" s="186"/>
      <c r="D230" s="186"/>
      <c r="E230" s="103" t="n">
        <f aca="false">E167</f>
        <v>1418.05186334809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A188</f>
        <v>7.4808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1750</v>
      </c>
      <c r="B240" s="103" t="n">
        <f aca="false">B188</f>
        <v>113.54165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1963.53165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803.560496829006</v>
      </c>
      <c r="C254" s="197"/>
      <c r="D254" s="198" t="s">
        <v>216</v>
      </c>
      <c r="E254" s="198"/>
      <c r="F254" s="200" t="n">
        <f aca="false">F261+F267+F269+B270+B271</f>
        <v>136.24998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767.300516829006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0.1255</v>
      </c>
      <c r="C260" s="43"/>
      <c r="D260" s="166" t="s">
        <v>215</v>
      </c>
      <c r="E260" s="166"/>
      <c r="F260" s="146" t="n">
        <f aca="false">B254</f>
        <v>803.560496829006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136.24998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767.300516829006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8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63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4" t="s">
        <v>5</v>
      </c>
      <c r="B4" s="5" t="n">
        <f aca="false">B15+C15</f>
        <v>25149.996</v>
      </c>
      <c r="C4" s="269"/>
      <c r="D4" s="269"/>
      <c r="E4" s="269"/>
      <c r="F4" s="270" t="s">
        <v>4</v>
      </c>
      <c r="G4" s="63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388"/>
      <c r="I8" s="13" t="s">
        <v>3</v>
      </c>
      <c r="J8" s="14" t="n">
        <f aca="false">E13+E14</f>
        <v>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271"/>
      <c r="E9" s="271"/>
      <c r="F9" s="63"/>
      <c r="G9" s="63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388"/>
      <c r="I10" s="16" t="s">
        <v>1</v>
      </c>
      <c r="J10" s="14" t="n">
        <f aca="false">E15-E11-J8</f>
        <v>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271"/>
      <c r="E15" s="271"/>
      <c r="F15" s="63"/>
      <c r="G15" s="274" t="n">
        <f aca="false">E15</f>
        <v>0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63"/>
      <c r="G19" s="63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63"/>
      <c r="G21" s="63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237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239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240</v>
      </c>
      <c r="B29" s="223" t="n">
        <v>12345</v>
      </c>
      <c r="C29" s="223"/>
      <c r="D29" s="390" t="n">
        <f aca="true">TODAY()+1</f>
        <v>45295</v>
      </c>
      <c r="E29" s="390"/>
      <c r="F29" s="388"/>
      <c r="G29" s="29" t="s">
        <v>28</v>
      </c>
      <c r="H29" s="37" t="n">
        <f aca="false">A32</f>
        <v>12</v>
      </c>
      <c r="I29" s="388"/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</v>
      </c>
      <c r="B32" s="223" t="n">
        <v>5000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42</v>
      </c>
      <c r="B34" s="231" t="s">
        <v>48</v>
      </c>
      <c r="C34" s="230" t="s">
        <v>43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0</v>
      </c>
      <c r="B35" s="223" t="s">
        <v>45</v>
      </c>
      <c r="C35" s="223"/>
      <c r="D35" s="279" t="n">
        <f aca="false">A35-B35</f>
        <v>-1000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45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42</v>
      </c>
      <c r="B38" s="241" t="n">
        <f aca="false">A32-1</f>
        <v>11</v>
      </c>
      <c r="C38" s="241"/>
      <c r="D38" s="104" t="s">
        <v>57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57</v>
      </c>
      <c r="G40" s="2" t="s">
        <v>58</v>
      </c>
      <c r="H40" s="2" t="n">
        <f aca="false">C15</f>
        <v>4191.666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336</v>
      </c>
      <c r="B41" s="104" t="s">
        <v>337</v>
      </c>
      <c r="C41" s="104"/>
      <c r="D41" s="223" t="s">
        <v>18</v>
      </c>
      <c r="E41" s="223"/>
      <c r="F41" s="388"/>
      <c r="G41" s="2" t="s">
        <v>59</v>
      </c>
      <c r="H41" s="2" t="n">
        <f aca="false">IF(D41="Yes",A44, 0)</f>
        <v>0</v>
      </c>
      <c r="I41" s="2"/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337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n">
        <v>0</v>
      </c>
      <c r="B44" s="104" t="s">
        <v>338</v>
      </c>
      <c r="C44" s="104"/>
      <c r="D44" s="104" t="n">
        <v>0</v>
      </c>
      <c r="E44" s="104"/>
      <c r="F44" s="388"/>
      <c r="G44" s="2" t="s">
        <v>65</v>
      </c>
      <c r="H44" s="2" t="n">
        <f aca="false">((H40-(((H42/(1.2))*0.2)))/(H43))</f>
        <v>265.972166666667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234.027833333333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339</v>
      </c>
      <c r="B46" s="230" t="s">
        <v>340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339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236.6945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30"/>
      <c r="E50" s="243"/>
      <c r="F50" s="388"/>
      <c r="G50" s="2" t="s">
        <v>341</v>
      </c>
      <c r="H50" s="2" t="n">
        <f aca="false">H49-H41</f>
        <v>236.6945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H49</f>
        <v>236.6945</v>
      </c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339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236.6945</v>
      </c>
      <c r="C58" s="74"/>
      <c r="D58" s="353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1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11</v>
      </c>
      <c r="C64" s="317"/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214" t="s">
        <v>277</v>
      </c>
      <c r="B66" s="215" t="n">
        <f aca="false">E19</f>
        <v>25149.996</v>
      </c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214" t="s">
        <v>14</v>
      </c>
      <c r="B67" s="291" t="n">
        <v>37404</v>
      </c>
      <c r="C67" s="317"/>
      <c r="D67" s="317"/>
      <c r="E67" s="318"/>
      <c r="F67" s="388"/>
      <c r="G67" s="316" t="s">
        <v>14</v>
      </c>
      <c r="H67" s="32" t="n">
        <f aca="false">G18</f>
        <v>37404</v>
      </c>
      <c r="I67" s="317"/>
      <c r="J67" s="317"/>
      <c r="K67" s="318"/>
      <c r="L67" s="388"/>
      <c r="M67" s="316" t="s">
        <v>14</v>
      </c>
      <c r="N67" s="32" t="n">
        <f aca="false">G18</f>
        <v>37404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292" t="s">
        <v>278</v>
      </c>
      <c r="B68" s="293" t="n">
        <v>0.07</v>
      </c>
      <c r="C68" s="317"/>
      <c r="D68" s="317"/>
      <c r="E68" s="318"/>
      <c r="F68" s="388"/>
      <c r="G68" s="399" t="s">
        <v>278</v>
      </c>
      <c r="H68" s="400" t="n">
        <v>0.07</v>
      </c>
      <c r="I68" s="317"/>
      <c r="J68" s="317"/>
      <c r="K68" s="318"/>
      <c r="L68" s="388"/>
      <c r="M68" s="399" t="s">
        <v>278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317"/>
      <c r="D69" s="317"/>
      <c r="E69" s="318"/>
      <c r="F69" s="388"/>
      <c r="G69" s="316" t="s">
        <v>279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279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285" t="s">
        <v>90</v>
      </c>
      <c r="B70" s="133" t="n">
        <f aca="false">B67*B69</f>
        <v>2618.28</v>
      </c>
      <c r="C70" s="317" t="n">
        <v>10000</v>
      </c>
      <c r="D70" s="32" t="n">
        <f aca="false">B70-A149</f>
        <v>2618.28</v>
      </c>
      <c r="E70" s="318" t="n">
        <f aca="false">D70/12</f>
        <v>218.19</v>
      </c>
      <c r="F70" s="388"/>
      <c r="G70" s="366" t="s">
        <v>90</v>
      </c>
      <c r="H70" s="65" t="n">
        <f aca="false">H67*H69</f>
        <v>2618.28</v>
      </c>
      <c r="I70" s="317"/>
      <c r="J70" s="32" t="n">
        <f aca="false">H70-G151</f>
        <v>2618.28</v>
      </c>
      <c r="K70" s="318"/>
      <c r="L70" s="388"/>
      <c r="M70" s="366" t="s">
        <v>90</v>
      </c>
      <c r="N70" s="65" t="n">
        <f aca="false">N67*N69</f>
        <v>2618.28</v>
      </c>
      <c r="O70" s="317"/>
      <c r="P70" s="32" t="n">
        <f aca="false">N70-M151</f>
        <v>2618.28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292" t="s">
        <v>91</v>
      </c>
      <c r="B71" s="293" t="n">
        <v>0.01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285" t="s">
        <v>93</v>
      </c>
      <c r="B73" s="133" t="n">
        <f aca="false">B66*B72</f>
        <v>251.49996</v>
      </c>
      <c r="C73" s="317"/>
      <c r="D73" s="32"/>
      <c r="E73" s="318"/>
      <c r="F73" s="388"/>
      <c r="G73" s="366" t="s">
        <v>93</v>
      </c>
      <c r="H73" s="65" t="n">
        <f aca="false">H67*H72</f>
        <v>187.02</v>
      </c>
      <c r="I73" s="317"/>
      <c r="J73" s="32"/>
      <c r="K73" s="318"/>
      <c r="L73" s="388"/>
      <c r="M73" s="366" t="s">
        <v>93</v>
      </c>
      <c r="N73" s="65" t="n">
        <f aca="false">N67*N72</f>
        <v>187.02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200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5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60</v>
      </c>
      <c r="C79" s="317"/>
      <c r="D79" s="32" t="n">
        <f aca="false">B79+B77</f>
        <v>260</v>
      </c>
      <c r="E79" s="404" t="n">
        <f aca="false">D79+D85+D86</f>
        <v>660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280</v>
      </c>
      <c r="B80" s="86" t="n">
        <v>165</v>
      </c>
      <c r="C80" s="317"/>
      <c r="D80" s="317"/>
      <c r="E80" s="404" t="n">
        <f aca="false">E79+D82</f>
        <v>838.75</v>
      </c>
      <c r="F80" s="388"/>
      <c r="G80" s="399" t="s">
        <v>280</v>
      </c>
      <c r="H80" s="86" t="n">
        <v>150</v>
      </c>
      <c r="I80" s="317"/>
      <c r="J80" s="317"/>
      <c r="K80" s="318"/>
      <c r="L80" s="388"/>
      <c r="M80" s="405" t="s">
        <v>280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281</v>
      </c>
      <c r="B81" s="77" t="n">
        <v>0</v>
      </c>
      <c r="C81" s="317"/>
      <c r="D81" s="317"/>
      <c r="E81" s="318" t="n">
        <f aca="false">E80/12</f>
        <v>69.8958333333333</v>
      </c>
      <c r="F81" s="388"/>
      <c r="G81" s="401" t="s">
        <v>281</v>
      </c>
      <c r="H81" s="77" t="n">
        <f aca="false">IF(G18&gt;40000, 325, 0)</f>
        <v>0</v>
      </c>
      <c r="I81" s="317"/>
      <c r="J81" s="317"/>
      <c r="K81" s="318"/>
      <c r="L81" s="388"/>
      <c r="M81" s="407" t="s">
        <v>281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282</v>
      </c>
      <c r="B82" s="65" t="n">
        <f aca="false">((B80+B81)/12)*(H29+1)</f>
        <v>178.75</v>
      </c>
      <c r="C82" s="317"/>
      <c r="D82" s="32" t="n">
        <f aca="false">IF(A50="YES", 0, B82)</f>
        <v>178.75</v>
      </c>
      <c r="E82" s="318"/>
      <c r="F82" s="388"/>
      <c r="G82" s="366" t="s">
        <v>282</v>
      </c>
      <c r="H82" s="65" t="n">
        <f aca="false">((H80+H81)/12)*(H29-11)</f>
        <v>12.5</v>
      </c>
      <c r="I82" s="317"/>
      <c r="J82" s="32" t="n">
        <f aca="false">IF(A50="YES", 0, H82)</f>
        <v>12.5</v>
      </c>
      <c r="K82" s="318"/>
      <c r="L82" s="388"/>
      <c r="M82" s="409" t="s">
        <v>282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283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283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283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342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284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284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200</v>
      </c>
      <c r="C85" s="317"/>
      <c r="D85" s="32" t="n">
        <f aca="false">B85</f>
        <v>200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200</v>
      </c>
      <c r="C86" s="317"/>
      <c r="D86" s="32" t="n">
        <f aca="false">B86</f>
        <v>200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4123.69666666667</v>
      </c>
      <c r="C87" s="317"/>
      <c r="D87" s="317"/>
      <c r="E87" s="318"/>
      <c r="F87" s="388"/>
      <c r="G87" s="412" t="s">
        <v>102</v>
      </c>
      <c r="H87" s="413" t="n">
        <f aca="false">SUM(J70:J86)</f>
        <v>5744.78</v>
      </c>
      <c r="I87" s="317"/>
      <c r="J87" s="317"/>
      <c r="K87" s="318"/>
      <c r="L87" s="388"/>
      <c r="M87" s="412" t="s">
        <v>102</v>
      </c>
      <c r="N87" s="413" t="n">
        <f aca="false">SUM(P70:P86)</f>
        <v>5732.28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343.641388888889</v>
      </c>
      <c r="C88" s="317"/>
      <c r="D88" s="317"/>
      <c r="E88" s="318"/>
      <c r="F88" s="388"/>
      <c r="G88" s="316" t="s">
        <v>103</v>
      </c>
      <c r="H88" s="33" t="n">
        <f aca="false">H87/H29</f>
        <v>478.731666666667</v>
      </c>
      <c r="I88" s="317"/>
      <c r="J88" s="317"/>
      <c r="K88" s="318"/>
      <c r="L88" s="388"/>
      <c r="M88" s="316" t="s">
        <v>103</v>
      </c>
      <c r="N88" s="33" t="n">
        <f aca="false">N87/H29</f>
        <v>477.69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236.6945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((B89*H29)+B87)*1.2</f>
        <v>8356.8368</v>
      </c>
      <c r="C91" s="317"/>
      <c r="D91" s="317"/>
      <c r="E91" s="318"/>
      <c r="F91" s="388"/>
      <c r="G91" s="396" t="s">
        <v>114</v>
      </c>
      <c r="H91" s="27" t="n">
        <f aca="false">((H89*H29)+H87)*1.2</f>
        <v>6893.736</v>
      </c>
      <c r="I91" s="317"/>
      <c r="J91" s="317"/>
      <c r="K91" s="318"/>
      <c r="L91" s="388"/>
      <c r="M91" s="396" t="s">
        <v>114</v>
      </c>
      <c r="N91" s="27" t="n">
        <f aca="false">((N89*H29)+N87)</f>
        <v>5732.28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58.9934021782977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48.6649374747882</v>
      </c>
      <c r="I92" s="317"/>
      <c r="J92" s="317"/>
      <c r="K92" s="318"/>
      <c r="L92" s="388"/>
      <c r="M92" s="316" t="s">
        <v>115</v>
      </c>
      <c r="N92" s="33" t="n">
        <f aca="false">(N91/(1-N76))*N76</f>
        <v>48.5590480032271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8415.8302021783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8942.40093747479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7780.83904800323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IF(B105=Z104,(((H41*A32)+(H41*A32)*(B111/100))/(B64)),(((H41*A32)+(H41*A32)*(B111/100))/(B63+B64)))*1.2</f>
        <v>0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701.319183514858</v>
      </c>
      <c r="C96" s="317"/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701.319183514858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388"/>
      <c r="G100" s="213" t="s">
        <v>285</v>
      </c>
      <c r="H100" s="213"/>
      <c r="I100" s="213"/>
      <c r="J100" s="213"/>
      <c r="K100" s="213"/>
      <c r="L100" s="388"/>
      <c r="M100" s="213" t="s">
        <v>343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286</v>
      </c>
      <c r="E104" s="318"/>
      <c r="F104" s="388"/>
      <c r="G104" s="316" t="s">
        <v>125</v>
      </c>
      <c r="H104" s="317" t="s">
        <v>23</v>
      </c>
      <c r="I104" s="317"/>
      <c r="J104" s="317" t="s">
        <v>286</v>
      </c>
      <c r="K104" s="318"/>
      <c r="L104" s="388"/>
      <c r="M104" s="316" t="s">
        <v>125</v>
      </c>
      <c r="N104" s="317" t="s">
        <v>23</v>
      </c>
      <c r="O104" s="317"/>
      <c r="P104" s="317" t="s">
        <v>286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264</v>
      </c>
    </row>
    <row r="105" customFormat="false" ht="18.75" hidden="false" customHeight="true" outlineLevel="0" collapsed="false">
      <c r="A105" s="374"/>
      <c r="B105" s="312" t="s">
        <v>128</v>
      </c>
      <c r="C105" s="312"/>
      <c r="D105" s="421" t="n">
        <v>1000</v>
      </c>
      <c r="E105" s="421"/>
      <c r="F105" s="388"/>
      <c r="G105" s="374" t="s">
        <v>287</v>
      </c>
      <c r="H105" s="312" t="s">
        <v>269</v>
      </c>
      <c r="I105" s="312"/>
      <c r="J105" s="421" t="n">
        <v>5000</v>
      </c>
      <c r="K105" s="421"/>
      <c r="L105" s="388"/>
      <c r="M105" s="374" t="s">
        <v>287</v>
      </c>
      <c r="N105" s="312" t="s">
        <v>268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265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266</v>
      </c>
    </row>
    <row r="107" customFormat="false" ht="18.75" hidden="false" customHeight="true" outlineLevel="0" collapsed="false">
      <c r="A107" s="316" t="s">
        <v>289</v>
      </c>
      <c r="B107" s="317" t="s">
        <v>290</v>
      </c>
      <c r="C107" s="317"/>
      <c r="D107" s="317" t="s">
        <v>291</v>
      </c>
      <c r="E107" s="318"/>
      <c r="F107" s="388"/>
      <c r="G107" s="316" t="s">
        <v>289</v>
      </c>
      <c r="H107" s="317" t="s">
        <v>290</v>
      </c>
      <c r="I107" s="317"/>
      <c r="J107" s="317" t="s">
        <v>291</v>
      </c>
      <c r="K107" s="318"/>
      <c r="L107" s="388"/>
      <c r="M107" s="316" t="s">
        <v>289</v>
      </c>
      <c r="N107" s="317" t="s">
        <v>290</v>
      </c>
      <c r="O107" s="317"/>
      <c r="P107" s="317" t="s">
        <v>291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267</v>
      </c>
    </row>
    <row r="108" customFormat="false" ht="18.75" hidden="false" customHeight="true" outlineLevel="0" collapsed="false">
      <c r="A108" s="313" t="n">
        <v>239.99</v>
      </c>
      <c r="B108" s="107" t="n">
        <v>400</v>
      </c>
      <c r="C108" s="107"/>
      <c r="D108" s="107" t="n">
        <v>200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268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269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270</v>
      </c>
    </row>
    <row r="111" customFormat="false" ht="18.75" hidden="false" customHeight="true" outlineLevel="0" collapsed="false">
      <c r="A111" s="389" t="s">
        <v>19</v>
      </c>
      <c r="B111" s="312" t="n">
        <v>0</v>
      </c>
      <c r="C111" s="312"/>
      <c r="D111" s="107" t="n">
        <v>200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271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344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388"/>
      <c r="G114" s="217" t="s">
        <v>293</v>
      </c>
      <c r="H114" s="217"/>
      <c r="I114" s="217"/>
      <c r="J114" s="217"/>
      <c r="K114" s="217"/>
      <c r="L114" s="388"/>
      <c r="M114" s="217" t="s">
        <v>293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294</v>
      </c>
      <c r="B116" s="389" t="s">
        <v>19</v>
      </c>
      <c r="C116" s="317"/>
      <c r="D116" s="317"/>
      <c r="E116" s="318"/>
      <c r="F116" s="388"/>
      <c r="G116" s="316" t="s">
        <v>294</v>
      </c>
      <c r="H116" s="389" t="s">
        <v>18</v>
      </c>
      <c r="I116" s="317"/>
      <c r="J116" s="317"/>
      <c r="K116" s="318"/>
      <c r="L116" s="388"/>
      <c r="M116" s="316" t="s">
        <v>294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</v>
      </c>
      <c r="E118" s="107" t="n">
        <v>6000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239.99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295</v>
      </c>
      <c r="B125" s="367"/>
      <c r="C125" s="367"/>
      <c r="D125" s="367"/>
      <c r="E125" s="65" t="n">
        <f aca="false">(E124+E123)-E120</f>
        <v>-2760.01</v>
      </c>
      <c r="F125" s="388"/>
      <c r="G125" s="422" t="s">
        <v>295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295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388"/>
      <c r="G128" s="217" t="s">
        <v>296</v>
      </c>
      <c r="H128" s="217"/>
      <c r="I128" s="217"/>
      <c r="J128" s="217"/>
      <c r="K128" s="217"/>
      <c r="L128" s="388"/>
      <c r="M128" s="217" t="s">
        <v>296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11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11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701.319183514858</v>
      </c>
      <c r="B134" s="321" t="n">
        <f aca="false">IF(A111="YES", B95, 0)</f>
        <v>0</v>
      </c>
      <c r="C134" s="325"/>
      <c r="D134" s="321" t="n">
        <f aca="false">B97</f>
        <v>701.319183514858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299</v>
      </c>
      <c r="H135" s="424" t="s">
        <v>300</v>
      </c>
      <c r="I135" s="424"/>
      <c r="J135" s="424" t="s">
        <v>301</v>
      </c>
      <c r="K135" s="318"/>
      <c r="L135" s="388"/>
      <c r="M135" s="423" t="s">
        <v>345</v>
      </c>
      <c r="N135" s="424" t="s">
        <v>253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701.319183514858</v>
      </c>
      <c r="C137" s="317"/>
      <c r="D137" s="38" t="n">
        <f aca="false">IF(A111="YES", B95*B63, 0)</f>
        <v>0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304</v>
      </c>
      <c r="H138" s="317" t="s">
        <v>305</v>
      </c>
      <c r="I138" s="317"/>
      <c r="J138" s="317" t="s">
        <v>306</v>
      </c>
      <c r="K138" s="318"/>
      <c r="L138" s="388"/>
      <c r="M138" s="316" t="s">
        <v>346</v>
      </c>
      <c r="N138" s="317" t="s">
        <v>242</v>
      </c>
      <c r="O138" s="317"/>
      <c r="P138" s="317" t="s">
        <v>246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701.319183514858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309</v>
      </c>
      <c r="H141" s="317" t="s">
        <v>310</v>
      </c>
      <c r="I141" s="317"/>
      <c r="J141" s="317" t="s">
        <v>311</v>
      </c>
      <c r="K141" s="318"/>
      <c r="L141" s="388"/>
      <c r="M141" s="316" t="s">
        <v>255</v>
      </c>
      <c r="N141" s="317" t="s">
        <v>256</v>
      </c>
      <c r="O141" s="317"/>
      <c r="P141" s="317" t="s">
        <v>260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388"/>
      <c r="G142" s="111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5"/>
      <c r="L142" s="388"/>
      <c r="M142" s="111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701.319183514858</v>
      </c>
      <c r="B143" s="38" t="n">
        <f aca="false">IF(A111="YES", B95, 0)</f>
        <v>0</v>
      </c>
      <c r="C143" s="317"/>
      <c r="D143" s="38" t="n">
        <f aca="false">B97</f>
        <v>701.319183514858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312</v>
      </c>
      <c r="H144" s="317" t="s">
        <v>313</v>
      </c>
      <c r="I144" s="317"/>
      <c r="J144" s="317" t="s">
        <v>314</v>
      </c>
      <c r="K144" s="318"/>
      <c r="L144" s="388"/>
      <c r="M144" s="316" t="s">
        <v>139</v>
      </c>
      <c r="N144" s="317" t="s">
        <v>313</v>
      </c>
      <c r="O144" s="317"/>
      <c r="P144" s="317" t="s">
        <v>314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155.85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155.85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316</v>
      </c>
      <c r="H147" s="317" t="s">
        <v>317</v>
      </c>
      <c r="I147" s="317"/>
      <c r="J147" s="317" t="s">
        <v>318</v>
      </c>
      <c r="K147" s="318"/>
      <c r="L147" s="388"/>
      <c r="M147" s="316" t="s">
        <v>316</v>
      </c>
      <c r="N147" s="317" t="s">
        <v>317</v>
      </c>
      <c r="O147" s="317"/>
      <c r="P147" s="317" t="s">
        <v>318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2815.838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2775.84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320</v>
      </c>
      <c r="H150" s="317" t="s">
        <v>321</v>
      </c>
      <c r="I150" s="317"/>
      <c r="J150" s="317"/>
      <c r="K150" s="318"/>
      <c r="L150" s="388"/>
      <c r="M150" s="316" t="s">
        <v>320</v>
      </c>
      <c r="N150" s="317" t="s">
        <v>321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347</v>
      </c>
      <c r="N153" s="39" t="s">
        <v>348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251.49996</v>
      </c>
      <c r="B154" s="38" t="n">
        <f aca="false">B108</f>
        <v>400</v>
      </c>
      <c r="C154" s="38"/>
      <c r="D154" s="38" t="n">
        <f aca="false">IF(A111="YES", (A44/100*B111)*B131, 0)*0.1</f>
        <v>0</v>
      </c>
      <c r="E154" s="105"/>
      <c r="F154" s="388"/>
      <c r="G154" s="348" t="s">
        <v>326</v>
      </c>
      <c r="H154" s="317"/>
      <c r="I154" s="317"/>
      <c r="J154" s="349"/>
      <c r="K154" s="350"/>
      <c r="L154" s="388"/>
      <c r="M154" s="425" t="n">
        <f aca="false">H40</f>
        <v>4191.666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751.491626666667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326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701.319183514858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388"/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701.319183514858</v>
      </c>
      <c r="B177" s="355" t="n">
        <f aca="false">IF(A111="YES", B95, 0)</f>
        <v>0</v>
      </c>
      <c r="C177" s="357"/>
      <c r="D177" s="355" t="n">
        <f aca="false">A177+B177</f>
        <v>701.319183514858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701.319183514858</v>
      </c>
      <c r="C180" s="353"/>
      <c r="D180" s="103" t="n">
        <f aca="false">IF(A111="YES", B95*B63, 0)</f>
        <v>0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701.319183514858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701.319183514858</v>
      </c>
      <c r="B186" s="103" t="n">
        <f aca="false">IF(A111="YES", B95, 0)</f>
        <v>0</v>
      </c>
      <c r="C186" s="353"/>
      <c r="D186" s="103" t="n">
        <f aca="false">B97</f>
        <v>701.319183514858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251.49996</v>
      </c>
      <c r="B197" s="103" t="n">
        <f aca="false">B108</f>
        <v>400</v>
      </c>
      <c r="C197" s="103"/>
      <c r="D197" s="103" t="n">
        <f aca="false">IF(A111="YES", (A44/100*B111)*B131, 0)*0.1</f>
        <v>0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751.491626666667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G201" s="388"/>
      <c r="H201" s="388"/>
      <c r="I201" s="388"/>
      <c r="J201" s="388"/>
      <c r="K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388"/>
      <c r="G202" s="388"/>
      <c r="H202" s="388"/>
      <c r="I202" s="388"/>
      <c r="J202" s="388"/>
      <c r="K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G203" s="388"/>
      <c r="H203" s="388"/>
      <c r="I203" s="388"/>
      <c r="J203" s="388"/>
      <c r="K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G204" s="388"/>
      <c r="H204" s="388"/>
      <c r="I204" s="388"/>
      <c r="J204" s="388"/>
      <c r="K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G205" s="388"/>
      <c r="H205" s="388"/>
      <c r="I205" s="388"/>
      <c r="J205" s="388"/>
      <c r="K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G206" s="388"/>
      <c r="H206" s="388"/>
      <c r="I206" s="388"/>
      <c r="J206" s="388"/>
      <c r="K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G207" s="388"/>
      <c r="H207" s="388"/>
      <c r="I207" s="388"/>
      <c r="J207" s="388"/>
      <c r="K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G208" s="388"/>
      <c r="H208" s="388"/>
      <c r="I208" s="388"/>
      <c r="J208" s="388"/>
      <c r="K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2618.28</v>
      </c>
      <c r="E209" s="322"/>
      <c r="F209" s="388"/>
      <c r="G209" s="388"/>
      <c r="H209" s="388"/>
      <c r="I209" s="388"/>
      <c r="J209" s="388"/>
      <c r="K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G210" s="388"/>
      <c r="H210" s="388"/>
      <c r="I210" s="388"/>
      <c r="J210" s="388"/>
      <c r="K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251.49996</v>
      </c>
      <c r="C211" s="320" t="s">
        <v>217</v>
      </c>
      <c r="D211" s="370" t="n">
        <f aca="false">B225+E221+B221+B223</f>
        <v>339.991666666667</v>
      </c>
      <c r="E211" s="322"/>
      <c r="F211" s="388"/>
      <c r="G211" s="388"/>
      <c r="H211" s="388"/>
      <c r="I211" s="388"/>
      <c r="J211" s="388"/>
      <c r="K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G212" s="388"/>
      <c r="H212" s="388"/>
      <c r="I212" s="388"/>
      <c r="J212" s="388"/>
      <c r="K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2706.77170666667</v>
      </c>
      <c r="C213" s="325"/>
      <c r="D213" s="321"/>
      <c r="E213" s="322"/>
      <c r="F213" s="388"/>
      <c r="G213" s="388"/>
      <c r="H213" s="388"/>
      <c r="I213" s="388"/>
      <c r="J213" s="388"/>
      <c r="K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G214" s="388"/>
      <c r="H214" s="388"/>
      <c r="I214" s="388"/>
      <c r="J214" s="388"/>
      <c r="K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G215" s="388"/>
      <c r="H215" s="388"/>
      <c r="I215" s="388"/>
      <c r="J215" s="388"/>
      <c r="K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G216" s="388"/>
      <c r="H216" s="388"/>
      <c r="I216" s="388"/>
      <c r="J216" s="388"/>
      <c r="K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2618.28</v>
      </c>
      <c r="C217" s="375" t="s">
        <v>221</v>
      </c>
      <c r="D217" s="317"/>
      <c r="E217" s="376" t="n">
        <f aca="false">B72</f>
        <v>0.01</v>
      </c>
      <c r="F217" s="388"/>
      <c r="G217" s="388"/>
      <c r="H217" s="388"/>
      <c r="I217" s="388"/>
      <c r="J217" s="388"/>
      <c r="K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G218" s="388"/>
      <c r="H218" s="388"/>
      <c r="I218" s="388"/>
      <c r="J218" s="388"/>
      <c r="K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251.49996</v>
      </c>
      <c r="C219" s="336" t="s">
        <v>329</v>
      </c>
      <c r="D219" s="377"/>
      <c r="E219" s="92" t="n">
        <v>0.001</v>
      </c>
      <c r="F219" s="388"/>
      <c r="G219" s="388"/>
      <c r="H219" s="388"/>
      <c r="I219" s="388"/>
      <c r="J219" s="388"/>
      <c r="K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G220" s="388"/>
      <c r="H220" s="388"/>
      <c r="I220" s="388"/>
      <c r="J220" s="388"/>
      <c r="K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388"/>
      <c r="G221" s="388"/>
      <c r="H221" s="388"/>
      <c r="I221" s="388"/>
      <c r="J221" s="388"/>
      <c r="K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G222" s="388"/>
      <c r="H222" s="388"/>
      <c r="I222" s="388"/>
      <c r="J222" s="388"/>
      <c r="K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2706.77170666667</v>
      </c>
      <c r="F223" s="388"/>
      <c r="G223" s="388"/>
      <c r="H223" s="388"/>
      <c r="I223" s="388"/>
      <c r="J223" s="388"/>
      <c r="K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G224" s="388"/>
      <c r="H224" s="388"/>
      <c r="I224" s="388"/>
      <c r="J224" s="388"/>
      <c r="K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388"/>
      <c r="G225" s="388"/>
      <c r="H225" s="388"/>
      <c r="I225" s="388"/>
      <c r="J225" s="388"/>
      <c r="K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G226" s="388"/>
      <c r="H226" s="388"/>
      <c r="I226" s="388"/>
      <c r="J226" s="388"/>
      <c r="K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388"/>
      <c r="G227" s="388"/>
      <c r="H227" s="388"/>
      <c r="I227" s="388"/>
      <c r="J227" s="388"/>
      <c r="K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G228" s="388"/>
      <c r="H228" s="388"/>
      <c r="I228" s="388"/>
      <c r="J228" s="388"/>
      <c r="K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388"/>
      <c r="G229" s="388"/>
      <c r="H229" s="388"/>
      <c r="I229" s="388"/>
      <c r="J229" s="388"/>
      <c r="K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388"/>
      <c r="G230" s="388"/>
      <c r="H230" s="388"/>
      <c r="I230" s="388"/>
      <c r="J230" s="388"/>
      <c r="K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G231" s="388"/>
      <c r="H231" s="388"/>
      <c r="I231" s="388"/>
      <c r="J231" s="388"/>
      <c r="K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58.9934021782977</v>
      </c>
      <c r="F232" s="388"/>
      <c r="G232" s="388"/>
      <c r="H232" s="388"/>
      <c r="I232" s="388"/>
      <c r="J232" s="388"/>
      <c r="K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165</v>
      </c>
      <c r="F233" s="388"/>
      <c r="G233" s="388"/>
      <c r="H233" s="388"/>
      <c r="I233" s="388"/>
      <c r="J233" s="388"/>
      <c r="K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G234" s="388"/>
      <c r="H234" s="388"/>
      <c r="I234" s="388"/>
      <c r="J234" s="388"/>
      <c r="K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388"/>
      <c r="G235" s="388"/>
      <c r="H235" s="388"/>
      <c r="I235" s="388"/>
      <c r="J235" s="388"/>
      <c r="K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G236" s="388"/>
      <c r="H236" s="388"/>
      <c r="I236" s="388"/>
      <c r="J236" s="388"/>
      <c r="K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G237" s="388"/>
      <c r="H237" s="388"/>
      <c r="I237" s="388"/>
      <c r="J237" s="388"/>
      <c r="K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G238" s="388"/>
      <c r="H238" s="388"/>
      <c r="I238" s="388"/>
      <c r="J238" s="388"/>
      <c r="K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G239" s="388"/>
      <c r="H239" s="388"/>
      <c r="I239" s="388"/>
      <c r="J239" s="388"/>
      <c r="K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G240" s="388"/>
      <c r="H240" s="388"/>
      <c r="I240" s="388"/>
      <c r="J240" s="388"/>
      <c r="K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G241" s="388"/>
      <c r="H241" s="388"/>
      <c r="I241" s="388"/>
      <c r="J241" s="388"/>
      <c r="K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G242" s="388"/>
      <c r="H242" s="388"/>
      <c r="I242" s="388"/>
      <c r="J242" s="388"/>
      <c r="K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88"/>
      <c r="B243" s="388"/>
      <c r="C243" s="388"/>
      <c r="D243" s="388"/>
      <c r="E243" s="388"/>
      <c r="F243" s="388"/>
      <c r="G243" s="388"/>
      <c r="H243" s="388"/>
      <c r="I243" s="388"/>
      <c r="J243" s="388"/>
      <c r="K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388"/>
      <c r="B244" s="388"/>
      <c r="C244" s="388"/>
      <c r="D244" s="388"/>
      <c r="E244" s="388"/>
      <c r="F244" s="388"/>
      <c r="G244" s="388"/>
      <c r="H244" s="388"/>
      <c r="I244" s="388"/>
      <c r="J244" s="388"/>
      <c r="K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88"/>
      <c r="B245" s="388"/>
      <c r="C245" s="388"/>
      <c r="D245" s="388"/>
      <c r="E245" s="388"/>
      <c r="F245" s="388"/>
      <c r="G245" s="388"/>
      <c r="H245" s="388"/>
      <c r="I245" s="388"/>
      <c r="J245" s="388"/>
      <c r="K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88"/>
      <c r="B246" s="388"/>
      <c r="C246" s="388"/>
      <c r="D246" s="388"/>
      <c r="E246" s="388"/>
      <c r="F246" s="388"/>
      <c r="G246" s="388"/>
      <c r="H246" s="388"/>
      <c r="I246" s="388"/>
      <c r="J246" s="388"/>
      <c r="K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388"/>
      <c r="B247" s="388"/>
      <c r="C247" s="388"/>
      <c r="D247" s="388"/>
      <c r="E247" s="388"/>
      <c r="F247" s="388"/>
      <c r="G247" s="388"/>
      <c r="H247" s="388"/>
      <c r="I247" s="388"/>
      <c r="J247" s="388"/>
      <c r="K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88"/>
      <c r="B248" s="388"/>
      <c r="C248" s="388"/>
      <c r="D248" s="388"/>
      <c r="E248" s="388"/>
      <c r="F248" s="388"/>
      <c r="G248" s="388"/>
      <c r="H248" s="388"/>
      <c r="I248" s="388"/>
      <c r="J248" s="388"/>
      <c r="K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0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63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4" t="s">
        <v>5</v>
      </c>
      <c r="B4" s="5" t="n">
        <f aca="false">B15+C15</f>
        <v>25149.996</v>
      </c>
      <c r="C4" s="269"/>
      <c r="D4" s="269"/>
      <c r="E4" s="269"/>
      <c r="F4" s="270" t="s">
        <v>4</v>
      </c>
      <c r="G4" s="63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388"/>
      <c r="I8" s="13" t="s">
        <v>3</v>
      </c>
      <c r="J8" s="14" t="n">
        <f aca="false">E13+E14</f>
        <v>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271"/>
      <c r="E9" s="271"/>
      <c r="F9" s="63"/>
      <c r="G9" s="63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388"/>
      <c r="I10" s="16" t="s">
        <v>1</v>
      </c>
      <c r="J10" s="14" t="n">
        <f aca="false">E15-E11-J8</f>
        <v>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271"/>
      <c r="E15" s="271"/>
      <c r="F15" s="63"/>
      <c r="G15" s="274" t="n">
        <f aca="false">E15</f>
        <v>0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63"/>
      <c r="G19" s="63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63"/>
      <c r="G21" s="63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237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239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240</v>
      </c>
      <c r="B29" s="223" t="n">
        <v>12345</v>
      </c>
      <c r="C29" s="223"/>
      <c r="D29" s="390" t="n">
        <f aca="true">TODAY()+1</f>
        <v>45295</v>
      </c>
      <c r="E29" s="390"/>
      <c r="F29" s="388"/>
      <c r="G29" s="29" t="s">
        <v>28</v>
      </c>
      <c r="H29" s="37" t="n">
        <f aca="false">A32</f>
        <v>12</v>
      </c>
      <c r="I29" s="427" t="n">
        <f aca="false">ISNUMBER(I31)</f>
        <v>0</v>
      </c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</v>
      </c>
      <c r="B32" s="223" t="n">
        <v>5000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339</v>
      </c>
      <c r="B34" s="231" t="s">
        <v>48</v>
      </c>
      <c r="C34" s="230" t="s">
        <v>4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0</v>
      </c>
      <c r="B35" s="223" t="s">
        <v>45</v>
      </c>
      <c r="C35" s="223"/>
      <c r="D35" s="279" t="n">
        <f aca="false">A35-B35</f>
        <v>-1000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42</v>
      </c>
      <c r="B38" s="241" t="n">
        <f aca="false">A32-1</f>
        <v>11</v>
      </c>
      <c r="C38" s="241"/>
      <c r="D38" s="104" t="s">
        <v>57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4</v>
      </c>
      <c r="G40" s="2" t="s">
        <v>58</v>
      </c>
      <c r="H40" s="2" t="n">
        <f aca="false">C15</f>
        <v>4191.666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336</v>
      </c>
      <c r="B41" s="104" t="s">
        <v>337</v>
      </c>
      <c r="C41" s="104"/>
      <c r="D41" s="223" t="s">
        <v>18</v>
      </c>
      <c r="E41" s="223"/>
      <c r="F41" s="388"/>
      <c r="G41" s="2" t="s">
        <v>59</v>
      </c>
      <c r="H41" s="2" t="n">
        <f aca="false">IF(D41="Yes",A44, 0)</f>
        <v>0</v>
      </c>
      <c r="I41" s="2" t="s">
        <v>4</v>
      </c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4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n">
        <v>0</v>
      </c>
      <c r="B44" s="104" t="s">
        <v>338</v>
      </c>
      <c r="C44" s="104"/>
      <c r="D44" s="104" t="n">
        <v>0</v>
      </c>
      <c r="E44" s="104"/>
      <c r="F44" s="388"/>
      <c r="G44" s="2" t="s">
        <v>65</v>
      </c>
      <c r="H44" s="2" t="n">
        <f aca="false">((H40-(((H42/(1.2))*0.2)))/(H43))</f>
        <v>265.972166666667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234.027833333333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339</v>
      </c>
      <c r="B46" s="230" t="s">
        <v>340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339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236.6945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110"/>
      <c r="B50" s="230"/>
      <c r="C50" s="230"/>
      <c r="D50" s="230"/>
      <c r="E50" s="243"/>
      <c r="F50" s="388"/>
      <c r="G50" s="2" t="s">
        <v>341</v>
      </c>
      <c r="H50" s="2" t="n">
        <f aca="false">H49-H41</f>
        <v>236.6945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/>
      <c r="B52" s="74"/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339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236.6945</v>
      </c>
      <c r="C58" s="74"/>
      <c r="D58" s="428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9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3</v>
      </c>
      <c r="C64" s="317" t="s">
        <v>4</v>
      </c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214" t="s">
        <v>277</v>
      </c>
      <c r="B66" s="215" t="n">
        <f aca="false">E19</f>
        <v>25149.996</v>
      </c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214" t="s">
        <v>14</v>
      </c>
      <c r="B67" s="291" t="n">
        <v>37404</v>
      </c>
      <c r="C67" s="317"/>
      <c r="D67" s="317"/>
      <c r="E67" s="318"/>
      <c r="F67" s="388"/>
      <c r="G67" s="316" t="s">
        <v>14</v>
      </c>
      <c r="H67" s="32" t="n">
        <f aca="false">G18</f>
        <v>37404</v>
      </c>
      <c r="I67" s="317"/>
      <c r="J67" s="317"/>
      <c r="K67" s="318"/>
      <c r="L67" s="388"/>
      <c r="M67" s="316" t="s">
        <v>14</v>
      </c>
      <c r="N67" s="32" t="n">
        <f aca="false">G18</f>
        <v>37404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292" t="s">
        <v>278</v>
      </c>
      <c r="B68" s="293" t="n">
        <v>0.07</v>
      </c>
      <c r="C68" s="317"/>
      <c r="D68" s="317"/>
      <c r="E68" s="318"/>
      <c r="F68" s="388"/>
      <c r="G68" s="399" t="s">
        <v>278</v>
      </c>
      <c r="H68" s="400" t="n">
        <v>0.07</v>
      </c>
      <c r="I68" s="317"/>
      <c r="J68" s="317"/>
      <c r="K68" s="318"/>
      <c r="L68" s="388"/>
      <c r="M68" s="399" t="s">
        <v>278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317"/>
      <c r="D69" s="317"/>
      <c r="E69" s="318"/>
      <c r="F69" s="388"/>
      <c r="G69" s="316" t="s">
        <v>279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279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285" t="s">
        <v>90</v>
      </c>
      <c r="B70" s="133" t="n">
        <f aca="false">B67*B69</f>
        <v>2618.28</v>
      </c>
      <c r="C70" s="317" t="n">
        <v>10000</v>
      </c>
      <c r="D70" s="32" t="n">
        <f aca="false">B70-A149</f>
        <v>2618.28</v>
      </c>
      <c r="E70" s="318" t="n">
        <f aca="false">D70/12</f>
        <v>218.19</v>
      </c>
      <c r="F70" s="388"/>
      <c r="G70" s="366" t="s">
        <v>90</v>
      </c>
      <c r="H70" s="65" t="n">
        <f aca="false">H67*H69</f>
        <v>2618.28</v>
      </c>
      <c r="I70" s="317"/>
      <c r="J70" s="32" t="n">
        <f aca="false">H70-G151</f>
        <v>2618.28</v>
      </c>
      <c r="K70" s="318"/>
      <c r="L70" s="388"/>
      <c r="M70" s="366" t="s">
        <v>90</v>
      </c>
      <c r="N70" s="65" t="n">
        <f aca="false">N67*N69</f>
        <v>2618.28</v>
      </c>
      <c r="O70" s="317"/>
      <c r="P70" s="32" t="n">
        <f aca="false">N70-M151</f>
        <v>2618.28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292" t="s">
        <v>91</v>
      </c>
      <c r="B71" s="293" t="n">
        <v>0.01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285" t="s">
        <v>93</v>
      </c>
      <c r="B73" s="133" t="n">
        <f aca="false">B66*B72</f>
        <v>251.49996</v>
      </c>
      <c r="C73" s="317"/>
      <c r="D73" s="32"/>
      <c r="E73" s="318"/>
      <c r="F73" s="388"/>
      <c r="G73" s="366" t="s">
        <v>93</v>
      </c>
      <c r="H73" s="65" t="n">
        <f aca="false">H67*H72</f>
        <v>187.02</v>
      </c>
      <c r="I73" s="317"/>
      <c r="J73" s="32"/>
      <c r="K73" s="318"/>
      <c r="L73" s="388"/>
      <c r="M73" s="366" t="s">
        <v>93</v>
      </c>
      <c r="N73" s="65" t="n">
        <f aca="false">N67*N72</f>
        <v>187.02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200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5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60</v>
      </c>
      <c r="C79" s="317"/>
      <c r="D79" s="32" t="n">
        <f aca="false">B79+B77</f>
        <v>260</v>
      </c>
      <c r="E79" s="404" t="n">
        <f aca="false">D79+D85+D86</f>
        <v>660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280</v>
      </c>
      <c r="B80" s="86" t="n">
        <v>165</v>
      </c>
      <c r="C80" s="317"/>
      <c r="D80" s="317"/>
      <c r="E80" s="404" t="n">
        <f aca="false">E79+D82</f>
        <v>838.75</v>
      </c>
      <c r="F80" s="388"/>
      <c r="G80" s="399" t="s">
        <v>280</v>
      </c>
      <c r="H80" s="86" t="n">
        <v>150</v>
      </c>
      <c r="I80" s="317"/>
      <c r="J80" s="317"/>
      <c r="K80" s="318"/>
      <c r="L80" s="388"/>
      <c r="M80" s="405" t="s">
        <v>280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281</v>
      </c>
      <c r="B81" s="77" t="n">
        <v>0</v>
      </c>
      <c r="C81" s="317"/>
      <c r="D81" s="317"/>
      <c r="E81" s="318" t="n">
        <f aca="false">E80/12</f>
        <v>69.8958333333333</v>
      </c>
      <c r="F81" s="388"/>
      <c r="G81" s="401" t="s">
        <v>281</v>
      </c>
      <c r="H81" s="77" t="n">
        <f aca="false">IF(G18&gt;40000, 325, 0)</f>
        <v>0</v>
      </c>
      <c r="I81" s="317"/>
      <c r="J81" s="317"/>
      <c r="K81" s="318"/>
      <c r="L81" s="388"/>
      <c r="M81" s="407" t="s">
        <v>281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282</v>
      </c>
      <c r="B82" s="65" t="n">
        <f aca="false">((B80+B81)/12)*(H29+1)</f>
        <v>178.75</v>
      </c>
      <c r="C82" s="317"/>
      <c r="D82" s="32" t="n">
        <f aca="false">IF(A50="YES", 0, B82)</f>
        <v>178.75</v>
      </c>
      <c r="E82" s="318"/>
      <c r="F82" s="388"/>
      <c r="G82" s="366" t="s">
        <v>282</v>
      </c>
      <c r="H82" s="65" t="n">
        <f aca="false">((H80+H81)/12)*(H29-11)</f>
        <v>12.5</v>
      </c>
      <c r="I82" s="317"/>
      <c r="J82" s="32" t="n">
        <f aca="false">IF(A50="YES", 0, H82)</f>
        <v>12.5</v>
      </c>
      <c r="K82" s="318"/>
      <c r="L82" s="388"/>
      <c r="M82" s="409" t="s">
        <v>282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283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283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283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342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284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284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200</v>
      </c>
      <c r="C85" s="317"/>
      <c r="D85" s="32" t="n">
        <f aca="false">B85</f>
        <v>200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200</v>
      </c>
      <c r="C86" s="317"/>
      <c r="D86" s="32" t="n">
        <f aca="false">B86</f>
        <v>200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4123.69666666667</v>
      </c>
      <c r="C87" s="317"/>
      <c r="D87" s="317"/>
      <c r="E87" s="318"/>
      <c r="F87" s="388"/>
      <c r="G87" s="412" t="s">
        <v>102</v>
      </c>
      <c r="H87" s="413" t="n">
        <f aca="false">SUM(J70:J86)</f>
        <v>5744.78</v>
      </c>
      <c r="I87" s="317"/>
      <c r="J87" s="317"/>
      <c r="K87" s="318"/>
      <c r="L87" s="388"/>
      <c r="M87" s="412" t="s">
        <v>102</v>
      </c>
      <c r="N87" s="413" t="n">
        <f aca="false">SUM(P70:P86)</f>
        <v>5732.28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343.641388888889</v>
      </c>
      <c r="C88" s="317"/>
      <c r="D88" s="317"/>
      <c r="E88" s="318"/>
      <c r="F88" s="388"/>
      <c r="G88" s="316" t="s">
        <v>103</v>
      </c>
      <c r="H88" s="33" t="n">
        <f aca="false">H87/H29</f>
        <v>478.731666666667</v>
      </c>
      <c r="I88" s="317"/>
      <c r="J88" s="317"/>
      <c r="K88" s="318"/>
      <c r="L88" s="388"/>
      <c r="M88" s="316" t="s">
        <v>103</v>
      </c>
      <c r="N88" s="33" t="n">
        <f aca="false">N87/H29</f>
        <v>477.69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236.6945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</f>
        <v>6964.03066666667</v>
      </c>
      <c r="C91" s="317"/>
      <c r="D91" s="317"/>
      <c r="E91" s="318"/>
      <c r="F91" s="388"/>
      <c r="G91" s="396" t="s">
        <v>114</v>
      </c>
      <c r="H91" s="27" t="n">
        <f aca="false">((H89*H29)+H87)*1.2</f>
        <v>6893.736</v>
      </c>
      <c r="I91" s="317"/>
      <c r="J91" s="317"/>
      <c r="K91" s="318"/>
      <c r="L91" s="388"/>
      <c r="M91" s="396" t="s">
        <v>114</v>
      </c>
      <c r="N91" s="27" t="n">
        <f aca="false">((N89*H29)+N87)</f>
        <v>5732.28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58.9934021782977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48.6649374747882</v>
      </c>
      <c r="I92" s="317"/>
      <c r="J92" s="317"/>
      <c r="K92" s="318"/>
      <c r="L92" s="388"/>
      <c r="M92" s="316" t="s">
        <v>115</v>
      </c>
      <c r="N92" s="33" t="n">
        <f aca="false">(N91/(1-N76))*N76</f>
        <v>48.5590480032271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7023.02406884496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8942.40093747479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7780.83904800323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</f>
        <v>0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585.25200573708</v>
      </c>
      <c r="C96" s="317" t="s">
        <v>4</v>
      </c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585.25200573708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388"/>
      <c r="G100" s="213" t="s">
        <v>285</v>
      </c>
      <c r="H100" s="213"/>
      <c r="I100" s="213"/>
      <c r="J100" s="213"/>
      <c r="K100" s="213"/>
      <c r="L100" s="388"/>
      <c r="M100" s="213" t="s">
        <v>343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286</v>
      </c>
      <c r="E104" s="318"/>
      <c r="F104" s="388"/>
      <c r="G104" s="316" t="s">
        <v>125</v>
      </c>
      <c r="H104" s="317" t="s">
        <v>23</v>
      </c>
      <c r="I104" s="317"/>
      <c r="J104" s="317" t="s">
        <v>286</v>
      </c>
      <c r="K104" s="318"/>
      <c r="L104" s="388"/>
      <c r="M104" s="316" t="s">
        <v>125</v>
      </c>
      <c r="N104" s="317" t="s">
        <v>23</v>
      </c>
      <c r="O104" s="317"/>
      <c r="P104" s="317" t="s">
        <v>286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264</v>
      </c>
    </row>
    <row r="105" customFormat="false" ht="18.75" hidden="false" customHeight="true" outlineLevel="0" collapsed="false">
      <c r="A105" s="374"/>
      <c r="B105" s="312" t="s">
        <v>288</v>
      </c>
      <c r="C105" s="312"/>
      <c r="D105" s="421" t="n">
        <v>1000</v>
      </c>
      <c r="E105" s="421"/>
      <c r="F105" s="388"/>
      <c r="G105" s="374" t="s">
        <v>287</v>
      </c>
      <c r="H105" s="312" t="s">
        <v>269</v>
      </c>
      <c r="I105" s="312"/>
      <c r="J105" s="421" t="n">
        <v>5000</v>
      </c>
      <c r="K105" s="421"/>
      <c r="L105" s="388"/>
      <c r="M105" s="374" t="s">
        <v>287</v>
      </c>
      <c r="N105" s="312" t="s">
        <v>268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265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266</v>
      </c>
    </row>
    <row r="107" customFormat="false" ht="18.75" hidden="false" customHeight="true" outlineLevel="0" collapsed="false">
      <c r="A107" s="316" t="s">
        <v>289</v>
      </c>
      <c r="B107" s="317" t="s">
        <v>290</v>
      </c>
      <c r="C107" s="317"/>
      <c r="D107" s="317" t="s">
        <v>291</v>
      </c>
      <c r="E107" s="318"/>
      <c r="F107" s="388"/>
      <c r="G107" s="316" t="s">
        <v>289</v>
      </c>
      <c r="H107" s="317" t="s">
        <v>290</v>
      </c>
      <c r="I107" s="317"/>
      <c r="J107" s="317" t="s">
        <v>291</v>
      </c>
      <c r="K107" s="318"/>
      <c r="L107" s="388"/>
      <c r="M107" s="316" t="s">
        <v>289</v>
      </c>
      <c r="N107" s="317" t="s">
        <v>290</v>
      </c>
      <c r="O107" s="317"/>
      <c r="P107" s="317" t="s">
        <v>291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268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269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270</v>
      </c>
    </row>
    <row r="111" customFormat="false" ht="18.75" hidden="false" customHeight="true" outlineLevel="0" collapsed="false">
      <c r="A111" s="389" t="s">
        <v>19</v>
      </c>
      <c r="B111" s="312" t="n">
        <v>0</v>
      </c>
      <c r="C111" s="312"/>
      <c r="D111" s="107" t="s">
        <v>292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271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344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388"/>
      <c r="G114" s="217" t="s">
        <v>293</v>
      </c>
      <c r="H114" s="217"/>
      <c r="I114" s="217"/>
      <c r="J114" s="217"/>
      <c r="K114" s="217"/>
      <c r="L114" s="388"/>
      <c r="M114" s="217" t="s">
        <v>293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294</v>
      </c>
      <c r="B116" s="389" t="s">
        <v>19</v>
      </c>
      <c r="C116" s="317"/>
      <c r="D116" s="317"/>
      <c r="E116" s="318"/>
      <c r="F116" s="388"/>
      <c r="G116" s="316" t="s">
        <v>294</v>
      </c>
      <c r="H116" s="389" t="s">
        <v>18</v>
      </c>
      <c r="I116" s="317"/>
      <c r="J116" s="317"/>
      <c r="K116" s="318"/>
      <c r="L116" s="388"/>
      <c r="M116" s="316" t="s">
        <v>294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</v>
      </c>
      <c r="E118" s="107" t="n">
        <v>6000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199.99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295</v>
      </c>
      <c r="B125" s="367"/>
      <c r="C125" s="367"/>
      <c r="D125" s="367"/>
      <c r="E125" s="65" t="n">
        <f aca="false">((E124*1.2)+E123)-E120</f>
        <v>-2760.012</v>
      </c>
      <c r="F125" s="388"/>
      <c r="G125" s="422" t="s">
        <v>295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295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388"/>
      <c r="G128" s="217" t="s">
        <v>296</v>
      </c>
      <c r="H128" s="217"/>
      <c r="I128" s="217"/>
      <c r="J128" s="217"/>
      <c r="K128" s="217"/>
      <c r="L128" s="388"/>
      <c r="M128" s="217" t="s">
        <v>296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3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3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585.25200573708</v>
      </c>
      <c r="B134" s="321" t="n">
        <f aca="false">IF(A111="YES", B95, 0)</f>
        <v>0</v>
      </c>
      <c r="C134" s="326"/>
      <c r="D134" s="321" t="n">
        <f aca="false">B97</f>
        <v>585.25200573708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299</v>
      </c>
      <c r="H135" s="424" t="s">
        <v>300</v>
      </c>
      <c r="I135" s="424"/>
      <c r="J135" s="424" t="s">
        <v>301</v>
      </c>
      <c r="K135" s="318"/>
      <c r="L135" s="388"/>
      <c r="M135" s="423" t="s">
        <v>345</v>
      </c>
      <c r="N135" s="424" t="s">
        <v>253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5267.26805163372</v>
      </c>
      <c r="C137" s="317"/>
      <c r="D137" s="38" t="n">
        <f aca="false">IF(A111="YES", B95*B63, 0)</f>
        <v>0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304</v>
      </c>
      <c r="H138" s="317" t="s">
        <v>305</v>
      </c>
      <c r="I138" s="317"/>
      <c r="J138" s="317" t="s">
        <v>306</v>
      </c>
      <c r="K138" s="318"/>
      <c r="L138" s="388"/>
      <c r="M138" s="316" t="s">
        <v>346</v>
      </c>
      <c r="N138" s="317" t="s">
        <v>242</v>
      </c>
      <c r="O138" s="317"/>
      <c r="P138" s="317" t="s">
        <v>246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5267.26805163372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309</v>
      </c>
      <c r="H141" s="317" t="s">
        <v>310</v>
      </c>
      <c r="I141" s="317"/>
      <c r="J141" s="317" t="s">
        <v>311</v>
      </c>
      <c r="K141" s="318"/>
      <c r="L141" s="388"/>
      <c r="M141" s="316" t="s">
        <v>255</v>
      </c>
      <c r="N141" s="317" t="s">
        <v>256</v>
      </c>
      <c r="O141" s="317"/>
      <c r="P141" s="317" t="s">
        <v>260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388"/>
      <c r="G142" s="111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5"/>
      <c r="L142" s="388"/>
      <c r="M142" s="111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585.25200573708</v>
      </c>
      <c r="B143" s="38" t="n">
        <f aca="false">IF(A111="YES", B95, 0)</f>
        <v>0</v>
      </c>
      <c r="C143" s="317"/>
      <c r="D143" s="38" t="n">
        <f aca="false">B97</f>
        <v>585.25200573708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312</v>
      </c>
      <c r="H144" s="317" t="s">
        <v>313</v>
      </c>
      <c r="I144" s="317"/>
      <c r="J144" s="317" t="s">
        <v>314</v>
      </c>
      <c r="K144" s="318"/>
      <c r="L144" s="388"/>
      <c r="M144" s="316" t="s">
        <v>139</v>
      </c>
      <c r="N144" s="317" t="s">
        <v>313</v>
      </c>
      <c r="O144" s="317"/>
      <c r="P144" s="317" t="s">
        <v>314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155.85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155.85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316</v>
      </c>
      <c r="H147" s="317" t="s">
        <v>317</v>
      </c>
      <c r="I147" s="317"/>
      <c r="J147" s="317" t="s">
        <v>318</v>
      </c>
      <c r="K147" s="318"/>
      <c r="L147" s="388"/>
      <c r="M147" s="316" t="s">
        <v>316</v>
      </c>
      <c r="N147" s="317" t="s">
        <v>317</v>
      </c>
      <c r="O147" s="317"/>
      <c r="P147" s="317" t="s">
        <v>318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2815.838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2775.84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320</v>
      </c>
      <c r="H150" s="317" t="s">
        <v>321</v>
      </c>
      <c r="I150" s="317"/>
      <c r="J150" s="317"/>
      <c r="K150" s="318"/>
      <c r="L150" s="388"/>
      <c r="M150" s="316" t="s">
        <v>320</v>
      </c>
      <c r="N150" s="317" t="s">
        <v>321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347</v>
      </c>
      <c r="N153" s="39" t="s">
        <v>348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251.49996</v>
      </c>
      <c r="B154" s="103" t="n">
        <f aca="false">B108</f>
        <v>400</v>
      </c>
      <c r="C154" s="38"/>
      <c r="D154" s="38" t="n">
        <f aca="false">IF(A111="YES", (A44/100*B111)*B131, 0)*0.1</f>
        <v>0</v>
      </c>
      <c r="E154" s="105"/>
      <c r="F154" s="388"/>
      <c r="G154" s="348" t="s">
        <v>326</v>
      </c>
      <c r="H154" s="317"/>
      <c r="I154" s="317"/>
      <c r="J154" s="349"/>
      <c r="K154" s="350"/>
      <c r="L154" s="388"/>
      <c r="M154" s="425" t="n">
        <f aca="false">H40</f>
        <v>4191.666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751.48996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326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585.25200573708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427" t="n">
        <f aca="false">ISNUMBER(B183)</f>
        <v>1</v>
      </c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585.25200573708</v>
      </c>
      <c r="B177" s="355" t="n">
        <f aca="false">IF(A111="YES", B95, 0)</f>
        <v>0</v>
      </c>
      <c r="C177" s="358"/>
      <c r="D177" s="355" t="n">
        <f aca="false">B91</f>
        <v>6964.03066666667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5267.26805163372</v>
      </c>
      <c r="C180" s="353"/>
      <c r="D180" s="103" t="n">
        <f aca="false">IF(A111="YES", B95*B63, 0)</f>
        <v>0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5267.26805163372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585.25200573708</v>
      </c>
      <c r="B186" s="103" t="n">
        <f aca="false">IF(A111="YES", B95, 0)</f>
        <v>0</v>
      </c>
      <c r="C186" s="353"/>
      <c r="D186" s="103" t="n">
        <f aca="false">B97</f>
        <v>585.25200573708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251.49996</v>
      </c>
      <c r="B197" s="103" t="n">
        <f aca="false">B108</f>
        <v>400</v>
      </c>
      <c r="C197" s="103"/>
      <c r="D197" s="103" t="n">
        <f aca="false">IF(A111="YES", (A44/100*B111)*B131, 0)*0.1</f>
        <v>0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751.48996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2618.28</v>
      </c>
      <c r="E209" s="322"/>
      <c r="F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251.49996</v>
      </c>
      <c r="C211" s="320" t="s">
        <v>217</v>
      </c>
      <c r="D211" s="370" t="n">
        <f aca="false">B225+E221+B221+B223</f>
        <v>339.99</v>
      </c>
      <c r="E211" s="322"/>
      <c r="F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2706.77004</v>
      </c>
      <c r="C213" s="325"/>
      <c r="D213" s="321"/>
      <c r="E213" s="322"/>
      <c r="F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2618.28</v>
      </c>
      <c r="C217" s="375" t="s">
        <v>221</v>
      </c>
      <c r="D217" s="317"/>
      <c r="E217" s="376" t="n">
        <f aca="false">B72</f>
        <v>0.01</v>
      </c>
      <c r="F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251.49996</v>
      </c>
      <c r="C219" s="336" t="s">
        <v>329</v>
      </c>
      <c r="D219" s="377"/>
      <c r="E219" s="92" t="n">
        <v>0.001</v>
      </c>
      <c r="F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2706.77004</v>
      </c>
      <c r="F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58.9934021782977</v>
      </c>
      <c r="F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165</v>
      </c>
      <c r="F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16"/>
      <c r="B243" s="317"/>
      <c r="C243" s="317"/>
      <c r="D243" s="317"/>
      <c r="E243" s="318"/>
      <c r="F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111"/>
      <c r="B244" s="38"/>
      <c r="C244" s="38"/>
      <c r="D244" s="38"/>
      <c r="E244" s="105"/>
      <c r="F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16"/>
      <c r="B245" s="317"/>
      <c r="C245" s="317"/>
      <c r="D245" s="317"/>
      <c r="E245" s="318"/>
      <c r="F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16"/>
      <c r="B246" s="317"/>
      <c r="C246" s="317"/>
      <c r="D246" s="317"/>
      <c r="E246" s="318"/>
      <c r="F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111"/>
      <c r="B247" s="38"/>
      <c r="C247" s="317"/>
      <c r="D247" s="317"/>
      <c r="E247" s="318"/>
      <c r="F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66"/>
      <c r="B248" s="367"/>
      <c r="C248" s="367"/>
      <c r="D248" s="367"/>
      <c r="E248" s="368"/>
      <c r="F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3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3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25149.996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45295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349</v>
      </c>
      <c r="B41" s="241" t="str">
        <f aca="false">IF(B38="YES", D38+A41, D38)</f>
        <v>500</v>
      </c>
      <c r="C41" s="241"/>
      <c r="D41" s="104" t="s">
        <v>336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338</v>
      </c>
      <c r="C44" s="104"/>
      <c r="D44" s="104" t="s">
        <v>349</v>
      </c>
      <c r="E44" s="104"/>
      <c r="F44" s="63"/>
      <c r="G44" s="63" t="s">
        <v>258</v>
      </c>
      <c r="H44" s="238" t="str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340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25149.996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1760.49972</v>
      </c>
      <c r="C70" s="215" t="n">
        <v>10000</v>
      </c>
      <c r="D70" s="291" t="n">
        <f aca="false">B70-A149</f>
        <v>1760.49972</v>
      </c>
      <c r="E70" s="216" t="n">
        <f aca="false">D70/12</f>
        <v>146.70831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251.49996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280</v>
      </c>
      <c r="B80" s="432" t="n">
        <v>0</v>
      </c>
      <c r="C80" s="215"/>
      <c r="D80" s="215"/>
      <c r="E80" s="430" t="n">
        <f aca="false">E79+D82</f>
        <v>660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281</v>
      </c>
      <c r="B81" s="434" t="n">
        <v>0</v>
      </c>
      <c r="C81" s="215"/>
      <c r="D81" s="215"/>
      <c r="E81" s="216" t="n">
        <f aca="false">E80/12</f>
        <v>55</v>
      </c>
      <c r="F81" s="63"/>
      <c r="G81" s="295" t="s">
        <v>281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((B80+B81)/12)*(H29+1)</f>
        <v>0</v>
      </c>
      <c r="C82" s="215"/>
      <c r="D82" s="291" t="n">
        <f aca="false">IF(A50="YES", 0, B82)</f>
        <v>0</v>
      </c>
      <c r="E82" s="216"/>
      <c r="F82" s="63"/>
      <c r="G82" s="285" t="s">
        <v>282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3087.16638666667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257.263865555556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9099.16638666667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77.0804736264623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9176.24686029313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764.687238357761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764.687238357761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351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19</v>
      </c>
      <c r="B111" s="314" t="n">
        <v>0</v>
      </c>
      <c r="C111" s="314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764.687238357761</v>
      </c>
      <c r="B134" s="321" t="n">
        <f aca="false">IF(A111="YES", B95, 0)</f>
        <v>0</v>
      </c>
      <c r="C134" s="326"/>
      <c r="D134" s="321" t="n">
        <f aca="false">B97</f>
        <v>764.687238357761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764.687238357761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764.687238357761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764.687238357761</v>
      </c>
      <c r="B143" s="38" t="n">
        <f aca="false">IF(A111="YES", B95, 0)</f>
        <v>0</v>
      </c>
      <c r="C143" s="317"/>
      <c r="D143" s="38" t="n">
        <f aca="false">B97</f>
        <v>764.687238357761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1375.838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1335.84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251.49996</v>
      </c>
      <c r="B154" s="103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751.48996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764.687238357761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764.687238357761</v>
      </c>
      <c r="B177" s="355" t="n">
        <f aca="false">IF(A111="YES", B95, 0)</f>
        <v>0</v>
      </c>
      <c r="C177" s="358"/>
      <c r="D177" s="355" t="n">
        <f aca="false">B91</f>
        <v>9099.16638666667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764.687238357761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764.687238357761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764.687238357761</v>
      </c>
      <c r="B186" s="103" t="n">
        <f aca="false">IF(A111="YES", B95, 0)</f>
        <v>0</v>
      </c>
      <c r="C186" s="353"/>
      <c r="D186" s="103" t="n">
        <f aca="false">B97</f>
        <v>764.687238357761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251.49996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751.48996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1760.49972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251.49996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1848.98976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1760.49972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251.49996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1848.98976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77.0804736264623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A66" activeCellId="0" sqref="A6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25149.996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45295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50</v>
      </c>
      <c r="E32" s="226"/>
      <c r="F32" s="63"/>
      <c r="G32" s="227" t="s">
        <v>244</v>
      </c>
      <c r="H32" s="225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233</v>
      </c>
      <c r="B41" s="241" t="n">
        <f aca="false">IF(B38="YES", D38+A41, D38)</f>
        <v>550</v>
      </c>
      <c r="C41" s="241"/>
      <c r="D41" s="104" t="s">
        <v>336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338</v>
      </c>
      <c r="C44" s="104"/>
      <c r="D44" s="104" t="s">
        <v>350</v>
      </c>
      <c r="E44" s="104"/>
      <c r="F44" s="63"/>
      <c r="G44" s="63" t="s">
        <v>258</v>
      </c>
      <c r="H44" s="238" t="str">
        <f aca="false">H32</f>
        <v>50</v>
      </c>
      <c r="I44" s="394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551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4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25149.996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1760.49972</v>
      </c>
      <c r="C70" s="215" t="n">
        <v>10000</v>
      </c>
      <c r="D70" s="291" t="n">
        <f aca="false">B70-A149</f>
        <v>1760.49972</v>
      </c>
      <c r="E70" s="216" t="n">
        <f aca="false">D70/12</f>
        <v>146.70831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251.49996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165</v>
      </c>
      <c r="C80" s="215"/>
      <c r="D80" s="215"/>
      <c r="E80" s="430" t="n">
        <f aca="false">E79+D82</f>
        <v>838.75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0</v>
      </c>
      <c r="C81" s="215"/>
      <c r="D81" s="215"/>
      <c r="E81" s="216" t="n">
        <f aca="false">E80/12</f>
        <v>69.8958333333333</v>
      </c>
      <c r="F81" s="63"/>
      <c r="G81" s="295" t="s">
        <v>281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((B80+B81)/12)*(H29+1)</f>
        <v>178.75</v>
      </c>
      <c r="C82" s="215"/>
      <c r="D82" s="291" t="n">
        <f aca="false">IF(A50="YES", 0, B82)</f>
        <v>178.75</v>
      </c>
      <c r="E82" s="216"/>
      <c r="F82" s="63"/>
      <c r="G82" s="285" t="s">
        <v>282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3265.91638666667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272.159698888889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11133.499664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78.5946930697862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11212.0943570698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78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934.341196422482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1012.34119642248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239.99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18</v>
      </c>
      <c r="B111" s="312" t="n">
        <v>30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934.341196422482</v>
      </c>
      <c r="B134" s="321" t="n">
        <f aca="false">IF(A111="YES", B95, 0)</f>
        <v>78</v>
      </c>
      <c r="C134" s="326"/>
      <c r="D134" s="321" t="n">
        <f aca="false">B97</f>
        <v>1012.34119642248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934.341196422482</v>
      </c>
      <c r="C137" s="317"/>
      <c r="D137" s="38" t="n">
        <f aca="false">IF(A111="YES", B95*B63, 0)</f>
        <v>78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1012.34119642248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934.341196422482</v>
      </c>
      <c r="B143" s="38" t="n">
        <f aca="false">IF(A111="YES", B95, 0)</f>
        <v>78</v>
      </c>
      <c r="C143" s="317"/>
      <c r="D143" s="38" t="n">
        <f aca="false">B97</f>
        <v>1012.34119642248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12</v>
      </c>
      <c r="H148" s="103" t="n">
        <f aca="false">G108-100</f>
        <v>139.988</v>
      </c>
      <c r="I148" s="103"/>
      <c r="J148" s="103" t="n">
        <f aca="false">(H145+J145+G148+H148)-H151</f>
        <v>1387.838</v>
      </c>
      <c r="K148" s="105"/>
      <c r="L148" s="63"/>
      <c r="M148" s="111" t="n">
        <f aca="false">IF(M111="YES", ((A41*N111)*0.1)*(M133), 0)</f>
        <v>12</v>
      </c>
      <c r="N148" s="103" t="n">
        <f aca="false">M108-100</f>
        <v>99.99</v>
      </c>
      <c r="O148" s="103"/>
      <c r="P148" s="103" t="n">
        <f aca="false">(N145+P145+M148+N148)-N151</f>
        <v>1347.84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251.49996</v>
      </c>
      <c r="B154" s="38" t="n">
        <f aca="false">B108</f>
        <v>400</v>
      </c>
      <c r="C154" s="38"/>
      <c r="D154" s="38" t="n">
        <f aca="false">IF(A111="YES", (A41/100*B111)*B131, 0)*0.1</f>
        <v>18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769.491626666667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1012.34119642248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934.341196422482</v>
      </c>
      <c r="B177" s="355" t="n">
        <f aca="false">IF(A111="YES", B95, 0)</f>
        <v>78</v>
      </c>
      <c r="C177" s="358"/>
      <c r="D177" s="355" t="n">
        <f aca="false">B97</f>
        <v>1012.34119642248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934.341196422482</v>
      </c>
      <c r="C180" s="353"/>
      <c r="D180" s="103" t="n">
        <f aca="false">IF(A111="YES", B95*B63, 0)</f>
        <v>78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1012.34119642248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934.341196422482</v>
      </c>
      <c r="B186" s="103" t="n">
        <f aca="false">IF(A111="YES", B95, 0)</f>
        <v>78</v>
      </c>
      <c r="C186" s="353"/>
      <c r="D186" s="103" t="n">
        <f aca="false">B97</f>
        <v>1012.34119642248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251.49996</v>
      </c>
      <c r="B197" s="103" t="n">
        <f aca="false">B108</f>
        <v>400</v>
      </c>
      <c r="C197" s="103"/>
      <c r="D197" s="103" t="n">
        <f aca="false">IF(A111="YES", (A41/100*B111)*B131, 0)*0.1</f>
        <v>18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769.491626666667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1760.49972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251.49996</v>
      </c>
      <c r="C211" s="320" t="s">
        <v>217</v>
      </c>
      <c r="D211" s="370" t="n">
        <f aca="false">B225+E221+B221+B223</f>
        <v>519.991666666667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2028.99142666667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1760.49972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251.49996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2028.99142666667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180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78.5946930697862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5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25149.996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45295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50</v>
      </c>
      <c r="E32" s="226"/>
      <c r="F32" s="63"/>
      <c r="G32" s="227" t="s">
        <v>244</v>
      </c>
      <c r="H32" s="225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233</v>
      </c>
      <c r="B41" s="241" t="n">
        <f aca="false">IF(B38="YES", D38+A41, D38)</f>
        <v>550</v>
      </c>
      <c r="C41" s="241"/>
      <c r="D41" s="104" t="s">
        <v>336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338</v>
      </c>
      <c r="C44" s="104"/>
      <c r="D44" s="104" t="s">
        <v>350</v>
      </c>
      <c r="E44" s="104"/>
      <c r="F44" s="63"/>
      <c r="G44" s="63" t="s">
        <v>258</v>
      </c>
      <c r="H44" s="238" t="str">
        <f aca="false">H32</f>
        <v>50</v>
      </c>
      <c r="I44" s="394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551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25149.996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1760.49972</v>
      </c>
      <c r="C70" s="215" t="n">
        <v>10000</v>
      </c>
      <c r="D70" s="291" t="n">
        <f aca="false">B70-A149</f>
        <v>1760.49972</v>
      </c>
      <c r="E70" s="216" t="n">
        <f aca="false">D70/12</f>
        <v>146.70831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251.49996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165</v>
      </c>
      <c r="C80" s="215"/>
      <c r="D80" s="215"/>
      <c r="E80" s="430" t="n">
        <f aca="false">E79+D82</f>
        <v>838.75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0</v>
      </c>
      <c r="C81" s="215"/>
      <c r="D81" s="215"/>
      <c r="E81" s="216" t="n">
        <f aca="false">E80/12</f>
        <v>69.8958333333333</v>
      </c>
      <c r="F81" s="63"/>
      <c r="G81" s="295" t="s">
        <v>281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((B80+B81)/12)*(H29+1)</f>
        <v>178.75</v>
      </c>
      <c r="C82" s="215"/>
      <c r="D82" s="291" t="n">
        <f aca="false">IF(A50="YES", 0, B82)</f>
        <v>178.75</v>
      </c>
      <c r="E82" s="216"/>
      <c r="F82" s="63"/>
      <c r="G82" s="285" t="s">
        <v>282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3265.91638666667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272.159698888889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9277.91638666667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78.5946930697862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9356.51107973645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60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779.709256644705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779.709256644705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19</v>
      </c>
      <c r="B111" s="312" t="n">
        <v>20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779.709256644705</v>
      </c>
      <c r="B134" s="321" t="n">
        <f aca="false">IF(A111="YES", B95, 0)</f>
        <v>0</v>
      </c>
      <c r="C134" s="326"/>
      <c r="D134" s="321" t="n">
        <f aca="false">B97</f>
        <v>779.709256644705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779.709256644705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779.709256644705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779.709256644705</v>
      </c>
      <c r="B143" s="38" t="n">
        <f aca="false">IF(A111="YES", B95, 0)</f>
        <v>0</v>
      </c>
      <c r="C143" s="317"/>
      <c r="D143" s="38" t="n">
        <f aca="false">B97</f>
        <v>779.709256644705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12</v>
      </c>
      <c r="H148" s="103" t="n">
        <f aca="false">G108-100</f>
        <v>139.988</v>
      </c>
      <c r="I148" s="103"/>
      <c r="J148" s="103" t="n">
        <f aca="false">(H145+J145+G148+H148)-H151</f>
        <v>1387.838</v>
      </c>
      <c r="K148" s="105"/>
      <c r="L148" s="63"/>
      <c r="M148" s="111" t="n">
        <f aca="false">IF(M111="YES", ((A41*N111)*0.1)*(M133), 0)</f>
        <v>12</v>
      </c>
      <c r="N148" s="103" t="n">
        <f aca="false">M108-100</f>
        <v>99.99</v>
      </c>
      <c r="O148" s="103"/>
      <c r="P148" s="103" t="n">
        <f aca="false">(N145+P145+M148+N148)-N151</f>
        <v>1347.84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251.49996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751.48996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779.709256644705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779.709256644705</v>
      </c>
      <c r="B177" s="355" t="n">
        <f aca="false">IF(A111="YES", B95, 0)</f>
        <v>0</v>
      </c>
      <c r="C177" s="358"/>
      <c r="D177" s="355" t="n">
        <f aca="false">B91</f>
        <v>9277.91638666667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779.709256644705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779.709256644705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779.709256644705</v>
      </c>
      <c r="B186" s="103" t="n">
        <f aca="false">IF(A111="YES", B95, 0)</f>
        <v>0</v>
      </c>
      <c r="C186" s="353"/>
      <c r="D186" s="103" t="n">
        <f aca="false">B97</f>
        <v>779.709256644705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251.49996</v>
      </c>
      <c r="B197" s="103" t="n">
        <f aca="false">B154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751.48996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1760.49972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251.49996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1848.98976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1760.49972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251.49996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1848.98976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78.5946930697862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25149.996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45295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</v>
      </c>
      <c r="B41" s="241" t="str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25149.996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1760.49972</v>
      </c>
      <c r="C70" s="215" t="n">
        <v>10000</v>
      </c>
      <c r="D70" s="291" t="n">
        <f aca="false">B70-A149</f>
        <v>1760.49972</v>
      </c>
      <c r="E70" s="216" t="n">
        <f aca="false">D70/12</f>
        <v>146.70831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251.49996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280</v>
      </c>
      <c r="B80" s="432" t="n">
        <v>0</v>
      </c>
      <c r="C80" s="215"/>
      <c r="D80" s="215"/>
      <c r="E80" s="430" t="n">
        <f aca="false">E79+D82</f>
        <v>660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281</v>
      </c>
      <c r="B81" s="434" t="n">
        <v>0</v>
      </c>
      <c r="C81" s="215"/>
      <c r="D81" s="215"/>
      <c r="E81" s="216" t="n">
        <f aca="false">E80/12</f>
        <v>55</v>
      </c>
      <c r="F81" s="63"/>
      <c r="G81" s="295" t="s">
        <v>281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282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3087.16638666667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257.263865555556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9099.16638666667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77.0804736264623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9176.24686029313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764.687238357761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764.687238357761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343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288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19</v>
      </c>
      <c r="B111" s="312" t="n">
        <v>0</v>
      </c>
      <c r="C111" s="312"/>
      <c r="D111" s="107" t="s">
        <v>292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764.687238357761</v>
      </c>
      <c r="B134" s="321" t="n">
        <f aca="false">IF(A111="YES", B95, 0)</f>
        <v>0</v>
      </c>
      <c r="C134" s="326"/>
      <c r="D134" s="321" t="n">
        <f aca="false">B97</f>
        <v>764.687238357761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6882.18514521985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6882.18514521985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764.687238357761</v>
      </c>
      <c r="B143" s="38" t="n">
        <f aca="false">IF(A111="YES", B95, 0)</f>
        <v>0</v>
      </c>
      <c r="C143" s="317"/>
      <c r="D143" s="38" t="n">
        <f aca="false">B97</f>
        <v>764.687238357761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1375.838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1335.84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251.49996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751.48996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764.687238357761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764.687238357761</v>
      </c>
      <c r="B177" s="355" t="n">
        <f aca="false">IF(A111="YES", B95, 0)</f>
        <v>0</v>
      </c>
      <c r="C177" s="358"/>
      <c r="D177" s="355" t="n">
        <f aca="false">B91</f>
        <v>9099.16638666667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6882.18514521985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6882.18514521985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764.687238357761</v>
      </c>
      <c r="B186" s="103" t="n">
        <f aca="false">IF(A111="YES", B95, 0)</f>
        <v>0</v>
      </c>
      <c r="C186" s="353"/>
      <c r="D186" s="103" t="n">
        <f aca="false">B97</f>
        <v>764.687238357761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251.49996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751.48996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1760.49972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251.49996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1848.98976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1760.49972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251.49996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1848.98976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77.0804736264623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A66" activeCellId="0" sqref="A6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25149.996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45295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</v>
      </c>
      <c r="B41" s="241" t="str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25149.996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1760.49972</v>
      </c>
      <c r="C70" s="215" t="n">
        <v>10000</v>
      </c>
      <c r="D70" s="291" t="n">
        <f aca="false">B70-A149</f>
        <v>1760.49972</v>
      </c>
      <c r="E70" s="216" t="n">
        <f aca="false">D70/12</f>
        <v>146.70831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251.49996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165</v>
      </c>
      <c r="C80" s="215"/>
      <c r="D80" s="215"/>
      <c r="E80" s="430" t="n">
        <f aca="false">E79+D82</f>
        <v>838.75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0</v>
      </c>
      <c r="C81" s="215"/>
      <c r="D81" s="215"/>
      <c r="E81" s="216" t="n">
        <f aca="false">E80/12</f>
        <v>69.8958333333333</v>
      </c>
      <c r="F81" s="63"/>
      <c r="G81" s="295" t="s">
        <v>281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((B80+B81)/12)*(H29+1)</f>
        <v>178.75</v>
      </c>
      <c r="C82" s="215"/>
      <c r="D82" s="291" t="n">
        <f aca="false">IF(A50="YES", 0, B82)</f>
        <v>178.75</v>
      </c>
      <c r="E82" s="216"/>
      <c r="F82" s="63"/>
      <c r="G82" s="285" t="s">
        <v>282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0</v>
      </c>
      <c r="C83" s="215"/>
      <c r="D83" s="291" t="n">
        <f aca="false">B83</f>
        <v>0</v>
      </c>
      <c r="E83" s="216" t="n">
        <f aca="false">D83/12</f>
        <v>0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0</v>
      </c>
      <c r="C84" s="215"/>
      <c r="D84" s="291" t="n">
        <f aca="false">B84</f>
        <v>0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2599.24972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216.604143333333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10333.499664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72.9472545865268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10406.4469185865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867.20390988221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867.20390988221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239.99</v>
      </c>
      <c r="B108" s="107" t="n">
        <v>0</v>
      </c>
      <c r="C108" s="107"/>
      <c r="D108" s="107" t="n">
        <v>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19</v>
      </c>
      <c r="B111" s="312" t="n">
        <v>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867.20390988221</v>
      </c>
      <c r="B134" s="321" t="n">
        <f aca="false">IF(A111="YES", B95, 0)</f>
        <v>0</v>
      </c>
      <c r="C134" s="326"/>
      <c r="D134" s="321" t="n">
        <f aca="false">B97</f>
        <v>867.20390988221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867.20390988221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867.20390988221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867.20390988221</v>
      </c>
      <c r="B143" s="38" t="n">
        <f aca="false">IF(A111="YES", B95, 0)</f>
        <v>0</v>
      </c>
      <c r="C143" s="317"/>
      <c r="D143" s="38" t="n">
        <f aca="false">B97</f>
        <v>867.20390988221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1375.838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1335.84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251.49996</v>
      </c>
      <c r="B154" s="38" t="n">
        <f aca="false">B108</f>
        <v>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351.491626666667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867.20390988221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867.20390988221</v>
      </c>
      <c r="B177" s="355" t="n">
        <f aca="false">IF(A111="YES", B95, 0)</f>
        <v>0</v>
      </c>
      <c r="C177" s="358"/>
      <c r="D177" s="355" t="n">
        <f aca="false">B91</f>
        <v>10333.499664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867.20390988221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867.20390988221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867.20390988221</v>
      </c>
      <c r="B186" s="103" t="n">
        <f aca="false">IF(A111="YES", B95, 0)</f>
        <v>0</v>
      </c>
      <c r="C186" s="353"/>
      <c r="D186" s="103" t="n">
        <f aca="false">B97</f>
        <v>867.20390988221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251.49996</v>
      </c>
      <c r="B197" s="103" t="n">
        <f aca="false">B108</f>
        <v>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351.491626666667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1760.49972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251.49996</v>
      </c>
      <c r="C211" s="320" t="s">
        <v>217</v>
      </c>
      <c r="D211" s="370" t="n">
        <f aca="false">B225+E221+B221+B223</f>
        <v>99.9916666666667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1608.99142666667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1760.49972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251.49996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0</v>
      </c>
      <c r="C223" s="336" t="s">
        <v>218</v>
      </c>
      <c r="D223" s="317"/>
      <c r="E223" s="33" t="n">
        <f aca="false">(B217-B211+D211)</f>
        <v>1608.99142666667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72.9472545865268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2" colorId="64" zoomScale="85" zoomScaleNormal="85" zoomScalePageLayoutView="100" workbookViewId="0">
      <selection pane="topLeft" activeCell="B73" activeCellId="0" sqref="B73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60000</v>
      </c>
      <c r="C2" s="4" t="s">
        <v>2</v>
      </c>
      <c r="D2" s="5" t="n">
        <f aca="false">C9</f>
        <v>12000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72000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18375.0</v>
      </c>
      <c r="C9" s="14" t="n">
        <f aca="false">B9*0.2</f>
        <v>12000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60000</v>
      </c>
      <c r="C15" s="14" t="n">
        <f aca="false">SUM(C9:C13)</f>
        <v>12000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72000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60000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45295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0.00</v>
      </c>
      <c r="E32" s="226"/>
      <c r="F32" s="63"/>
      <c r="G32" s="227" t="s">
        <v>244</v>
      </c>
      <c r="H32" s="225" t="str">
        <f aca="false">A41</f>
        <v>0.00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33.0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406</v>
      </c>
      <c r="C38" s="223"/>
      <c r="D38" s="104" t="s">
        <v>393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1000.0</v>
      </c>
      <c r="B41" s="241" t="n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392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str">
        <f aca="false">H32</f>
        <v>0.00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72000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C70</f>
        <v>5040</v>
      </c>
      <c r="C70" s="215" t="n">
        <v>10000.0</v>
      </c>
      <c r="D70" s="291" t="n">
        <f aca="false">B70-A149</f>
        <v>5040</v>
      </c>
      <c r="E70" s="216" t="n">
        <f aca="false">D70/12</f>
        <v>420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720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5.0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165.0</v>
      </c>
      <c r="C80" s="215"/>
      <c r="D80" s="215"/>
      <c r="E80" s="430" t="n">
        <f aca="false">E79+D82</f>
        <v>838.75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0.0</v>
      </c>
      <c r="C81" s="215"/>
      <c r="D81" s="215"/>
      <c r="E81" s="216" t="n">
        <f aca="false">E80/12</f>
        <v>69.8958333333333</v>
      </c>
      <c r="F81" s="63"/>
      <c r="G81" s="295" t="s">
        <v>281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((B80+B81)/12)*(H29+1)</f>
        <v>178.75</v>
      </c>
      <c r="C82" s="215"/>
      <c r="D82" s="291" t="n">
        <f aca="false">IF(A50="YES", 0, B82)</f>
        <v>178.75</v>
      </c>
      <c r="E82" s="216"/>
      <c r="F82" s="63"/>
      <c r="G82" s="285" t="s">
        <v>282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200.0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200.0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6545.41666666667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545.451388888889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12557.4166666667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106.375857200484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12663.7925238672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1055.3160436556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1055.3160436556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264</v>
      </c>
      <c r="C105" s="312"/>
      <c r="D105" s="421" t="n">
        <v>6300.0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406</v>
      </c>
      <c r="B111" s="312" t="n">
        <v>20.0</v>
      </c>
      <c r="C111" s="312"/>
      <c r="D111" s="107" t="n">
        <v>440.0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399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1055.3160436556</v>
      </c>
      <c r="B134" s="321" t="n">
        <f aca="false">IF(A111="YES", B95, 0)</f>
        <v>0</v>
      </c>
      <c r="C134" s="326"/>
      <c r="D134" s="321" t="n">
        <f aca="false">B97</f>
        <v>1055.3160436556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1055.3160436556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1055.3160436556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1055.3160436556</v>
      </c>
      <c r="B143" s="38" t="n">
        <f aca="false">IF(A111="YES", B95, 0)</f>
        <v>0</v>
      </c>
      <c r="C143" s="317"/>
      <c r="D143" s="38" t="n">
        <f aca="false">B97</f>
        <v>1055.3160436556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1375.838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1335.84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720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1219.99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1055.3160436556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1055.3160436556</v>
      </c>
      <c r="B177" s="355" t="n">
        <f aca="false">IF(A111="YES", B95, 0)</f>
        <v>0</v>
      </c>
      <c r="C177" s="358"/>
      <c r="D177" s="355" t="n">
        <f aca="false">B91</f>
        <v>12557.4166666667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1055.3160436556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1055.3160436556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1055.3160436556</v>
      </c>
      <c r="B186" s="103" t="n">
        <f aca="false">IF(A111="YES", B95, 0)</f>
        <v>0</v>
      </c>
      <c r="C186" s="353"/>
      <c r="D186" s="103" t="n">
        <f aca="false">B97</f>
        <v>1055.3160436556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720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1219.99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5040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720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4659.99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5040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720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4659.99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106.375857200484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20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25149.996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36</v>
      </c>
      <c r="P29" s="212"/>
    </row>
    <row r="30" customFormat="false" ht="17.9" hidden="false" customHeight="false" outlineLevel="0" collapsed="false">
      <c r="A30" s="31" t="s">
        <v>181</v>
      </c>
      <c r="B30" s="104" t="s">
        <v>349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17575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282.47277985001</v>
      </c>
      <c r="F33" s="232"/>
      <c r="G33" s="232"/>
      <c r="H33" s="47"/>
      <c r="I33" s="2"/>
      <c r="J33" s="34" t="s">
        <v>356</v>
      </c>
      <c r="K33" s="48" t="n">
        <f aca="false">E21</f>
        <v>20958.33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0.07</v>
      </c>
      <c r="P35" s="212"/>
    </row>
    <row r="36" customFormat="false" ht="17.35" hidden="false" customHeight="false" outlineLevel="0" collapsed="false">
      <c r="A36" s="185" t="n">
        <f aca="false">K47</f>
        <v>282.47277985001</v>
      </c>
      <c r="B36" s="232" t="n">
        <f aca="false">IF(B26="YES", K42, "0.00")</f>
        <v>0</v>
      </c>
      <c r="C36" s="232"/>
      <c r="D36" s="232"/>
      <c r="E36" s="232" t="n">
        <f aca="false">K31</f>
        <v>17575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20958.33</v>
      </c>
      <c r="L39" s="2" t="n">
        <f aca="false">(L47*K46)+K44</f>
        <v>37719.2069181402</v>
      </c>
      <c r="N39" s="1" t="n">
        <f aca="false">K39-L39</f>
        <v>-16760.8769181402</v>
      </c>
      <c r="P39" s="212"/>
    </row>
    <row r="40" customFormat="false" ht="17.35" hidden="false" customHeight="false" outlineLevel="0" collapsed="false">
      <c r="A40" s="107" t="n">
        <f aca="false">E36*A45/100</f>
        <v>17575</v>
      </c>
      <c r="B40" s="107" t="n">
        <f aca="false">IF(B26="YES", K42, "0.00")</f>
        <v>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14645.8333333333</v>
      </c>
      <c r="L40" s="2" t="n">
        <f aca="false">K39-L39</f>
        <v>-16760.8769181402</v>
      </c>
      <c r="N40" s="1" t="n">
        <f aca="false">N38-N39</f>
        <v>19672.5569181402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0.00583333333333333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11810.0353568336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9148.29464316638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32.3864644516332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282.47277985001</v>
      </c>
      <c r="L47" s="2" t="n">
        <f aca="false">L49-K42</f>
        <v>800</v>
      </c>
      <c r="M47" s="1" t="n">
        <f aca="false">K47-L47</f>
        <v>-517.527220149989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282.47277985001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282.47277985001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37405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37405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37405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37405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0.07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6571.79668340877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219.5833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2805.375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374.05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282.47277985001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282.47277985001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282.47277985001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282.47277985001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26349.996</v>
      </c>
      <c r="C81" s="93"/>
      <c r="D81" s="93"/>
      <c r="E81" s="113"/>
      <c r="F81" s="25" t="s">
        <v>105</v>
      </c>
      <c r="G81" s="27" t="n">
        <f aca="false">G158</f>
        <v>26349.996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17575</v>
      </c>
      <c r="C82" s="93"/>
      <c r="D82" s="93"/>
      <c r="E82" s="113"/>
      <c r="F82" s="31" t="s">
        <v>106</v>
      </c>
      <c r="G82" s="33" t="n">
        <f aca="false">IF(A111 = "Yes", A40, 0)</f>
        <v>17575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17575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17575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</v>
      </c>
      <c r="C83" s="93"/>
      <c r="D83" s="93"/>
      <c r="E83" s="113"/>
      <c r="F83" s="31" t="s">
        <v>107</v>
      </c>
      <c r="G83" s="91" t="n">
        <f aca="false">B63</f>
        <v>0.07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</v>
      </c>
      <c r="C84" s="93"/>
      <c r="D84" s="93"/>
      <c r="E84" s="113"/>
      <c r="F84" s="31" t="s">
        <v>108</v>
      </c>
      <c r="G84" s="92" t="n">
        <f aca="false">G83/12</f>
        <v>0.00583333333333333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12283.6059896991</v>
      </c>
      <c r="C86" s="93"/>
      <c r="D86" s="93"/>
      <c r="E86" s="113"/>
      <c r="F86" s="31" t="s">
        <v>110</v>
      </c>
      <c r="G86" s="33" t="n">
        <f aca="false">(G82/((1+G84)^(G85+1)))</f>
        <v>14254.7126756982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11888.9224220572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11888.9224220572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29.4085800876469</v>
      </c>
      <c r="C87" s="93"/>
      <c r="D87" s="93"/>
      <c r="E87" s="113"/>
      <c r="F87" s="31" t="s">
        <v>111</v>
      </c>
      <c r="G87" s="33" t="n">
        <f aca="false">((1-(1/((1+G84)^G85)))/G84)</f>
        <v>31.5753854942677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14066.3900103009</v>
      </c>
      <c r="C88" s="93"/>
      <c r="D88" s="93"/>
      <c r="E88" s="113"/>
      <c r="F88" s="31" t="s">
        <v>112</v>
      </c>
      <c r="G88" s="33" t="n">
        <f aca="false">G81-G86</f>
        <v>12095.2833243018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478.309050228833</v>
      </c>
      <c r="C89" s="93"/>
      <c r="D89" s="93"/>
      <c r="E89" s="113"/>
      <c r="F89" s="31" t="s">
        <v>113</v>
      </c>
      <c r="G89" s="33" t="n">
        <f aca="false">(G88/G87)</f>
        <v>383.060511691856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16740.8167580091</v>
      </c>
      <c r="C90" s="93"/>
      <c r="D90" s="93"/>
      <c r="E90" s="113"/>
      <c r="F90" s="31" t="s">
        <v>114</v>
      </c>
      <c r="G90" s="33" t="n">
        <f aca="false">((G89*(G85))+G77)</f>
        <v>13407.117909215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16740.8167580091</v>
      </c>
      <c r="C92" s="93"/>
      <c r="D92" s="93"/>
      <c r="E92" s="113"/>
      <c r="F92" s="56" t="s">
        <v>116</v>
      </c>
      <c r="G92" s="65" t="n">
        <f aca="false">(G90+G91)</f>
        <v>13407.117909215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n">
        <f aca="false">IF(B26="YES",((E40/B85)*(1+A108)*1.2*(C45/100)),"0")</f>
        <v>0</v>
      </c>
      <c r="C94" s="93"/>
      <c r="D94" s="93"/>
      <c r="E94" s="113"/>
      <c r="F94" s="88" t="s">
        <v>117</v>
      </c>
      <c r="G94" s="94" t="n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(B92/B85)</f>
        <v>478.309050228833</v>
      </c>
      <c r="C95" s="93"/>
      <c r="D95" s="93"/>
      <c r="E95" s="113"/>
      <c r="F95" s="95" t="s">
        <v>118</v>
      </c>
      <c r="G95" s="96" t="n">
        <f aca="false">G92/(G85)</f>
        <v>383.060511691856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478.309050228833</v>
      </c>
      <c r="C96" s="93"/>
      <c r="D96" s="93"/>
      <c r="E96" s="113"/>
      <c r="F96" s="97" t="s">
        <v>119</v>
      </c>
      <c r="G96" s="98" t="n">
        <f aca="false">G94+G95</f>
        <v>383.060511691856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18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0.3</v>
      </c>
      <c r="B108" s="107" t="n">
        <v>0</v>
      </c>
      <c r="C108" s="107"/>
      <c r="D108" s="107" t="n">
        <v>0</v>
      </c>
      <c r="E108" s="108" t="n">
        <f aca="false">B83</f>
        <v>0.12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200</v>
      </c>
      <c r="C111" s="107"/>
      <c r="D111" s="107"/>
      <c r="E111" s="107" t="n">
        <v>200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400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20958.33</v>
      </c>
      <c r="C121" s="121" t="n">
        <v>22708.33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25149.996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25149.996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25149.996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20958.33</v>
      </c>
      <c r="C125" s="133" t="n">
        <f aca="false">C121-C124</f>
        <v>22708.33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20958.33</v>
      </c>
      <c r="H135" s="153" t="n">
        <f aca="false">C125+E125+G125+H128</f>
        <v>22708.33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4191.666</v>
      </c>
      <c r="H137" s="33" t="n">
        <f aca="false">(H135+H136)*20%</f>
        <v>4541.666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25149.996</v>
      </c>
      <c r="H141" s="157" t="n">
        <f aca="false">(H135+H136+H139+H140+H137)-H138</f>
        <v>27249.996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25149.996</v>
      </c>
      <c r="H147" s="164" t="n">
        <f aca="false">H141-((H144*1.2)+(H145*1.2)+(H146*1.2)+(H142*1.2))</f>
        <v>27249.996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1750</v>
      </c>
      <c r="I148" s="1" t="n">
        <f aca="false">(H148-G81)/1.2</f>
        <v>-20499.9966666667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1000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400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26349.996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478.309050228833</v>
      </c>
      <c r="B167" s="177" t="n">
        <f aca="false">B94</f>
        <v>0</v>
      </c>
      <c r="C167" s="174"/>
      <c r="D167" s="174"/>
      <c r="E167" s="177" t="n">
        <f aca="false">B96</f>
        <v>478.309050228833</v>
      </c>
      <c r="F167" s="23"/>
      <c r="G167" s="23" t="n">
        <f aca="false">ROUND(G95, 2)</f>
        <v>383.06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229" t="n">
        <f aca="false">K30</f>
        <v>10000</v>
      </c>
      <c r="C170" s="181"/>
      <c r="D170" s="23"/>
      <c r="E170" s="182" t="n">
        <f aca="false">IF(A111="YES", A40, 0)</f>
        <v>17575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17575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17575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17575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22708.33</v>
      </c>
      <c r="B173" s="103" t="n">
        <f aca="false">H137</f>
        <v>4541.666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27249.996</v>
      </c>
      <c r="B176" s="103" t="n">
        <f aca="false">B111</f>
        <v>200</v>
      </c>
      <c r="C176" s="103"/>
      <c r="D176" s="23"/>
      <c r="E176" s="103" t="n">
        <f aca="false">E111</f>
        <v>200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400</v>
      </c>
      <c r="B179" s="103" t="n">
        <f aca="false">G154</f>
        <v>500</v>
      </c>
      <c r="C179" s="103"/>
      <c r="D179" s="23"/>
      <c r="E179" s="103" t="n">
        <f aca="false">A176-A179-B179</f>
        <v>26349.996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7965.82075800914</v>
      </c>
      <c r="B182" s="103" t="str">
        <f aca="false">B114</f>
        <v>239.99</v>
      </c>
      <c r="C182" s="103"/>
      <c r="D182" s="23"/>
      <c r="E182" s="103" t="n">
        <f aca="false">E179+A182+B182+A185</f>
        <v>34565.8067580091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639.99</v>
      </c>
      <c r="C185" s="103"/>
      <c r="D185" s="23"/>
      <c r="E185" s="103" t="n">
        <f aca="false">IF(A40=0,(E167),(E170+A185))</f>
        <v>17585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17595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17585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17585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B61*0.000002, 0)*100</f>
        <v>7.481</v>
      </c>
      <c r="B188" s="103" t="n">
        <f aca="false">(G158*B67)/1.2</f>
        <v>219.5833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B182/1.2-100</f>
        <v>99.9916666666667</v>
      </c>
      <c r="B191" s="103" t="n">
        <f aca="false">B188+E188+A191</f>
        <v>319.574966666667</v>
      </c>
      <c r="C191" s="93"/>
      <c r="D191" s="93"/>
      <c r="E191" s="103" t="n">
        <f aca="false">H148</f>
        <v>1750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478.309050228833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4632.104</v>
      </c>
      <c r="B201" s="186" t="n">
        <f aca="false">E179+A201+B182+A185</f>
        <v>31232.09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478.309050228833</v>
      </c>
      <c r="B212" s="177" t="n">
        <f aca="false">B167</f>
        <v>0</v>
      </c>
      <c r="C212" s="174"/>
      <c r="D212" s="174"/>
      <c r="E212" s="177" t="n">
        <f aca="false">E167</f>
        <v>478.309050228833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22708.33</v>
      </c>
      <c r="B215" s="103" t="n">
        <f aca="false">B173</f>
        <v>4541.666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27249.996</v>
      </c>
      <c r="B218" s="103" t="n">
        <f aca="false">B176</f>
        <v>200</v>
      </c>
      <c r="C218" s="103"/>
      <c r="D218" s="113"/>
      <c r="E218" s="103" t="n">
        <f aca="false">E176</f>
        <v>200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400</v>
      </c>
      <c r="B221" s="103" t="n">
        <f aca="false">B179</f>
        <v>500</v>
      </c>
      <c r="C221" s="103"/>
      <c r="D221" s="113"/>
      <c r="E221" s="103" t="n">
        <f aca="false">E179</f>
        <v>26349.996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7965.82075800914</v>
      </c>
      <c r="B224" s="103" t="str">
        <f aca="false">B182</f>
        <v>239.99</v>
      </c>
      <c r="C224" s="103"/>
      <c r="D224" s="113"/>
      <c r="E224" s="103" t="n">
        <f aca="false">E182</f>
        <v>34565.8067580091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639.99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478.309050228833</v>
      </c>
      <c r="B230" s="103" t="n">
        <f aca="false">B167</f>
        <v>0</v>
      </c>
      <c r="C230" s="186"/>
      <c r="D230" s="186"/>
      <c r="E230" s="103" t="n">
        <f aca="false">E167</f>
        <v>478.309050228833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17575</v>
      </c>
      <c r="B233" s="103" t="n">
        <f aca="false">E185</f>
        <v>17585</v>
      </c>
      <c r="C233" s="93"/>
      <c r="D233" s="93"/>
      <c r="E233" s="103" t="n">
        <f aca="false">J18*0.000006*100*1.2</f>
        <v>26.9316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0)*100*1.2</f>
        <v>8.9772</v>
      </c>
      <c r="B236" s="103" t="n">
        <f aca="false">E233+A236</f>
        <v>35.9088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1750</v>
      </c>
      <c r="B240" s="103" t="n">
        <f aca="false">B68</f>
        <v>219.5833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2069.57496666667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0.07</v>
      </c>
      <c r="C253" s="197"/>
      <c r="D253" s="198" t="s">
        <v>214</v>
      </c>
      <c r="E253" s="198"/>
      <c r="F253" s="196" t="n">
        <f aca="false">B83</f>
        <v>0.12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3343.71675800914</v>
      </c>
      <c r="C254" s="197"/>
      <c r="D254" s="198" t="s">
        <v>216</v>
      </c>
      <c r="E254" s="198"/>
      <c r="F254" s="200" t="n">
        <f aca="false">F261+F267+F269+B270+B271</f>
        <v>263.49996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3180.20846467581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0.07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</v>
      </c>
      <c r="C260" s="43"/>
      <c r="D260" s="166" t="s">
        <v>215</v>
      </c>
      <c r="E260" s="166"/>
      <c r="F260" s="146" t="n">
        <f aca="false">B254</f>
        <v>3343.71675800914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263.49996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0.3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3180.20846467581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11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25149.996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36</v>
      </c>
      <c r="P29" s="212"/>
    </row>
    <row r="30" customFormat="false" ht="17.9" hidden="false" customHeight="false" outlineLevel="0" collapsed="false">
      <c r="A30" s="31" t="s">
        <v>181</v>
      </c>
      <c r="B30" s="104" t="s">
        <v>349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20000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1080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254.078626612779</v>
      </c>
      <c r="F33" s="232"/>
      <c r="G33" s="232"/>
      <c r="H33" s="47"/>
      <c r="I33" s="2"/>
      <c r="J33" s="34" t="s">
        <v>356</v>
      </c>
      <c r="K33" s="48" t="n">
        <f aca="false">E21</f>
        <v>20958.33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224.078626612779</v>
      </c>
      <c r="B36" s="232" t="n">
        <f aca="false">IF(B26="YES", K42, "0.00")</f>
        <v>30</v>
      </c>
      <c r="C36" s="232"/>
      <c r="D36" s="232"/>
      <c r="E36" s="232" t="n">
        <f aca="false">K31</f>
        <v>20000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20958.33</v>
      </c>
      <c r="L39" s="2" t="n">
        <f aca="false">(L47*K46)+K44</f>
        <v>38770.3735299912</v>
      </c>
      <c r="N39" s="1" t="n">
        <f aca="false">K39-L39</f>
        <v>-17812.0435299912</v>
      </c>
      <c r="P39" s="212"/>
    </row>
    <row r="40" customFormat="false" ht="17.35" hidden="false" customHeight="false" outlineLevel="0" collapsed="false">
      <c r="A40" s="107" t="n">
        <f aca="false">E36*A45/100</f>
        <v>20000</v>
      </c>
      <c r="B40" s="107" t="n">
        <f aca="false">IF(B26="YES", K42, "0.00")</f>
        <v>30</v>
      </c>
      <c r="C40" s="107"/>
      <c r="D40" s="107"/>
      <c r="E40" s="182" t="n">
        <f aca="false">K32</f>
        <v>1080</v>
      </c>
      <c r="F40" s="186"/>
      <c r="G40" s="186"/>
      <c r="H40" s="47"/>
      <c r="J40" s="2" t="s">
        <v>106</v>
      </c>
      <c r="K40" s="2" t="n">
        <f aca="false">(A40)/1.2</f>
        <v>16666.6666666667</v>
      </c>
      <c r="L40" s="2" t="n">
        <f aca="false">K39-L39</f>
        <v>-17812.0435299912</v>
      </c>
      <c r="N40" s="1" t="n">
        <f aca="false">N38-N39</f>
        <v>20723.7235299912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30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13647.2071058677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7311.1228941323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32.627488862498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224.078626612779</v>
      </c>
      <c r="L47" s="2" t="n">
        <f aca="false">L49-K42</f>
        <v>770</v>
      </c>
      <c r="M47" s="1" t="n">
        <f aca="false">K47-L47</f>
        <v>-545.921373387221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254.078626612779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254.078626612779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37405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37405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37405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37405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4415.76039775361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206.249966666667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2805.375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374.05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224.078626612779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224.078626612779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254.078626612779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254.078626612779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24749.996</v>
      </c>
      <c r="C81" s="93"/>
      <c r="D81" s="93"/>
      <c r="E81" s="113"/>
      <c r="F81" s="25" t="s">
        <v>105</v>
      </c>
      <c r="G81" s="27" t="n">
        <f aca="false">G158</f>
        <v>24749.996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20000</v>
      </c>
      <c r="C82" s="93"/>
      <c r="D82" s="93"/>
      <c r="E82" s="113"/>
      <c r="F82" s="31" t="s">
        <v>106</v>
      </c>
      <c r="G82" s="33" t="n">
        <f aca="false">IF(A111 = "Yes", A40, 0)</f>
        <v>20000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20000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20000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0.115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0.00958333333333333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14187.6931927125</v>
      </c>
      <c r="C86" s="93"/>
      <c r="D86" s="93"/>
      <c r="E86" s="113"/>
      <c r="F86" s="31" t="s">
        <v>110</v>
      </c>
      <c r="G86" s="33" t="n">
        <f aca="false">(G82/((1+G84)^(G85+1)))</f>
        <v>16465.3553732294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13529.3569525544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13529.3569525544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29.6156943349079</v>
      </c>
      <c r="C87" s="93"/>
      <c r="D87" s="93"/>
      <c r="E87" s="113"/>
      <c r="F87" s="31" t="s">
        <v>111</v>
      </c>
      <c r="G87" s="33" t="n">
        <f aca="false">((1-(1/((1+G84)^G85)))/G84)</f>
        <v>31.8042210938366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10562.3028072875</v>
      </c>
      <c r="C88" s="93"/>
      <c r="D88" s="93"/>
      <c r="E88" s="113"/>
      <c r="F88" s="31" t="s">
        <v>112</v>
      </c>
      <c r="G88" s="33" t="n">
        <f aca="false">G81-G86</f>
        <v>8284.64062677062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356.64545588039</v>
      </c>
      <c r="C89" s="93"/>
      <c r="D89" s="93"/>
      <c r="E89" s="113"/>
      <c r="F89" s="31" t="s">
        <v>113</v>
      </c>
      <c r="G89" s="33" t="n">
        <f aca="false">(G88/G87)</f>
        <v>260.488713190845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12482.5909558137</v>
      </c>
      <c r="C90" s="93"/>
      <c r="D90" s="93"/>
      <c r="E90" s="113"/>
      <c r="F90" s="31" t="s">
        <v>114</v>
      </c>
      <c r="G90" s="33" t="n">
        <f aca="false">((G89*(G85))+G77)</f>
        <v>9117.10496167959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12482.5909558137</v>
      </c>
      <c r="C92" s="93"/>
      <c r="D92" s="93"/>
      <c r="E92" s="113"/>
      <c r="F92" s="56" t="s">
        <v>116</v>
      </c>
      <c r="G92" s="65" t="n">
        <f aca="false">(G90+G91)</f>
        <v>9117.10496167959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n">
        <f aca="false">IF(B26="YES",((E40/B85)*(1+A108)*(C45/100)),"0")</f>
        <v>37.0285714285714</v>
      </c>
      <c r="C94" s="93"/>
      <c r="D94" s="93"/>
      <c r="E94" s="113"/>
      <c r="F94" s="88" t="s">
        <v>117</v>
      </c>
      <c r="G94" s="94" t="n">
        <f aca="false">IF(B26="YES",((E40/B85)*(1+A108)*(C45/100)),"0")</f>
        <v>37.0285714285714</v>
      </c>
      <c r="H94" s="33"/>
      <c r="J94" s="88" t="s">
        <v>117</v>
      </c>
      <c r="K94" s="89" t="n">
        <f aca="false">((E40/K85)*(1+J108))*1.2</f>
        <v>46.8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37.0285714285714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44.4342857142857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(B92/B85)</f>
        <v>356.64545588039</v>
      </c>
      <c r="C95" s="93"/>
      <c r="D95" s="93"/>
      <c r="E95" s="113"/>
      <c r="F95" s="95" t="s">
        <v>118</v>
      </c>
      <c r="G95" s="96" t="n">
        <f aca="false">G92/(G85)</f>
        <v>260.488713190845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393.674027308961</v>
      </c>
      <c r="C96" s="93"/>
      <c r="D96" s="93"/>
      <c r="E96" s="113"/>
      <c r="F96" s="97" t="s">
        <v>119</v>
      </c>
      <c r="G96" s="98" t="n">
        <f aca="false">G94+G95</f>
        <v>297.517284619417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18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</v>
      </c>
      <c r="C108" s="107"/>
      <c r="D108" s="107" t="n">
        <v>0</v>
      </c>
      <c r="E108" s="108" t="n">
        <f aca="false">B83</f>
        <v>0.115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</v>
      </c>
      <c r="C111" s="107"/>
      <c r="D111" s="107"/>
      <c r="E111" s="107" t="n">
        <v>1000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236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20958.33</v>
      </c>
      <c r="C121" s="121" t="n">
        <v>22708.33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25149.996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25149.996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25149.996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20958.33</v>
      </c>
      <c r="C125" s="133" t="n">
        <f aca="false">C121-C124</f>
        <v>22708.33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20958.33</v>
      </c>
      <c r="H135" s="153" t="n">
        <f aca="false">C125+E125+G125+H128</f>
        <v>22708.33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4191.666</v>
      </c>
      <c r="H137" s="33" t="n">
        <f aca="false">(H135+H136)*20%</f>
        <v>4541.666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25149.996</v>
      </c>
      <c r="H141" s="157" t="n">
        <f aca="false">(H135+H136+H139+H140+H137)-H138</f>
        <v>27249.996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25149.996</v>
      </c>
      <c r="H147" s="164" t="n">
        <f aca="false">H141-((H144*1.2)+(H145*1.2)+(H146*1.2)+(H142*1.2))</f>
        <v>27249.996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1750</v>
      </c>
      <c r="I148" s="1" t="n">
        <f aca="false">(H148-G81)/1.2</f>
        <v>-19166.6633333333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1000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24749.996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356.64545588039</v>
      </c>
      <c r="B167" s="177" t="n">
        <f aca="false">B94</f>
        <v>37.0285714285714</v>
      </c>
      <c r="C167" s="174"/>
      <c r="D167" s="174"/>
      <c r="E167" s="177" t="n">
        <f aca="false">B96</f>
        <v>393.674027308961</v>
      </c>
      <c r="F167" s="23"/>
      <c r="G167" s="23" t="n">
        <f aca="false">ROUND(G95, 2)</f>
        <v>260.49</v>
      </c>
      <c r="H167" s="33"/>
      <c r="J167" s="176" t="e">
        <f aca="false">K95</f>
        <v>#VALUE!</v>
      </c>
      <c r="K167" s="177" t="n">
        <f aca="false">K94</f>
        <v>46.8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37.0285714285714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44.4342857142857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229" t="n">
        <f aca="false">K30</f>
        <v>10000</v>
      </c>
      <c r="C170" s="181"/>
      <c r="D170" s="23"/>
      <c r="E170" s="182" t="n">
        <f aca="false">IF(A111="YES", A40, 0)</f>
        <v>20000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20000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20000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20000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22708.33</v>
      </c>
      <c r="B173" s="103" t="n">
        <f aca="false">H137</f>
        <v>4541.666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27249.996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24749.996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7732.59495581365</v>
      </c>
      <c r="B182" s="103" t="str">
        <f aca="false">B114</f>
        <v>199.99</v>
      </c>
      <c r="C182" s="103"/>
      <c r="D182" s="23"/>
      <c r="E182" s="103" t="n">
        <f aca="false">E179+A182+(B182*1.2)+A185</f>
        <v>32732.5789558137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2239.988</v>
      </c>
      <c r="C185" s="103"/>
      <c r="D185" s="23"/>
      <c r="E185" s="103" t="n">
        <f aca="false">IF(A40=0,(E167),(E170+A185))</f>
        <v>20010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20020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20010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20010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B61*0.000002, 0)*100</f>
        <v>7.481</v>
      </c>
      <c r="B188" s="103" t="n">
        <f aca="false">(G158*B67)/1.2</f>
        <v>206.249966666667</v>
      </c>
      <c r="C188" s="93"/>
      <c r="D188" s="93"/>
      <c r="E188" s="103" t="n">
        <f aca="false">(E40*A108)*0.1*(C45/100)</f>
        <v>21.6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32.4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21.6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21.6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327.839966666667</v>
      </c>
      <c r="C191" s="93"/>
      <c r="D191" s="93"/>
      <c r="E191" s="103" t="n">
        <f aca="false">H148</f>
        <v>1750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393.674027308961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4367.154</v>
      </c>
      <c r="B201" s="186" t="n">
        <f aca="false">E179+A201+(B182*1.2)+A185</f>
        <v>29367.138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356.64545588039</v>
      </c>
      <c r="B212" s="177" t="n">
        <f aca="false">B167</f>
        <v>37.0285714285714</v>
      </c>
      <c r="C212" s="174"/>
      <c r="D212" s="174"/>
      <c r="E212" s="177" t="n">
        <f aca="false">E167</f>
        <v>393.674027308961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22708.33</v>
      </c>
      <c r="B215" s="103" t="n">
        <f aca="false">B173</f>
        <v>4541.666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27249.996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24749.996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7732.59495581365</v>
      </c>
      <c r="B224" s="103" t="str">
        <f aca="false">B182</f>
        <v>199.99</v>
      </c>
      <c r="C224" s="103"/>
      <c r="D224" s="113"/>
      <c r="E224" s="103" t="n">
        <f aca="false">E182</f>
        <v>32732.5789558137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2239.988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356.64545588039</v>
      </c>
      <c r="B230" s="103" t="n">
        <f aca="false">B167</f>
        <v>37.0285714285714</v>
      </c>
      <c r="C230" s="186"/>
      <c r="D230" s="186"/>
      <c r="E230" s="103" t="n">
        <f aca="false">E167</f>
        <v>393.674027308961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20000</v>
      </c>
      <c r="B233" s="103" t="n">
        <f aca="false">E185</f>
        <v>20010</v>
      </c>
      <c r="C233" s="93"/>
      <c r="D233" s="93"/>
      <c r="E233" s="103" t="n">
        <f aca="false">J18*0.000006*100</f>
        <v>22.443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</f>
        <v>7.481</v>
      </c>
      <c r="B236" s="103" t="n">
        <f aca="false">E233+A236</f>
        <v>29.924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1750</v>
      </c>
      <c r="B240" s="103" t="n">
        <f aca="false">B68</f>
        <v>206.249966666667</v>
      </c>
      <c r="C240" s="93"/>
      <c r="D240" s="93"/>
      <c r="E240" s="103" t="n">
        <f aca="false">E188</f>
        <v>21.6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2077.83996666667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0.065</v>
      </c>
      <c r="C253" s="197"/>
      <c r="D253" s="198" t="s">
        <v>214</v>
      </c>
      <c r="E253" s="198"/>
      <c r="F253" s="196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3375.44095581365</v>
      </c>
      <c r="C254" s="197"/>
      <c r="D254" s="198" t="s">
        <v>216</v>
      </c>
      <c r="E254" s="198"/>
      <c r="F254" s="200" t="n">
        <f aca="false">F261+F267+F269+B270+B271</f>
        <v>247.49996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315.99</v>
      </c>
      <c r="C255" s="197"/>
      <c r="D255" s="198" t="s">
        <v>218</v>
      </c>
      <c r="E255" s="198"/>
      <c r="F255" s="200" t="n">
        <f aca="false">(B254-F254)+B255</f>
        <v>3443.93099581365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0.115</v>
      </c>
      <c r="C260" s="43"/>
      <c r="D260" s="166" t="s">
        <v>215</v>
      </c>
      <c r="E260" s="166"/>
      <c r="F260" s="146" t="n">
        <f aca="false">B254</f>
        <v>3375.44095581365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247.49996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216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3443.93099581365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26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25149.996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19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36</v>
      </c>
      <c r="P29" s="212"/>
    </row>
    <row r="30" customFormat="false" ht="17.9" hidden="false" customHeight="false" outlineLevel="0" collapsed="false">
      <c r="A30" s="31" t="s">
        <v>181</v>
      </c>
      <c r="B30" s="104" t="s">
        <v>349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17575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282.47277985001</v>
      </c>
      <c r="F33" s="232"/>
      <c r="G33" s="232"/>
      <c r="H33" s="47"/>
      <c r="I33" s="2"/>
      <c r="J33" s="34" t="s">
        <v>356</v>
      </c>
      <c r="K33" s="48" t="n">
        <f aca="false">E21</f>
        <v>20958.33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0.07</v>
      </c>
      <c r="P35" s="212"/>
    </row>
    <row r="36" customFormat="false" ht="17.35" hidden="false" customHeight="false" outlineLevel="0" collapsed="false">
      <c r="A36" s="185" t="n">
        <f aca="false">K47</f>
        <v>282.47277985001</v>
      </c>
      <c r="B36" s="232" t="str">
        <f aca="false">IF(B26="YES", K42, "0.00")</f>
        <v>0.00</v>
      </c>
      <c r="C36" s="232"/>
      <c r="D36" s="232"/>
      <c r="E36" s="232" t="n">
        <f aca="false">K31</f>
        <v>17575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20958.33</v>
      </c>
      <c r="L39" s="2" t="n">
        <f aca="false">(L47*K46)+K44</f>
        <v>37719.2069181402</v>
      </c>
      <c r="N39" s="1" t="n">
        <f aca="false">K39-L39</f>
        <v>-16760.8769181402</v>
      </c>
      <c r="P39" s="212"/>
    </row>
    <row r="40" customFormat="false" ht="17.35" hidden="false" customHeight="false" outlineLevel="0" collapsed="false">
      <c r="A40" s="107" t="n">
        <f aca="false">E36*A45/100</f>
        <v>17575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14645.8333333333</v>
      </c>
      <c r="L40" s="2" t="n">
        <f aca="false">K39-L39</f>
        <v>-16760.8769181402</v>
      </c>
      <c r="N40" s="1" t="n">
        <f aca="false">N38-N39</f>
        <v>19672.5569181402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0.00583333333333333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11810.0353568336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9148.29464316638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32.3864644516332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282.47277985001</v>
      </c>
      <c r="L47" s="2" t="n">
        <f aca="false">L49-K42</f>
        <v>800</v>
      </c>
      <c r="M47" s="1" t="n">
        <f aca="false">K47-L47</f>
        <v>-517.527220149989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282.47277985001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282.47277985001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37405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37405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37405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37405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0.07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4667.59050163793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206.249966666667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2805.375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374.05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282.47277985001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282.47277985001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282.47277985001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282.47277985001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24749.996</v>
      </c>
      <c r="C81" s="93"/>
      <c r="D81" s="93"/>
      <c r="E81" s="113"/>
      <c r="F81" s="25" t="s">
        <v>105</v>
      </c>
      <c r="G81" s="27" t="n">
        <f aca="false">G158</f>
        <v>24749.996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17575</v>
      </c>
      <c r="C82" s="93"/>
      <c r="D82" s="93"/>
      <c r="E82" s="113"/>
      <c r="F82" s="31" t="s">
        <v>106</v>
      </c>
      <c r="G82" s="33" t="n">
        <f aca="false">IF(A111 = "Yes", A40, 0)</f>
        <v>17575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17575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17575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</v>
      </c>
      <c r="C83" s="93"/>
      <c r="D83" s="93"/>
      <c r="E83" s="113"/>
      <c r="F83" s="31" t="s">
        <v>107</v>
      </c>
      <c r="G83" s="91" t="n">
        <f aca="false">B63</f>
        <v>0.07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</v>
      </c>
      <c r="C84" s="93"/>
      <c r="D84" s="93"/>
      <c r="E84" s="113"/>
      <c r="F84" s="31" t="s">
        <v>108</v>
      </c>
      <c r="G84" s="92" t="n">
        <f aca="false">G83/12</f>
        <v>0.00583333333333333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12283.6059896991</v>
      </c>
      <c r="C86" s="93"/>
      <c r="D86" s="93"/>
      <c r="E86" s="113"/>
      <c r="F86" s="31" t="s">
        <v>110</v>
      </c>
      <c r="G86" s="33" t="n">
        <f aca="false">(G82/((1+G84)^(G85+1)))</f>
        <v>14254.7126756982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11888.9224220572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11888.9224220572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29.4085800876469</v>
      </c>
      <c r="C87" s="93"/>
      <c r="D87" s="93"/>
      <c r="E87" s="113"/>
      <c r="F87" s="31" t="s">
        <v>111</v>
      </c>
      <c r="G87" s="33" t="n">
        <f aca="false">((1-(1/((1+G84)^G85)))/G84)</f>
        <v>31.5753854942677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12466.3900103009</v>
      </c>
      <c r="C88" s="93"/>
      <c r="D88" s="93"/>
      <c r="E88" s="113"/>
      <c r="F88" s="31" t="s">
        <v>112</v>
      </c>
      <c r="G88" s="33" t="n">
        <f aca="false">G81-G86</f>
        <v>10495.2833243018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423.903159321094</v>
      </c>
      <c r="C89" s="93"/>
      <c r="D89" s="93"/>
      <c r="E89" s="113"/>
      <c r="F89" s="31" t="s">
        <v>113</v>
      </c>
      <c r="G89" s="33" t="n">
        <f aca="false">(G88/G87)</f>
        <v>332.388129551329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14836.6105762383</v>
      </c>
      <c r="C90" s="93"/>
      <c r="D90" s="93"/>
      <c r="E90" s="113"/>
      <c r="F90" s="31" t="s">
        <v>114</v>
      </c>
      <c r="G90" s="33" t="n">
        <f aca="false">((G89*(G85))+G77)</f>
        <v>11633.5845342965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14836.6105762383</v>
      </c>
      <c r="C92" s="93"/>
      <c r="D92" s="93"/>
      <c r="E92" s="113"/>
      <c r="F92" s="56" t="s">
        <v>116</v>
      </c>
      <c r="G92" s="65" t="n">
        <f aca="false">(G90+G91)</f>
        <v>11633.5845342965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str">
        <f aca="false">IF(B26="YES",((E40/B85)*(1+A108)*1.2*(C45/100)),"0")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423.903159321094</v>
      </c>
      <c r="C95" s="93"/>
      <c r="D95" s="93"/>
      <c r="E95" s="113"/>
      <c r="F95" s="95" t="s">
        <v>118</v>
      </c>
      <c r="G95" s="96" t="n">
        <f aca="false">G92/(G85)</f>
        <v>332.388129551329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423.903159321094</v>
      </c>
      <c r="C96" s="93"/>
      <c r="D96" s="93"/>
      <c r="E96" s="113"/>
      <c r="F96" s="97" t="s">
        <v>119</v>
      </c>
      <c r="G96" s="98" t="n">
        <f aca="false">G94+G95</f>
        <v>332.388129551329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19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</v>
      </c>
      <c r="C108" s="107"/>
      <c r="D108" s="107" t="n">
        <v>0</v>
      </c>
      <c r="E108" s="108" t="n">
        <f aca="false">B83</f>
        <v>0.12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</v>
      </c>
      <c r="C111" s="107"/>
      <c r="D111" s="107"/>
      <c r="E111" s="107" t="n">
        <v>1000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20958.33</v>
      </c>
      <c r="C121" s="121" t="n">
        <v>22708.33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25149.996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25149.996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25149.996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20958.33</v>
      </c>
      <c r="C125" s="133" t="n">
        <f aca="false">C121-C124</f>
        <v>22708.33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20958.33</v>
      </c>
      <c r="H135" s="153" t="n">
        <f aca="false">C125+E125+G125+H128</f>
        <v>22708.33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4191.666</v>
      </c>
      <c r="H137" s="33" t="n">
        <f aca="false">(H135+H136)*20%</f>
        <v>4541.666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25149.996</v>
      </c>
      <c r="H141" s="157" t="n">
        <f aca="false">(H135+H136+H139+H140+H137)-H138</f>
        <v>27249.996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25149.996</v>
      </c>
      <c r="H147" s="164" t="n">
        <f aca="false">H141-((H144*1.2)+(H145*1.2)+(H146*1.2)+(H142*1.2))</f>
        <v>27249.996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1750</v>
      </c>
      <c r="I148" s="1" t="n">
        <f aca="false">(H148-G81)/1.2</f>
        <v>-19166.6633333333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1000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24749.996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423.903159321094</v>
      </c>
      <c r="B167" s="177" t="str">
        <f aca="false">B94</f>
        <v>0</v>
      </c>
      <c r="C167" s="174"/>
      <c r="D167" s="174"/>
      <c r="E167" s="177" t="n">
        <f aca="false">B96</f>
        <v>423.903159321094</v>
      </c>
      <c r="F167" s="23"/>
      <c r="G167" s="23" t="n">
        <f aca="false">ROUND(G95, 2)</f>
        <v>332.39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229" t="n">
        <f aca="false">K30</f>
        <v>10000</v>
      </c>
      <c r="C170" s="181"/>
      <c r="D170" s="23"/>
      <c r="E170" s="182" t="n">
        <f aca="false">IF(A111="YES", A40, 0)</f>
        <v>17575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17575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17575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17575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22708.33</v>
      </c>
      <c r="B173" s="103" t="n">
        <f aca="false">H137</f>
        <v>4541.666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27249.996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24749.996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7661.6145762383</v>
      </c>
      <c r="B182" s="103" t="str">
        <f aca="false">B114</f>
        <v>239.99</v>
      </c>
      <c r="C182" s="103"/>
      <c r="D182" s="23"/>
      <c r="E182" s="103" t="n">
        <f aca="false">E179+A182+B182+A185</f>
        <v>32661.6005762383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A179+(B182)</f>
        <v>2239.99</v>
      </c>
      <c r="C185" s="103"/>
      <c r="D185" s="23"/>
      <c r="E185" s="103" t="n">
        <f aca="false">IF(A40=0,(E167+A185),(E170+A185))</f>
        <v>17585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17595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17585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17585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B61*0.000002, 0)*100*1.2</f>
        <v>0</v>
      </c>
      <c r="B188" s="103" t="n">
        <f aca="false">(G158*B67)/1.2</f>
        <v>206.249966666667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B182/1.2-100</f>
        <v>99.9916666666667</v>
      </c>
      <c r="B191" s="103" t="n">
        <f aca="false">B188+E188+A191</f>
        <v>306.241633333333</v>
      </c>
      <c r="C191" s="93"/>
      <c r="D191" s="93"/>
      <c r="E191" s="103" t="n">
        <f aca="false">H148</f>
        <v>1750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423.903159321094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4458.654</v>
      </c>
      <c r="B201" s="186" t="n">
        <f aca="false">E179+A201+B182+A185</f>
        <v>29458.64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423.903159321094</v>
      </c>
      <c r="B212" s="177" t="str">
        <f aca="false">B167</f>
        <v>0</v>
      </c>
      <c r="C212" s="174"/>
      <c r="D212" s="174"/>
      <c r="E212" s="177" t="n">
        <f aca="false">E167</f>
        <v>423.903159321094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22708.33</v>
      </c>
      <c r="B215" s="103" t="n">
        <f aca="false">B173</f>
        <v>4541.666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27249.996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24749.996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7661.6145762383</v>
      </c>
      <c r="B224" s="103" t="str">
        <f aca="false">B182</f>
        <v>239.99</v>
      </c>
      <c r="C224" s="103"/>
      <c r="D224" s="113"/>
      <c r="E224" s="103" t="n">
        <f aca="false">E182</f>
        <v>32661.6005762383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2239.99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423.903159321094</v>
      </c>
      <c r="B230" s="103" t="str">
        <f aca="false">B167</f>
        <v>0</v>
      </c>
      <c r="C230" s="186"/>
      <c r="D230" s="186"/>
      <c r="E230" s="103" t="n">
        <f aca="false">E167</f>
        <v>423.903159321094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17575</v>
      </c>
      <c r="B233" s="103" t="n">
        <f aca="false">E185</f>
        <v>17585</v>
      </c>
      <c r="C233" s="93"/>
      <c r="D233" s="93"/>
      <c r="E233" s="103" t="n">
        <f aca="false">A188</f>
        <v>0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1750</v>
      </c>
      <c r="B240" s="103" t="n">
        <f aca="false">B68</f>
        <v>206.249966666667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2056.24163333333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0.07</v>
      </c>
      <c r="C253" s="197"/>
      <c r="D253" s="198" t="s">
        <v>214</v>
      </c>
      <c r="E253" s="198"/>
      <c r="F253" s="196" t="n">
        <f aca="false">B83</f>
        <v>0.12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3212.9605762383</v>
      </c>
      <c r="C254" s="197"/>
      <c r="D254" s="198" t="s">
        <v>216</v>
      </c>
      <c r="E254" s="198"/>
      <c r="F254" s="200" t="n">
        <f aca="false">F261+F267+F269+B270+B271</f>
        <v>247.49996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3065.45228290497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0.07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</v>
      </c>
      <c r="C260" s="43"/>
      <c r="D260" s="166" t="s">
        <v>215</v>
      </c>
      <c r="E260" s="166"/>
      <c r="F260" s="146" t="n">
        <f aca="false">B254</f>
        <v>3212.9605762383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247.49996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3065.45228290497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18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23150</v>
      </c>
      <c r="C2" s="4" t="s">
        <v>2</v>
      </c>
      <c r="D2" s="5" t="n">
        <f aca="false">C9</f>
        <v>4630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 t="s">
        <v>4</v>
      </c>
      <c r="C3" s="267" t="n">
        <v>0</v>
      </c>
      <c r="D3" s="267" t="s">
        <v>4</v>
      </c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27780</v>
      </c>
      <c r="C4" s="269" t="n">
        <v>0</v>
      </c>
      <c r="D4" s="269" t="n">
        <v>0</v>
      </c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 t="n">
        <v>0</v>
      </c>
      <c r="C5" s="63" t="n">
        <v>0</v>
      </c>
      <c r="D5" s="63" t="n">
        <v>0</v>
      </c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18375.0</v>
      </c>
      <c r="C9" s="14" t="n">
        <f aca="false">B9*0.2</f>
        <v>4630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23150</v>
      </c>
      <c r="C15" s="14" t="n">
        <f aca="false">SUM(C9:C13)</f>
        <v>4630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27780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23150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399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36.0</v>
      </c>
      <c r="P29" s="212"/>
    </row>
    <row r="30" customFormat="false" ht="17.9" hidden="false" customHeight="false" outlineLevel="0" collapsed="false">
      <c r="A30" s="31" t="s">
        <v>181</v>
      </c>
      <c r="B30" s="104" t="s">
        <v>349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10000.0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40000.0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0.0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350.14518673694</v>
      </c>
      <c r="F33" s="232"/>
      <c r="G33" s="232"/>
      <c r="H33" s="47"/>
      <c r="I33" s="2"/>
      <c r="J33" s="34" t="s">
        <v>356</v>
      </c>
      <c r="K33" s="48" t="n">
        <f aca="false">E21</f>
        <v>23150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350.14518673694</v>
      </c>
      <c r="B36" s="232" t="str">
        <f aca="false">IF(B26="YES", K42, "0.00")</f>
        <v>0.00</v>
      </c>
      <c r="C36" s="232"/>
      <c r="D36" s="232"/>
      <c r="E36" s="232" t="n">
        <f aca="false">K31</f>
        <v>17575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23150</v>
      </c>
      <c r="L39" s="2" t="n">
        <f aca="false">(L47*K46)+K44</f>
        <v>37719.2069181402</v>
      </c>
      <c r="N39" s="1" t="n">
        <f aca="false">K39-L39</f>
        <v>-14569.2069181402</v>
      </c>
      <c r="P39" s="212"/>
    </row>
    <row r="40" customFormat="false" ht="17.35" hidden="false" customHeight="false" outlineLevel="0" collapsed="false">
      <c r="A40" s="107" t="n">
        <f aca="false">E36*A45/100</f>
        <v>15100.0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14645.8333333333</v>
      </c>
      <c r="L40" s="2" t="n">
        <f aca="false">K39-L39</f>
        <v>-14569.2069181402</v>
      </c>
      <c r="N40" s="1" t="n">
        <f aca="false">N38-N39</f>
        <v>17480.8869181402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0.00583333333333333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11810.0353568336</v>
      </c>
      <c r="L44" s="2"/>
      <c r="P44" s="212"/>
    </row>
    <row r="45" customFormat="false" ht="17.35" hidden="false" customHeight="false" outlineLevel="0" collapsed="false">
      <c r="A45" s="450" t="n">
        <v>50.0</v>
      </c>
      <c r="B45" s="93"/>
      <c r="C45" s="62" t="n">
        <v>100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11339.9646431664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32.3864644516332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350.14518673694</v>
      </c>
      <c r="L47" s="2" t="n">
        <f aca="false">L49-K42</f>
        <v>800</v>
      </c>
      <c r="M47" s="1" t="n">
        <f aca="false">K47-L47</f>
        <v>-449.85481326306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350.14518673694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350.14518673694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37405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37405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37405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37405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0.024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2231.38385370847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206.249966666667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2805.375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374.05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350.14518673694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350.14518673694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350.14518673694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350.14518673694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24749.996</v>
      </c>
      <c r="C81" s="93"/>
      <c r="D81" s="93"/>
      <c r="E81" s="113"/>
      <c r="F81" s="25" t="s">
        <v>105</v>
      </c>
      <c r="G81" s="27" t="n">
        <f aca="false">G158</f>
        <v>24749.996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IF(A111="YES",A40,0)</f>
        <v>17575</v>
      </c>
      <c r="C82" s="93"/>
      <c r="D82" s="93"/>
      <c r="E82" s="113"/>
      <c r="F82" s="31" t="s">
        <v>106</v>
      </c>
      <c r="G82" s="33" t="n">
        <f aca="false">IF(A111="YES",A40,0)</f>
        <v>17575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17575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17575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</v>
      </c>
      <c r="C83" s="93"/>
      <c r="D83" s="93"/>
      <c r="E83" s="113"/>
      <c r="F83" s="31" t="s">
        <v>107</v>
      </c>
      <c r="G83" s="91" t="n">
        <f aca="false">B63</f>
        <v>0.07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</v>
      </c>
      <c r="C84" s="93"/>
      <c r="D84" s="93"/>
      <c r="E84" s="113"/>
      <c r="F84" s="31" t="s">
        <v>108</v>
      </c>
      <c r="G84" s="92" t="n">
        <f aca="false">G83/12</f>
        <v>0.00583333333333333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12283.6059896991</v>
      </c>
      <c r="C86" s="93"/>
      <c r="D86" s="93"/>
      <c r="E86" s="113"/>
      <c r="F86" s="31" t="s">
        <v>110</v>
      </c>
      <c r="G86" s="33" t="n">
        <f aca="false">(G82/((1+G84)^(G85+1)))</f>
        <v>14254.7126756982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11888.9224220572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11888.9224220572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29.4085800876469</v>
      </c>
      <c r="C87" s="93"/>
      <c r="D87" s="93"/>
      <c r="E87" s="113"/>
      <c r="F87" s="31" t="s">
        <v>111</v>
      </c>
      <c r="G87" s="33" t="n">
        <f aca="false">((1-(1/((1+G84)^G85)))/G84)</f>
        <v>31.5753854942677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12466.3900103009</v>
      </c>
      <c r="C88" s="93"/>
      <c r="D88" s="93"/>
      <c r="E88" s="113"/>
      <c r="F88" s="31" t="s">
        <v>112</v>
      </c>
      <c r="G88" s="33" t="n">
        <f aca="false">G81-G86</f>
        <v>10495.2833243018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423.903159321094</v>
      </c>
      <c r="C89" s="93"/>
      <c r="D89" s="93"/>
      <c r="E89" s="113"/>
      <c r="F89" s="31" t="s">
        <v>113</v>
      </c>
      <c r="G89" s="33" t="n">
        <f aca="false">(G88/G87)</f>
        <v>332.388129551329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14836.6105762383</v>
      </c>
      <c r="C90" s="93"/>
      <c r="D90" s="93"/>
      <c r="E90" s="113"/>
      <c r="F90" s="31" t="s">
        <v>114</v>
      </c>
      <c r="G90" s="33" t="n">
        <f aca="false">((G89*(G85))+G77)</f>
        <v>11633.5845342965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14836.6105762383</v>
      </c>
      <c r="C92" s="93"/>
      <c r="D92" s="93"/>
      <c r="E92" s="113"/>
      <c r="F92" s="56" t="s">
        <v>116</v>
      </c>
      <c r="G92" s="65" t="n">
        <f aca="false">(G90+G91)</f>
        <v>11633.5845342965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str">
        <f aca="false">IF(B26="YES",((E40/B85)*(1+A108)*(C45/100)),"0")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423.903159321094</v>
      </c>
      <c r="C95" s="93"/>
      <c r="D95" s="93"/>
      <c r="E95" s="113"/>
      <c r="F95" s="95" t="s">
        <v>118</v>
      </c>
      <c r="G95" s="96" t="n">
        <f aca="false">G92/(G85)</f>
        <v>332.388129551329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423.903159321094</v>
      </c>
      <c r="C96" s="93"/>
      <c r="D96" s="93"/>
      <c r="E96" s="113"/>
      <c r="F96" s="97" t="s">
        <v>119</v>
      </c>
      <c r="G96" s="98" t="n">
        <f aca="false">G94+G95</f>
        <v>332.388129551329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399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0.0</v>
      </c>
      <c r="C108" s="107"/>
      <c r="D108" s="107" t="n">
        <v>0.0</v>
      </c>
      <c r="E108" s="108" t="n">
        <f aca="false">B83</f>
        <v>0.12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0.0</v>
      </c>
      <c r="C111" s="107"/>
      <c r="D111" s="107"/>
      <c r="E111" s="107" t="n">
        <v>0.0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236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23150</v>
      </c>
      <c r="C121" s="121" t="n">
        <v>20208.33</v>
      </c>
      <c r="D121" s="120" t="n"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str">
        <f aca="false">B3</f>
        <v> </v>
      </c>
      <c r="L121" s="121" t="n">
        <v>28629.17</v>
      </c>
      <c r="M121" s="120" t="str">
        <f aca="false">D3</f>
        <v> </v>
      </c>
      <c r="N121" s="121" t="str">
        <f aca="false">M121</f>
        <v> 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str">
        <f aca="false">B3</f>
        <v> </v>
      </c>
      <c r="U121" s="121" t="str">
        <f aca="false">T121</f>
        <v> </v>
      </c>
      <c r="V121" s="120" t="str">
        <f aca="false">D3</f>
        <v> </v>
      </c>
      <c r="W121" s="121" t="str">
        <f aca="false">V121</f>
        <v> 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str">
        <f aca="false">B3</f>
        <v> </v>
      </c>
      <c r="AD121" s="121" t="str">
        <f aca="false">AC121</f>
        <v> </v>
      </c>
      <c r="AE121" s="120" t="str">
        <f aca="false">D3</f>
        <v> </v>
      </c>
      <c r="AF121" s="121" t="str">
        <f aca="false">AE121</f>
        <v> 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27780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27780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27780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e">
        <f aca="false">(K121*K122)+K123</f>
        <v>#VALUE!</v>
      </c>
      <c r="L124" s="131" t="n">
        <f aca="false">(L121*L122)+L123</f>
        <v>0</v>
      </c>
      <c r="M124" s="130" t="e">
        <f aca="false">(M121*M122)+M123</f>
        <v>#VALUE!</v>
      </c>
      <c r="N124" s="131" t="e">
        <f aca="false">(N121*N122)+N123</f>
        <v>#VALUE!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e">
        <f aca="false">(T121*T122)+T123</f>
        <v>#VALUE!</v>
      </c>
      <c r="U124" s="131" t="e">
        <f aca="false">(U121*U122)+U123</f>
        <v>#VALUE!</v>
      </c>
      <c r="V124" s="130" t="e">
        <f aca="false">(V121*V122)+V123</f>
        <v>#VALUE!</v>
      </c>
      <c r="W124" s="131" t="e">
        <f aca="false">(W121*W122)+W123</f>
        <v>#VALUE!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e">
        <f aca="false">(AC121*AC122)+AC123</f>
        <v>#VALUE!</v>
      </c>
      <c r="AD124" s="131" t="e">
        <f aca="false">(AD121*AD122)+AD123</f>
        <v>#VALUE!</v>
      </c>
      <c r="AE124" s="130" t="e">
        <f aca="false">(AE121*AE122)+AE123</f>
        <v>#VALUE!</v>
      </c>
      <c r="AF124" s="131" t="e">
        <f aca="false">(AF121*AF122)+AF123</f>
        <v>#VALUE!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23150</v>
      </c>
      <c r="C125" s="133" t="n">
        <f aca="false">C121-C124</f>
        <v>22708.33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e">
        <f aca="false">K121-K124</f>
        <v>#VALUE!</v>
      </c>
      <c r="L125" s="133" t="n">
        <f aca="false">L121-L124</f>
        <v>28629.17</v>
      </c>
      <c r="M125" s="132" t="e">
        <f aca="false">M121-M124</f>
        <v>#VALUE!</v>
      </c>
      <c r="N125" s="133" t="e">
        <f aca="false">N121-N124</f>
        <v>#VALUE!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e">
        <f aca="false">T121-T124</f>
        <v>#VALUE!</v>
      </c>
      <c r="U125" s="133" t="e">
        <f aca="false">U121-U124</f>
        <v>#VALUE!</v>
      </c>
      <c r="V125" s="132" t="e">
        <f aca="false">V121-V124</f>
        <v>#VALUE!</v>
      </c>
      <c r="W125" s="133" t="e">
        <f aca="false">W121-W124</f>
        <v>#VALUE!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e">
        <f aca="false">AC121-AC124</f>
        <v>#VALUE!</v>
      </c>
      <c r="AD125" s="133" t="e">
        <f aca="false">AD121-AD124</f>
        <v>#VALUE!</v>
      </c>
      <c r="AE125" s="132" t="e">
        <f aca="false">AE121-AE124</f>
        <v>#VALUE!</v>
      </c>
      <c r="AF125" s="133" t="e">
        <f aca="false">AF121-AF124</f>
        <v>#VALUE!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23150</v>
      </c>
      <c r="H135" s="153" t="n">
        <f aca="false">C125+E125+G125+H128</f>
        <v>22708.33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4630</v>
      </c>
      <c r="H137" s="33" t="n">
        <f aca="false">(H135+H136)*20%</f>
        <v>4541.666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27780</v>
      </c>
      <c r="H141" s="157" t="n">
        <f aca="false">(H135+H136+H139+H140+H137)-H138</f>
        <v>27249.996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27780</v>
      </c>
      <c r="H147" s="164" t="n">
        <f aca="false">H141-((H144*1.2)+(H145*1.2)+(H146*1.2)+(H142*1.2))</f>
        <v>27249.996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-441.669999999997</v>
      </c>
      <c r="I148" s="1" t="n">
        <f aca="false">(H148-G81)/1.2</f>
        <v>-20993.055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0.0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0.0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24749.996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423.903159321094</v>
      </c>
      <c r="B167" s="177" t="str">
        <f aca="false">B94</f>
        <v>0</v>
      </c>
      <c r="C167" s="174"/>
      <c r="D167" s="174"/>
      <c r="E167" s="177" t="n">
        <f aca="false">B96</f>
        <v>423.903159321094</v>
      </c>
      <c r="F167" s="23"/>
      <c r="G167" s="23" t="n">
        <f aca="false">ROUND(G95, 2)</f>
        <v>332.39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229" t="n">
        <f aca="false">K30</f>
        <v>10000</v>
      </c>
      <c r="C170" s="181"/>
      <c r="D170" s="23"/>
      <c r="E170" s="182" t="n">
        <f aca="false">IF(A111="YES", A40, 0)</f>
        <v>17575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17575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17575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17575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22708.33</v>
      </c>
      <c r="B173" s="103" t="n">
        <f aca="false">H137</f>
        <v>4541.666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27249.996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24749.996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7661.6145762383</v>
      </c>
      <c r="B182" s="103" t="str">
        <f aca="false">B114</f>
        <v>199.99</v>
      </c>
      <c r="C182" s="103"/>
      <c r="D182" s="23"/>
      <c r="E182" s="103" t="n">
        <f aca="false">E179+A182+(B182*1.2)+A185</f>
        <v>32661.5985762383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2239.988</v>
      </c>
      <c r="C185" s="103"/>
      <c r="D185" s="23"/>
      <c r="E185" s="103" t="n">
        <f aca="false">IF(A40=0,(E167+A185),(E170+A185))</f>
        <v>17585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17595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17585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17585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B61*0.000002, 0)*100</f>
        <v>0</v>
      </c>
      <c r="B188" s="103" t="n">
        <f aca="false">(G158*B67)/1.2</f>
        <v>206.249966666667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306.239966666667</v>
      </c>
      <c r="C191" s="93"/>
      <c r="D191" s="93"/>
      <c r="E191" s="103" t="n">
        <f aca="false">H148</f>
        <v>-441.669999999997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423.903159321094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4458.654</v>
      </c>
      <c r="B201" s="186" t="n">
        <f aca="false">E179+A201+(B182*1.2)+A185</f>
        <v>29458.638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423.903159321094</v>
      </c>
      <c r="B212" s="177" t="str">
        <f aca="false">B167</f>
        <v>0</v>
      </c>
      <c r="C212" s="174"/>
      <c r="D212" s="174"/>
      <c r="E212" s="177" t="n">
        <f aca="false">E167</f>
        <v>423.903159321094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22708.33</v>
      </c>
      <c r="B215" s="103" t="n">
        <f aca="false">B173</f>
        <v>4541.666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27249.996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24749.996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7661.6145762383</v>
      </c>
      <c r="B224" s="103" t="str">
        <f aca="false">B182</f>
        <v>199.99</v>
      </c>
      <c r="C224" s="103"/>
      <c r="D224" s="113"/>
      <c r="E224" s="103" t="n">
        <f aca="false">E182</f>
        <v>32661.5985762383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2239.988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423.903159321094</v>
      </c>
      <c r="B230" s="103" t="str">
        <f aca="false">B167</f>
        <v>0</v>
      </c>
      <c r="C230" s="186"/>
      <c r="D230" s="186"/>
      <c r="E230" s="103" t="n">
        <f aca="false">E167</f>
        <v>423.903159321094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17575</v>
      </c>
      <c r="B233" s="103" t="n">
        <f aca="false">E185</f>
        <v>17585</v>
      </c>
      <c r="C233" s="93"/>
      <c r="D233" s="93"/>
      <c r="E233" s="103" t="n">
        <f aca="false">A188</f>
        <v>0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-441.669999999997</v>
      </c>
      <c r="B240" s="103" t="n">
        <f aca="false">B68</f>
        <v>206.249966666667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-135.430033333331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0.07</v>
      </c>
      <c r="C253" s="197"/>
      <c r="D253" s="198" t="s">
        <v>214</v>
      </c>
      <c r="E253" s="198"/>
      <c r="F253" s="196" t="n">
        <f aca="false">B83</f>
        <v>0.12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3212.9605762383</v>
      </c>
      <c r="C254" s="197"/>
      <c r="D254" s="198" t="s">
        <v>216</v>
      </c>
      <c r="E254" s="198"/>
      <c r="F254" s="200" t="n">
        <f aca="false">F261+F267+F269+B270+B271</f>
        <v>247.49996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3065.4506162383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0.07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</v>
      </c>
      <c r="C260" s="43"/>
      <c r="D260" s="166" t="s">
        <v>215</v>
      </c>
      <c r="E260" s="166"/>
      <c r="F260" s="146" t="n">
        <f aca="false">B254</f>
        <v>3212.9605762383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247.49996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3065.4506162383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124" colorId="64" zoomScale="85" zoomScaleNormal="85" zoomScalePageLayoutView="100" workbookViewId="0">
      <selection pane="topLeft" activeCell="D149" activeCellId="0" sqref="D14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25149.996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63" t="n">
        <v>37405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45295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0</v>
      </c>
      <c r="E32" s="226"/>
      <c r="F32" s="63"/>
      <c r="G32" s="227" t="s">
        <v>244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139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</v>
      </c>
      <c r="B41" s="241" t="n">
        <f aca="false">IF(B38="YES", D38+A41, D38)</f>
        <v>500</v>
      </c>
      <c r="C41" s="241"/>
      <c r="D41" s="104" t="n">
        <v>12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255</v>
      </c>
      <c r="B43" s="240" t="s">
        <v>256</v>
      </c>
      <c r="C43" s="230"/>
      <c r="D43" s="240" t="s">
        <v>260</v>
      </c>
      <c r="E43" s="243"/>
      <c r="F43" s="63"/>
      <c r="G43" s="63" t="s">
        <v>257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</v>
      </c>
      <c r="B44" s="104" t="n">
        <v>0</v>
      </c>
      <c r="C44" s="104"/>
      <c r="D44" s="279" t="n">
        <f aca="false">A44+B44</f>
        <v>1</v>
      </c>
      <c r="E44" s="279"/>
      <c r="F44" s="63"/>
      <c r="G44" s="63" t="s">
        <v>258</v>
      </c>
      <c r="H44" s="238" t="n">
        <f aca="false">((A41*(B35-1))+D32)/B35</f>
        <v>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275</v>
      </c>
      <c r="B46" s="230"/>
      <c r="C46" s="230"/>
      <c r="D46" s="230"/>
      <c r="E46" s="243"/>
      <c r="F46" s="63"/>
      <c r="G46" s="63" t="s">
        <v>263</v>
      </c>
      <c r="H46" s="238" t="n">
        <f aca="false">H43</f>
        <v>501</v>
      </c>
      <c r="I46" s="238" t="s">
        <v>4</v>
      </c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501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9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3</v>
      </c>
      <c r="C58" s="215" t="s">
        <v>276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277</v>
      </c>
      <c r="B60" s="215" t="n">
        <f aca="false">E19</f>
        <v>25149.996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37405</v>
      </c>
      <c r="C61" s="215"/>
      <c r="D61" s="215"/>
      <c r="E61" s="216"/>
      <c r="F61" s="63"/>
      <c r="G61" s="214" t="s">
        <v>14</v>
      </c>
      <c r="H61" s="291" t="n">
        <f aca="false">G18</f>
        <v>37405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1760.49972</v>
      </c>
      <c r="C64" s="215" t="n">
        <v>10000</v>
      </c>
      <c r="D64" s="291" t="n">
        <f aca="false">B64</f>
        <v>1760.49972</v>
      </c>
      <c r="E64" s="216"/>
      <c r="F64" s="63"/>
      <c r="G64" s="285" t="s">
        <v>90</v>
      </c>
      <c r="H64" s="133" t="n">
        <f aca="false">H61*H63</f>
        <v>2618.35</v>
      </c>
      <c r="I64" s="215"/>
      <c r="J64" s="291" t="n">
        <f aca="false">H64</f>
        <v>2618.35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251.49996</v>
      </c>
      <c r="C67" s="215"/>
      <c r="D67" s="291"/>
      <c r="E67" s="216"/>
      <c r="F67" s="63"/>
      <c r="G67" s="285" t="s">
        <v>93</v>
      </c>
      <c r="H67" s="133" t="n">
        <f aca="false">H61*H66</f>
        <v>187.025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60</v>
      </c>
      <c r="C73" s="215"/>
      <c r="D73" s="291" t="n">
        <f aca="false">B73+B71</f>
        <v>260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0</v>
      </c>
      <c r="C74" s="215"/>
      <c r="D74" s="215"/>
      <c r="E74" s="216"/>
      <c r="F74" s="63"/>
      <c r="G74" s="292" t="s">
        <v>280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</v>
      </c>
      <c r="C75" s="215" t="n">
        <f aca="false">IF(G18&gt;40000, 325, 0)</f>
        <v>0</v>
      </c>
      <c r="D75" s="215"/>
      <c r="E75" s="216"/>
      <c r="F75" s="63"/>
      <c r="G75" s="295" t="s">
        <v>281</v>
      </c>
      <c r="H75" s="299" t="n">
        <f aca="false">IF(G18&gt;40000, 325, 0)</f>
        <v>0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282</v>
      </c>
      <c r="H76" s="133" t="n">
        <f aca="false">((H74+H75)/12)*(H29-11)</f>
        <v>12.5</v>
      </c>
      <c r="I76" s="215"/>
      <c r="J76" s="291" t="n">
        <f aca="false">H76</f>
        <v>12.5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283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283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284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215"/>
      <c r="D79" s="291" t="n">
        <f aca="false">B79</f>
        <v>200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215"/>
      <c r="D80" s="291" t="n">
        <f aca="false">B80</f>
        <v>200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3087.16638666667</v>
      </c>
      <c r="C81" s="215"/>
      <c r="D81" s="215"/>
      <c r="E81" s="216"/>
      <c r="F81" s="63"/>
      <c r="G81" s="303" t="s">
        <v>102</v>
      </c>
      <c r="H81" s="304" t="n">
        <f aca="false">SUM(J64:J80)</f>
        <v>4244.85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257.263865555556</v>
      </c>
      <c r="C82" s="215"/>
      <c r="D82" s="215"/>
      <c r="E82" s="216"/>
      <c r="F82" s="63"/>
      <c r="G82" s="214" t="s">
        <v>103</v>
      </c>
      <c r="H82" s="300" t="n">
        <f aca="false">H81/H29</f>
        <v>353.7375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((B83*(H29)+B81))*1.2</f>
        <v>10918.999664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12308.22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(((B83*(H29))+B81)/(1-B70))*B70</f>
        <v>77.0804736264623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86.8873941105285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10996.0801376265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12295.1173941105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IF(B99=Z102,(((H44*B35)+(H44*B35)*(B105/100))/(B58))*1.2,(((H44*B35)+(H44*B35)*(B105/100))/(B57+B58))*1.2)</f>
        <v>0</v>
      </c>
      <c r="C89" s="215"/>
      <c r="D89" s="215"/>
      <c r="E89" s="216"/>
      <c r="F89" s="63"/>
      <c r="G89" s="303" t="s">
        <v>117</v>
      </c>
      <c r="H89" s="304" t="n">
        <f aca="false">(A41+(A41*H105))*1.2</f>
        <v>0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916.340011468872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1024.59311617588</v>
      </c>
      <c r="I90" s="215"/>
      <c r="J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916.340011468872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1024.59311617588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285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287</v>
      </c>
      <c r="B99" s="312" t="s">
        <v>288</v>
      </c>
      <c r="C99" s="312"/>
      <c r="D99" s="107" t="n">
        <v>1000</v>
      </c>
      <c r="E99" s="107"/>
      <c r="F99" s="63"/>
      <c r="G99" s="220" t="s">
        <v>287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291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f aca="false">199.99*1.2</f>
        <v>239.988</v>
      </c>
      <c r="B102" s="107" t="n">
        <v>400</v>
      </c>
      <c r="C102" s="107"/>
      <c r="D102" s="107" t="n">
        <v>200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264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265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266</v>
      </c>
      <c r="AA104" s="63"/>
    </row>
    <row r="105" customFormat="false" ht="18.75" hidden="false" customHeight="true" outlineLevel="0" collapsed="false">
      <c r="A105" s="222" t="s">
        <v>19</v>
      </c>
      <c r="B105" s="312" t="n">
        <v>0</v>
      </c>
      <c r="C105" s="312"/>
      <c r="D105" s="107" t="s">
        <v>292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267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268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269</v>
      </c>
      <c r="AA107" s="63"/>
    </row>
    <row r="108" customFormat="false" ht="18.75" hidden="false" customHeight="true" outlineLevel="0" collapsed="false">
      <c r="A108" s="217" t="s">
        <v>293</v>
      </c>
      <c r="B108" s="217" t="n">
        <v>0</v>
      </c>
      <c r="C108" s="217"/>
      <c r="D108" s="217" t="n">
        <v>0</v>
      </c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270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271</v>
      </c>
    </row>
    <row r="110" customFormat="false" ht="18.75" hidden="false" customHeight="true" outlineLevel="0" collapsed="false">
      <c r="A110" s="214" t="s">
        <v>294</v>
      </c>
      <c r="B110" s="222" t="s">
        <v>19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10000</v>
      </c>
      <c r="E112" s="107" t="n">
        <v>6000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8000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4000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239.988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(E118+E117)-D115</f>
        <v>-2760.012</v>
      </c>
      <c r="F119" s="63"/>
      <c r="G119" s="315" t="s">
        <v>295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916.340011468872</v>
      </c>
      <c r="B128" s="321" t="n">
        <f aca="false">IF(A105="YES", B89, 0)</f>
        <v>0</v>
      </c>
      <c r="C128" s="326"/>
      <c r="D128" s="321" t="n">
        <f aca="false">B91</f>
        <v>916.340011468872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299</v>
      </c>
      <c r="H129" s="328" t="s">
        <v>300</v>
      </c>
      <c r="I129" s="328"/>
      <c r="J129" s="328" t="s">
        <v>301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333" t="n">
        <f aca="false">H90</f>
        <v>1024.59311617588</v>
      </c>
      <c r="H130" s="177" t="n">
        <f aca="false">IF(G105="YES", H89*H57, 0)</f>
        <v>0</v>
      </c>
      <c r="I130" s="177"/>
      <c r="J130" s="334" t="n">
        <f aca="false">H91</f>
        <v>1024.59311617588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 Terminal pause with 9 down </v>
      </c>
      <c r="B131" s="38" t="n">
        <f aca="false">B90*B57</f>
        <v>8247.06010321985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1024.59311617588</v>
      </c>
      <c r="H133" s="103" t="n">
        <f aca="false">IF(G105="YES", H89*H57, 0)</f>
        <v>0</v>
      </c>
      <c r="I133" s="221"/>
      <c r="J133" s="184" t="n">
        <f aca="false">H91*H57</f>
        <v>1024.59311617588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8247.06010321985</v>
      </c>
      <c r="B134" s="38" t="n">
        <f aca="false">E114</f>
        <v>4000</v>
      </c>
      <c r="C134" s="317"/>
      <c r="D134" s="337" t="n">
        <f aca="false">B58</f>
        <v>3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916.340011468872</v>
      </c>
      <c r="B137" s="38" t="n">
        <f aca="false">IF(A105="YES", B89, 0)</f>
        <v>0</v>
      </c>
      <c r="C137" s="317"/>
      <c r="D137" s="38" t="n">
        <f aca="false">B91</f>
        <v>916.340011468872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187.025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26.9316</v>
      </c>
      <c r="B140" s="343" t="n">
        <f aca="false">G18*0.000002 *1.2*100</f>
        <v>8.9772</v>
      </c>
      <c r="C140" s="317"/>
      <c r="D140" s="343" t="n">
        <f aca="false">A140+B140</f>
        <v>35.9088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H89*0.1, 0)</f>
        <v>0</v>
      </c>
      <c r="H142" s="103" t="n">
        <f aca="false">G102-100</f>
        <v>139.988</v>
      </c>
      <c r="I142" s="103"/>
      <c r="J142" s="103" t="n">
        <f aca="false">(H139+J139+G142+H142)-H145</f>
        <v>1407.013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239.988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251.49996</v>
      </c>
      <c r="B148" s="38" t="n">
        <f aca="false">B102</f>
        <v>400</v>
      </c>
      <c r="C148" s="38"/>
      <c r="D148" s="38" t="n">
        <f aca="false">IF(A105="YES", (A41*B105)*B125, 0)*0.001</f>
        <v>0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(E118/1.2)-100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751.48996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1024.59311617588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916.340011468872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296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287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297</v>
      </c>
      <c r="C170" s="355"/>
      <c r="D170" s="354" t="s">
        <v>298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916.340011468872</v>
      </c>
      <c r="B171" s="355" t="n">
        <f aca="false">IF(A105="YES", B89, 0)</f>
        <v>0</v>
      </c>
      <c r="C171" s="358"/>
      <c r="D171" s="355" t="n">
        <f aca="false">B91</f>
        <v>916.340011468872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302</v>
      </c>
      <c r="C173" s="230"/>
      <c r="D173" s="359" t="s">
        <v>303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 Terminal pause with 9 down </v>
      </c>
      <c r="B174" s="103" t="n">
        <f aca="false">B90*B57</f>
        <v>8247.06010321985</v>
      </c>
      <c r="C174" s="353"/>
      <c r="D174" s="103" t="n">
        <f aca="false">IF(A105="YES", B89*B57, 0)</f>
        <v>0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307</v>
      </c>
      <c r="B176" s="166" t="s">
        <v>308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8247.06010321985</v>
      </c>
      <c r="B177" s="103" t="n">
        <f aca="false">E114</f>
        <v>4000</v>
      </c>
      <c r="C177" s="353"/>
      <c r="D177" s="361" t="n">
        <f aca="false">B58</f>
        <v>3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297</v>
      </c>
      <c r="C179" s="353"/>
      <c r="D179" s="353" t="s">
        <v>298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916.340011468872</v>
      </c>
      <c r="B180" s="103" t="n">
        <f aca="false">IF(A105="YES", B89, 0)</f>
        <v>0</v>
      </c>
      <c r="C180" s="353"/>
      <c r="D180" s="103" t="n">
        <f aca="false">B91</f>
        <v>916.340011468872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315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26.9316</v>
      </c>
      <c r="B183" s="365" t="n">
        <f aca="false">G18*0.000002 *1.2*100</f>
        <v>8.9772</v>
      </c>
      <c r="C183" s="353"/>
      <c r="D183" s="365" t="n">
        <f aca="false">A183+B183</f>
        <v>35.9088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319</v>
      </c>
      <c r="B185" s="364" t="s">
        <v>53</v>
      </c>
      <c r="C185" s="103"/>
      <c r="D185" s="364" t="s">
        <v>283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239.988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322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323</v>
      </c>
      <c r="B190" s="353" t="s">
        <v>324</v>
      </c>
      <c r="C190" s="353"/>
      <c r="D190" s="353" t="s">
        <v>325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251.49996</v>
      </c>
      <c r="B191" s="103" t="n">
        <f aca="false">B102</f>
        <v>400</v>
      </c>
      <c r="C191" s="103"/>
      <c r="D191" s="103" t="n">
        <f aca="false">IF(A105="YES", (A38/100*B105)*B125, 0)*0.001</f>
        <v>0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327</v>
      </c>
      <c r="B193" s="353" t="s">
        <v>321</v>
      </c>
      <c r="C193" s="353"/>
      <c r="D193" s="353" t="s">
        <v>318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(E118/1.2)-100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751.48996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328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B209</f>
        <v>0.065</v>
      </c>
      <c r="C203" s="321" t="s">
        <v>215</v>
      </c>
      <c r="D203" s="370" t="n">
        <f aca="false">D64</f>
        <v>1760.49972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251.49996</v>
      </c>
      <c r="C205" s="320" t="s">
        <v>217</v>
      </c>
      <c r="D205" s="370" t="n">
        <f aca="false">B219+E215+B215+B217</f>
        <v>339.99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1848.98976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1760.49972</v>
      </c>
      <c r="C211" s="375" t="s">
        <v>221</v>
      </c>
      <c r="D211" s="317"/>
      <c r="E211" s="376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251.49996</v>
      </c>
      <c r="C213" s="336" t="s">
        <v>329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329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330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1848.98976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331</v>
      </c>
      <c r="B219" s="341" t="n">
        <f aca="false">D191/0.1</f>
        <v>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332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200</v>
      </c>
      <c r="C223" s="336" t="s">
        <v>226</v>
      </c>
      <c r="D223" s="343"/>
      <c r="E223" s="149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77.0804736264623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200</v>
      </c>
      <c r="C227" s="382" t="s">
        <v>333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200</v>
      </c>
      <c r="C229" s="386" t="s">
        <v>334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169" colorId="64" zoomScale="85" zoomScaleNormal="85" zoomScalePageLayoutView="100" workbookViewId="0">
      <selection pane="topLeft" activeCell="D149" activeCellId="0" sqref="D14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7.8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25149.996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63" t="n">
        <v>37405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45295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50</v>
      </c>
      <c r="E32" s="226"/>
      <c r="F32" s="63"/>
      <c r="G32" s="227" t="s">
        <v>244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139</v>
      </c>
      <c r="E40" s="216"/>
      <c r="F40" s="63"/>
      <c r="G40" s="387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</v>
      </c>
      <c r="B41" s="241" t="n">
        <f aca="false">IF(B38="YES", D38+A41, D38)</f>
        <v>550</v>
      </c>
      <c r="C41" s="241"/>
      <c r="D41" s="104" t="n">
        <v>12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255</v>
      </c>
      <c r="B43" s="240" t="s">
        <v>256</v>
      </c>
      <c r="C43" s="230"/>
      <c r="D43" s="240" t="s">
        <v>260</v>
      </c>
      <c r="E43" s="243"/>
      <c r="F43" s="63"/>
      <c r="G43" s="63" t="s">
        <v>257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</v>
      </c>
      <c r="B44" s="104" t="n">
        <v>1</v>
      </c>
      <c r="C44" s="104"/>
      <c r="D44" s="279" t="n">
        <f aca="false">A44+B44</f>
        <v>2</v>
      </c>
      <c r="E44" s="279"/>
      <c r="F44" s="63"/>
      <c r="G44" s="63" t="s">
        <v>258</v>
      </c>
      <c r="H44" s="238" t="n">
        <f aca="false">((A41*(B35-1))+D32)/B35</f>
        <v>50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275</v>
      </c>
      <c r="B46" s="230"/>
      <c r="C46" s="230"/>
      <c r="D46" s="230"/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 t="n">
        <f aca="false">(A41*(B58+B57))</f>
        <v>600</v>
      </c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551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9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3</v>
      </c>
      <c r="C58" s="215" t="s">
        <v>276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277</v>
      </c>
      <c r="B60" s="215" t="n">
        <f aca="false">E19</f>
        <v>25149.996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37405</v>
      </c>
      <c r="C61" s="215"/>
      <c r="D61" s="215"/>
      <c r="E61" s="216"/>
      <c r="F61" s="63"/>
      <c r="G61" s="214" t="s">
        <v>14</v>
      </c>
      <c r="H61" s="291" t="n">
        <f aca="false">G18</f>
        <v>37405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1760.49972</v>
      </c>
      <c r="C64" s="215" t="n">
        <v>10000</v>
      </c>
      <c r="D64" s="291" t="n">
        <f aca="false">B64</f>
        <v>1760.49972</v>
      </c>
      <c r="E64" s="216"/>
      <c r="F64" s="63"/>
      <c r="G64" s="285" t="s">
        <v>90</v>
      </c>
      <c r="H64" s="133" t="n">
        <f aca="false">H61*H63</f>
        <v>2618.35</v>
      </c>
      <c r="I64" s="215"/>
      <c r="J64" s="291" t="n">
        <f aca="false">H64</f>
        <v>2618.35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251.49996</v>
      </c>
      <c r="C67" s="215"/>
      <c r="D67" s="291"/>
      <c r="E67" s="216"/>
      <c r="F67" s="63"/>
      <c r="G67" s="285" t="s">
        <v>93</v>
      </c>
      <c r="H67" s="133" t="n">
        <f aca="false">H61*H66</f>
        <v>187.025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60</v>
      </c>
      <c r="C73" s="215"/>
      <c r="D73" s="291" t="n">
        <f aca="false">B73+B71</f>
        <v>260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0</v>
      </c>
      <c r="C74" s="215"/>
      <c r="D74" s="215"/>
      <c r="E74" s="216"/>
      <c r="F74" s="63"/>
      <c r="G74" s="292" t="s">
        <v>280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</v>
      </c>
      <c r="C75" s="215"/>
      <c r="D75" s="215"/>
      <c r="E75" s="216"/>
      <c r="F75" s="63"/>
      <c r="G75" s="295" t="s">
        <v>281</v>
      </c>
      <c r="H75" s="299" t="n">
        <f aca="false">IF(G18&gt;40000, 325, 0)</f>
        <v>0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((B74+B75)/12)*(H29+1)</f>
        <v>0</v>
      </c>
      <c r="C76" s="215"/>
      <c r="D76" s="291" t="n">
        <f aca="false">B76</f>
        <v>0</v>
      </c>
      <c r="E76" s="216"/>
      <c r="F76" s="63"/>
      <c r="G76" s="285" t="s">
        <v>282</v>
      </c>
      <c r="H76" s="133" t="n">
        <f aca="false">((H74+H75)/12)*(H29-11)</f>
        <v>12.5</v>
      </c>
      <c r="I76" s="215"/>
      <c r="J76" s="291" t="n">
        <f aca="false">H76</f>
        <v>12.5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283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283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284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215"/>
      <c r="D79" s="291" t="n">
        <f aca="false">B79</f>
        <v>200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215"/>
      <c r="D80" s="291" t="n">
        <f aca="false">B80</f>
        <v>200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3087.16638666667</v>
      </c>
      <c r="C81" s="215"/>
      <c r="D81" s="215"/>
      <c r="E81" s="216"/>
      <c r="F81" s="63"/>
      <c r="G81" s="303" t="s">
        <v>102</v>
      </c>
      <c r="H81" s="304" t="n">
        <f aca="false">SUM(J64:J80)</f>
        <v>4244.85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257.263865555556</v>
      </c>
      <c r="C82" s="215"/>
      <c r="D82" s="215"/>
      <c r="E82" s="216"/>
      <c r="F82" s="63"/>
      <c r="G82" s="214" t="s">
        <v>103</v>
      </c>
      <c r="H82" s="300" t="n">
        <f aca="false">H81/H29</f>
        <v>353.7375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</f>
        <v>9099.16638666667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12308.22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(B85/(1-B70))*B70</f>
        <v>77.0804736264623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86.8873941105285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9176.24686029313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12295.1173941105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IF(B99=Z102,(((H44*B35)+(H44*B35)*(B105/100))/(B58)),(((H44*B35)+(H44*B35)*(B105/100))/(B57+B58)))</f>
        <v>65</v>
      </c>
      <c r="C89" s="215" t="s">
        <v>4</v>
      </c>
      <c r="D89" s="215"/>
      <c r="E89" s="216"/>
      <c r="F89" s="63"/>
      <c r="G89" s="303" t="s">
        <v>117</v>
      </c>
      <c r="H89" s="304" t="n">
        <f aca="false">(A41+(A41*H105))*1.2</f>
        <v>72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764.687238357761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1024.59311617588</v>
      </c>
      <c r="I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829.687238357761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1096.59311617588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335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287</v>
      </c>
      <c r="B99" s="312" t="s">
        <v>288</v>
      </c>
      <c r="C99" s="312"/>
      <c r="D99" s="107" t="n">
        <v>0</v>
      </c>
      <c r="E99" s="107"/>
      <c r="F99" s="63"/>
      <c r="G99" s="220" t="s">
        <v>287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291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v>199.99</v>
      </c>
      <c r="B102" s="107" t="n">
        <v>400</v>
      </c>
      <c r="C102" s="107"/>
      <c r="D102" s="107" t="n">
        <v>200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264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265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266</v>
      </c>
      <c r="AA104" s="63"/>
    </row>
    <row r="105" customFormat="false" ht="18.75" hidden="false" customHeight="true" outlineLevel="0" collapsed="false">
      <c r="A105" s="222" t="s">
        <v>18</v>
      </c>
      <c r="B105" s="312" t="n">
        <v>30</v>
      </c>
      <c r="C105" s="312"/>
      <c r="D105" s="107" t="s">
        <v>292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267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268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269</v>
      </c>
      <c r="AA107" s="63"/>
    </row>
    <row r="108" customFormat="false" ht="18.75" hidden="false" customHeight="true" outlineLevel="0" collapsed="false">
      <c r="A108" s="217" t="s">
        <v>293</v>
      </c>
      <c r="B108" s="217" t="n">
        <v>0</v>
      </c>
      <c r="C108" s="217"/>
      <c r="D108" s="217" t="n">
        <v>0</v>
      </c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270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271</v>
      </c>
    </row>
    <row r="110" customFormat="false" ht="18.75" hidden="false" customHeight="true" outlineLevel="0" collapsed="false">
      <c r="A110" s="214" t="s">
        <v>294</v>
      </c>
      <c r="B110" s="222" t="s">
        <v>19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((E118*1.2)+E117)-E114</f>
        <v>-3760.012</v>
      </c>
      <c r="F119" s="63"/>
      <c r="G119" s="315" t="s">
        <v>295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764.687238357761</v>
      </c>
      <c r="B128" s="321" t="n">
        <f aca="false">IF(A105="YES", B89, 0)</f>
        <v>65</v>
      </c>
      <c r="C128" s="326"/>
      <c r="D128" s="321" t="n">
        <f aca="false">B91</f>
        <v>829.687238357761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299</v>
      </c>
      <c r="H129" s="328" t="s">
        <v>300</v>
      </c>
      <c r="I129" s="328"/>
      <c r="J129" s="328" t="s">
        <v>301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333" t="n">
        <f aca="false">H90</f>
        <v>1024.59311617588</v>
      </c>
      <c r="H130" s="177" t="n">
        <f aca="false">IF(G105="YES", H89*H57, 0)</f>
        <v>72</v>
      </c>
      <c r="I130" s="177"/>
      <c r="J130" s="334" t="n">
        <f aca="false">H91</f>
        <v>1096.59311617588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 Terminal pause with 9 down </v>
      </c>
      <c r="B131" s="38" t="n">
        <f aca="false">B90*B57</f>
        <v>6882.18514521985</v>
      </c>
      <c r="C131" s="317"/>
      <c r="D131" s="38" t="n">
        <f aca="false">IF(A105="YES", B89*B57, 0)</f>
        <v>585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1024.59311617588</v>
      </c>
      <c r="H133" s="103" t="n">
        <f aca="false">IF(G105="YES", H89*H57, 0)</f>
        <v>72</v>
      </c>
      <c r="I133" s="221"/>
      <c r="J133" s="184" t="n">
        <f aca="false">H91*H57</f>
        <v>1096.59311617588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7467.18514521985</v>
      </c>
      <c r="B134" s="38" t="n">
        <f aca="false">E114</f>
        <v>4000</v>
      </c>
      <c r="C134" s="317"/>
      <c r="D134" s="337" t="n">
        <f aca="false">B58</f>
        <v>3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764.687238357761</v>
      </c>
      <c r="B137" s="38" t="n">
        <f aca="false">IF(A105="YES", B89, 0)</f>
        <v>65</v>
      </c>
      <c r="C137" s="317"/>
      <c r="D137" s="38" t="n">
        <f aca="false">B91</f>
        <v>829.687238357761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187.025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26.9316</v>
      </c>
      <c r="B140" s="343" t="n">
        <f aca="false">G18*0.000002 *1.2*100</f>
        <v>8.9772</v>
      </c>
      <c r="C140" s="317"/>
      <c r="D140" s="343" t="n">
        <f aca="false">A140+B140</f>
        <v>35.9088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H89*0.1, 0)</f>
        <v>7.2</v>
      </c>
      <c r="H142" s="103" t="n">
        <f aca="false">G102-100</f>
        <v>139.988</v>
      </c>
      <c r="I142" s="103"/>
      <c r="J142" s="103" t="n">
        <f aca="false">(H139+J139+G142+H142)-H145</f>
        <v>1414.213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251.49996</v>
      </c>
      <c r="B148" s="38" t="n">
        <f aca="false">B102</f>
        <v>400</v>
      </c>
      <c r="C148" s="38"/>
      <c r="D148" s="38" t="n">
        <f aca="false">IF(A105="YES", (A41*B105)*B125, 0)*0.001</f>
        <v>18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769.48996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1096.59311617588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829.687238357761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296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287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297</v>
      </c>
      <c r="C170" s="355"/>
      <c r="D170" s="354" t="s">
        <v>298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764.687238357761</v>
      </c>
      <c r="B171" s="355" t="n">
        <f aca="false">IF(A105="YES", B89, 0)</f>
        <v>65</v>
      </c>
      <c r="C171" s="358"/>
      <c r="D171" s="355" t="n">
        <f aca="false">B91</f>
        <v>829.687238357761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302</v>
      </c>
      <c r="C173" s="230"/>
      <c r="D173" s="359" t="s">
        <v>303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 Terminal pause with 9 down </v>
      </c>
      <c r="B174" s="103" t="n">
        <f aca="false">B90*B57</f>
        <v>6882.18514521985</v>
      </c>
      <c r="C174" s="353"/>
      <c r="D174" s="103" t="n">
        <f aca="false">IF(A105="YES", B89*B57, 0)</f>
        <v>585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307</v>
      </c>
      <c r="B176" s="166" t="s">
        <v>308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7467.18514521985</v>
      </c>
      <c r="B177" s="103" t="n">
        <f aca="false">E114</f>
        <v>4000</v>
      </c>
      <c r="C177" s="353"/>
      <c r="D177" s="361" t="n">
        <f aca="false">B58</f>
        <v>3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297</v>
      </c>
      <c r="C179" s="353"/>
      <c r="D179" s="353" t="s">
        <v>298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764.687238357761</v>
      </c>
      <c r="B180" s="103" t="n">
        <f aca="false">IF(A105="YES", B89, 0)</f>
        <v>65</v>
      </c>
      <c r="C180" s="353"/>
      <c r="D180" s="103" t="n">
        <f aca="false">B91</f>
        <v>829.687238357761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315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26.9316</v>
      </c>
      <c r="B183" s="365" t="n">
        <f aca="false">G18*0.000002 *1.2*100</f>
        <v>8.9772</v>
      </c>
      <c r="C183" s="353"/>
      <c r="D183" s="365" t="n">
        <f aca="false">A183+B183</f>
        <v>35.9088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319</v>
      </c>
      <c r="B185" s="364" t="s">
        <v>53</v>
      </c>
      <c r="C185" s="103"/>
      <c r="D185" s="364" t="s">
        <v>283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199.99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322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323</v>
      </c>
      <c r="B190" s="353" t="s">
        <v>324</v>
      </c>
      <c r="C190" s="353"/>
      <c r="D190" s="353" t="s">
        <v>325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251.49996</v>
      </c>
      <c r="B191" s="103" t="n">
        <f aca="false">B102</f>
        <v>400</v>
      </c>
      <c r="C191" s="103"/>
      <c r="D191" s="103" t="n">
        <f aca="false">IF(A105="YES", (A38/100*B105)*B125, 0)*0.001</f>
        <v>18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327</v>
      </c>
      <c r="B193" s="353" t="s">
        <v>321</v>
      </c>
      <c r="C193" s="353"/>
      <c r="D193" s="353" t="s">
        <v>318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E118-100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769.48996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328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H29</f>
        <v>12</v>
      </c>
      <c r="C203" s="321" t="s">
        <v>215</v>
      </c>
      <c r="D203" s="370" t="n">
        <f aca="false">D64</f>
        <v>1760.49972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251.49996</v>
      </c>
      <c r="C205" s="320" t="s">
        <v>217</v>
      </c>
      <c r="D205" s="370" t="n">
        <f aca="false">B219+E215+B215+B217</f>
        <v>519.99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2028.98976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1760.49972</v>
      </c>
      <c r="C211" s="375" t="s">
        <v>221</v>
      </c>
      <c r="D211" s="317"/>
      <c r="E211" s="376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251.49996</v>
      </c>
      <c r="C213" s="336" t="s">
        <v>329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329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330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2028.98976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331</v>
      </c>
      <c r="B219" s="341" t="n">
        <f aca="false">D191/0.1</f>
        <v>180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332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200</v>
      </c>
      <c r="C223" s="336" t="s">
        <v>226</v>
      </c>
      <c r="D223" s="343"/>
      <c r="E223" s="149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77.0804736264623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200</v>
      </c>
      <c r="C227" s="382" t="s">
        <v>333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200</v>
      </c>
      <c r="C229" s="386" t="s">
        <v>334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BCH'!$Z$101:$Z$109</formula1>
      <formula2>0</formula2>
    </dataValidation>
    <dataValidation allowBlank="true" operator="between" showDropDown="false" showErrorMessage="true" showInputMessage="false" sqref="A32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97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25149.996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36</v>
      </c>
      <c r="I29" s="387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349</v>
      </c>
      <c r="C30" s="172"/>
      <c r="D30" s="215"/>
      <c r="E30" s="216"/>
      <c r="F30" s="63"/>
      <c r="G30" s="218" t="s">
        <v>32</v>
      </c>
      <c r="H30" s="457" t="n">
        <v>10000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66666.6666666667</v>
      </c>
      <c r="I31" s="63"/>
      <c r="J31" s="63"/>
      <c r="K31" s="63" t="n">
        <v>66666.6666666667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6000</v>
      </c>
      <c r="J32" s="63"/>
      <c r="K32" s="63" t="n">
        <v>6000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36</v>
      </c>
      <c r="B33" s="229" t="n">
        <v>10000</v>
      </c>
      <c r="C33" s="230"/>
      <c r="D33" s="459" t="n">
        <f aca="false">H48</f>
        <v>282.157016332866</v>
      </c>
      <c r="E33" s="216"/>
      <c r="F33" s="63"/>
      <c r="G33" s="219" t="s">
        <v>356</v>
      </c>
      <c r="H33" s="460" t="n">
        <f aca="false">E21-E11</f>
        <v>20958.33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36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0.07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232.157016332866</v>
      </c>
      <c r="B36" s="103" t="n">
        <f aca="false">IF(B26="YES", H42, "")</f>
        <v>50</v>
      </c>
      <c r="C36" s="221"/>
      <c r="D36" s="184" t="n">
        <f aca="false">H31</f>
        <v>66666.6666666667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20958.33</v>
      </c>
      <c r="I39" s="238" t="n">
        <f aca="false">(I48*H46)+H44</f>
        <v>57161.3120530432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20000</v>
      </c>
      <c r="B40" s="107" t="n">
        <f aca="false">IF(B26="YES",H42,"0")</f>
        <v>50</v>
      </c>
      <c r="C40" s="107"/>
      <c r="D40" s="184" t="n">
        <f aca="false">I32</f>
        <v>6000</v>
      </c>
      <c r="E40" s="216"/>
      <c r="F40" s="63"/>
      <c r="G40" s="63" t="s">
        <v>106</v>
      </c>
      <c r="H40" s="238" t="n">
        <f aca="false">A40/1.2</f>
        <v>16666.6666666667</v>
      </c>
      <c r="I40" s="238" t="n">
        <f aca="false">H39-I39</f>
        <v>-36202.9820530432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0.00583333333333333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50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13439.5850433384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30</v>
      </c>
      <c r="B45" s="215"/>
      <c r="C45" s="463" t="n">
        <v>30</v>
      </c>
      <c r="D45" s="463"/>
      <c r="E45" s="216"/>
      <c r="F45" s="63"/>
      <c r="G45" s="63" t="s">
        <v>374</v>
      </c>
      <c r="H45" s="238" t="n">
        <f aca="false">(H39-H44)</f>
        <v>7518.74495666159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32.3864644516332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232.157016332866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282.157016332866</v>
      </c>
      <c r="I48" s="238" t="n">
        <f aca="false">I49-H42</f>
        <v>1350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10000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36</v>
      </c>
      <c r="B52" s="74" t="n">
        <f aca="false">H48</f>
        <v>282.157016332866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35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35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35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376</v>
      </c>
      <c r="B60" s="215" t="n">
        <f aca="false">E19</f>
        <v>25149.996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37404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292" t="s">
        <v>278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B62+(B62*0.25*((H29/12)-1))</f>
        <v>0.105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0.105</v>
      </c>
      <c r="I63" s="215"/>
      <c r="J63" s="215"/>
      <c r="K63" s="216"/>
      <c r="L63" s="63"/>
      <c r="M63" s="214" t="s">
        <v>279</v>
      </c>
      <c r="N63" s="294" t="n">
        <f aca="false">N62+(N62*0.25*(H29/12-1))</f>
        <v>0.105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C64</f>
        <v>10000</v>
      </c>
      <c r="C64" s="465" t="n">
        <v>10000</v>
      </c>
      <c r="D64" s="291" t="n">
        <f aca="false">B64</f>
        <v>10000</v>
      </c>
      <c r="E64" s="466" t="n">
        <f aca="false">D64/(B58+B57)</f>
        <v>277.777777777778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0.02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0.02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0.02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502.99992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180</v>
      </c>
      <c r="C73" s="215"/>
      <c r="D73" s="472" t="n">
        <f aca="false">B73+B71</f>
        <v>380</v>
      </c>
      <c r="E73" s="216" t="s">
        <v>227</v>
      </c>
      <c r="F73" s="63"/>
      <c r="G73" s="285" t="s">
        <v>99</v>
      </c>
      <c r="H73" s="133" t="n">
        <f aca="false">H72*H29</f>
        <v>162</v>
      </c>
      <c r="I73" s="215"/>
      <c r="J73" s="291" t="n">
        <f aca="false">H73+H71</f>
        <v>322</v>
      </c>
      <c r="K73" s="216"/>
      <c r="L73" s="63"/>
      <c r="M73" s="285" t="s">
        <v>99</v>
      </c>
      <c r="N73" s="133" t="n">
        <f aca="false">N72*H29</f>
        <v>162</v>
      </c>
      <c r="O73" s="215"/>
      <c r="P73" s="291" t="n">
        <f aca="false">N73+N71</f>
        <v>322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0</v>
      </c>
      <c r="C74" s="215"/>
      <c r="D74" s="215"/>
      <c r="E74" s="216"/>
      <c r="F74" s="63"/>
      <c r="G74" s="292" t="s">
        <v>280</v>
      </c>
      <c r="H74" s="298" t="n">
        <v>165</v>
      </c>
      <c r="I74" s="215"/>
      <c r="J74" s="215"/>
      <c r="K74" s="216"/>
      <c r="L74" s="63"/>
      <c r="M74" s="431" t="s">
        <v>280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</v>
      </c>
      <c r="C75" s="215"/>
      <c r="D75" s="215"/>
      <c r="E75" s="216"/>
      <c r="F75" s="63"/>
      <c r="G75" s="295" t="s">
        <v>281</v>
      </c>
      <c r="H75" s="299" t="n">
        <v>0</v>
      </c>
      <c r="I75" s="215"/>
      <c r="J75" s="215"/>
      <c r="K75" s="216"/>
      <c r="L75" s="63"/>
      <c r="M75" s="433" t="s">
        <v>281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((B74+B75)/12)*(H29+1)</f>
        <v>0</v>
      </c>
      <c r="C76" s="215"/>
      <c r="D76" s="291" t="n">
        <f aca="false">B76</f>
        <v>0</v>
      </c>
      <c r="E76" s="216"/>
      <c r="F76" s="63"/>
      <c r="G76" s="285" t="s">
        <v>282</v>
      </c>
      <c r="H76" s="133" t="n">
        <f aca="false">((H74+H75)/12)*(H29-11)</f>
        <v>343.75</v>
      </c>
      <c r="I76" s="215"/>
      <c r="J76" s="291" t="n">
        <f aca="false">H76</f>
        <v>343.75</v>
      </c>
      <c r="K76" s="216"/>
      <c r="L76" s="63"/>
      <c r="M76" s="435" t="s">
        <v>282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283</v>
      </c>
      <c r="B77" s="131" t="n">
        <f aca="false">B102/(1-0.1)</f>
        <v>0</v>
      </c>
      <c r="C77" s="473"/>
      <c r="D77" s="291" t="n">
        <f aca="false">B77</f>
        <v>0</v>
      </c>
      <c r="E77" s="466" t="n">
        <f aca="false">D77/(B58+B57)</f>
        <v>0</v>
      </c>
      <c r="F77" s="63"/>
      <c r="G77" s="292" t="s">
        <v>283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283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0</v>
      </c>
      <c r="C78" s="473"/>
      <c r="D78" s="291" t="n">
        <f aca="false">B78</f>
        <v>0</v>
      </c>
      <c r="E78" s="466"/>
      <c r="F78" s="63"/>
      <c r="G78" s="214" t="s">
        <v>284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284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473"/>
      <c r="D79" s="291" t="n">
        <f aca="false">B79</f>
        <v>200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473"/>
      <c r="D80" s="291" t="n">
        <f aca="false">B80</f>
        <v>200</v>
      </c>
      <c r="E80" s="466" t="n">
        <f aca="false">(D73+D76+D79+D80)/(B58+B57)</f>
        <v>21.6666666666667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10780</v>
      </c>
      <c r="C81" s="473"/>
      <c r="D81" s="474"/>
      <c r="E81" s="466"/>
      <c r="F81" s="63"/>
      <c r="G81" s="303" t="s">
        <v>102</v>
      </c>
      <c r="H81" s="304" t="n">
        <f aca="false">SUM(J64:J80)</f>
        <v>1065.75</v>
      </c>
      <c r="I81" s="215"/>
      <c r="J81" s="215"/>
      <c r="K81" s="216"/>
      <c r="L81" s="63"/>
      <c r="M81" s="303" t="s">
        <v>102</v>
      </c>
      <c r="N81" s="304" t="n">
        <f aca="false">SUM(P64:P80)</f>
        <v>722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299.444444444444</v>
      </c>
      <c r="C82" s="473"/>
      <c r="D82" s="215"/>
      <c r="E82" s="466"/>
      <c r="F82" s="63"/>
      <c r="G82" s="214" t="s">
        <v>103</v>
      </c>
      <c r="H82" s="300" t="n">
        <f aca="false">H81/H29</f>
        <v>29.6041666666667</v>
      </c>
      <c r="I82" s="215"/>
      <c r="J82" s="215"/>
      <c r="K82" s="216"/>
      <c r="L82" s="63"/>
      <c r="M82" s="214" t="s">
        <v>103</v>
      </c>
      <c r="N82" s="300" t="n">
        <f aca="false">N81/H29</f>
        <v>20.0555555555556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232.157016332866</v>
      </c>
      <c r="C83" s="473"/>
      <c r="D83" s="215"/>
      <c r="E83" s="466" t="n">
        <f aca="false">B83+E80+E77+E64</f>
        <v>531.60146077731</v>
      </c>
      <c r="F83" s="63"/>
      <c r="G83" s="305" t="s">
        <v>104</v>
      </c>
      <c r="H83" s="306" t="n">
        <f aca="false">H47</f>
        <v>232.157016332866</v>
      </c>
      <c r="I83" s="215"/>
      <c r="J83" s="215"/>
      <c r="K83" s="216"/>
      <c r="L83" s="63"/>
      <c r="M83" s="305" t="s">
        <v>104</v>
      </c>
      <c r="N83" s="306" t="n">
        <f aca="false">H47</f>
        <v>232.157016332866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19137.6525879832</v>
      </c>
      <c r="C85" s="473"/>
      <c r="D85" s="473"/>
      <c r="E85" s="466" t="n">
        <f aca="false">B85/(B58+B57)</f>
        <v>531.60146077731</v>
      </c>
      <c r="F85" s="63"/>
      <c r="G85" s="288" t="s">
        <v>114</v>
      </c>
      <c r="H85" s="131" t="n">
        <f aca="false">((H83*H29)+H81)*1.2</f>
        <v>11308.0831055798</v>
      </c>
      <c r="I85" s="215"/>
      <c r="J85" s="215"/>
      <c r="K85" s="216"/>
      <c r="L85" s="63"/>
      <c r="M85" s="288" t="s">
        <v>114</v>
      </c>
      <c r="N85" s="131" t="n">
        <f aca="false">((N83*H29)+N81)</f>
        <v>9079.65258798317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162.118073556937</v>
      </c>
      <c r="C86" s="473" t="s">
        <v>230</v>
      </c>
      <c r="D86" s="215"/>
      <c r="E86" s="466" t="n">
        <f aca="false">B86/(B58+B57)</f>
        <v>4.50327982102603</v>
      </c>
      <c r="F86" s="63"/>
      <c r="G86" s="214" t="s">
        <v>115</v>
      </c>
      <c r="H86" s="300" t="n">
        <f aca="false">((((H83*H29)+H81))/(1-H70))*H70</f>
        <v>79.8271296279332</v>
      </c>
      <c r="I86" s="215"/>
      <c r="J86" s="215"/>
      <c r="K86" s="216"/>
      <c r="L86" s="63"/>
      <c r="M86" s="214" t="s">
        <v>115</v>
      </c>
      <c r="N86" s="300" t="n">
        <f aca="false">(N85/(1-N70))*N70</f>
        <v>76.9151691600026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19299.7706615401</v>
      </c>
      <c r="C87" s="473"/>
      <c r="D87" s="475"/>
      <c r="E87" s="466" t="n">
        <f aca="false">E86+E85</f>
        <v>536.104740598336</v>
      </c>
      <c r="F87" s="63"/>
      <c r="G87" s="285" t="s">
        <v>116</v>
      </c>
      <c r="H87" s="133" t="n">
        <f aca="false">IF(H110="YES",((H85+H86)-K114),(H85+H86))</f>
        <v>11387.9102352077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9156.56775714317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</f>
        <v>65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210.731707317073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175.609756097561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536.104740598336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277.753908175798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223.330920905931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601.104740598336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488.485615492872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398.940677003492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213" t="s">
        <v>343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214" t="s">
        <v>125</v>
      </c>
      <c r="N98" s="215" t="s">
        <v>23</v>
      </c>
      <c r="O98" s="215"/>
      <c r="P98" s="215" t="s">
        <v>286</v>
      </c>
      <c r="Q98" s="216"/>
      <c r="R98" s="63"/>
      <c r="S98" s="63"/>
      <c r="T98" s="63"/>
      <c r="U98" s="63"/>
      <c r="V98" s="63"/>
      <c r="W98" s="63"/>
      <c r="X98" s="63"/>
      <c r="Y98" s="63" t="s">
        <v>264</v>
      </c>
      <c r="Z98" s="63"/>
    </row>
    <row r="99" customFormat="false" ht="18.75" hidden="false" customHeight="true" outlineLevel="0" collapsed="false">
      <c r="A99" s="220" t="s">
        <v>287</v>
      </c>
      <c r="B99" s="312" t="s">
        <v>128</v>
      </c>
      <c r="C99" s="312"/>
      <c r="D99" s="107" t="n">
        <v>0</v>
      </c>
      <c r="E99" s="107"/>
      <c r="F99" s="63"/>
      <c r="G99" s="220" t="s">
        <v>287</v>
      </c>
      <c r="H99" s="312" t="s">
        <v>266</v>
      </c>
      <c r="I99" s="312"/>
      <c r="J99" s="107" t="n">
        <v>0</v>
      </c>
      <c r="K99" s="107"/>
      <c r="L99" s="63"/>
      <c r="M99" s="220" t="s">
        <v>287</v>
      </c>
      <c r="N99" s="312" t="s">
        <v>266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265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266</v>
      </c>
      <c r="Z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378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214" t="s">
        <v>289</v>
      </c>
      <c r="N101" s="215" t="s">
        <v>290</v>
      </c>
      <c r="O101" s="215"/>
      <c r="P101" s="215" t="s">
        <v>291</v>
      </c>
      <c r="Q101" s="216"/>
      <c r="R101" s="63"/>
      <c r="S101" s="63"/>
      <c r="T101" s="63"/>
      <c r="U101" s="63"/>
      <c r="V101" s="63"/>
      <c r="W101" s="63"/>
      <c r="X101" s="63"/>
      <c r="Y101" s="63" t="s">
        <v>267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0</v>
      </c>
      <c r="C102" s="107"/>
      <c r="D102" s="107" t="n">
        <v>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268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269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270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0.3</v>
      </c>
      <c r="C105" s="314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271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344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217" t="s">
        <v>293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294</v>
      </c>
      <c r="B110" s="222" t="s">
        <v>19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214" t="s">
        <v>294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((E118*1.2)+E117)-E114</f>
        <v>-2760.012</v>
      </c>
      <c r="F119" s="63"/>
      <c r="G119" s="315" t="s">
        <v>295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295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217" t="s">
        <v>296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36</v>
      </c>
      <c r="C125" s="325"/>
      <c r="D125" s="324" t="n">
        <f aca="false">B160</f>
        <v>10000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299</v>
      </c>
      <c r="H126" s="328" t="s">
        <v>300</v>
      </c>
      <c r="I126" s="328"/>
      <c r="J126" s="328" t="s">
        <v>301</v>
      </c>
      <c r="K126" s="216"/>
      <c r="L126" s="63"/>
      <c r="M126" s="327" t="s">
        <v>345</v>
      </c>
      <c r="N126" s="328" t="s">
        <v>253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333" t="n">
        <f aca="false">H90</f>
        <v>277.753908175798</v>
      </c>
      <c r="H127" s="177" t="n">
        <f aca="false">IF(G105="YES", H89*H57, 0)</f>
        <v>1264.39024390244</v>
      </c>
      <c r="I127" s="177"/>
      <c r="J127" s="334" t="n">
        <f aca="false">H91</f>
        <v>488.485615492872</v>
      </c>
      <c r="K127" s="216"/>
      <c r="L127" s="63"/>
      <c r="M127" s="333" t="n">
        <f aca="false">N90</f>
        <v>223.330920905931</v>
      </c>
      <c r="N127" s="177" t="n">
        <f aca="false">IF(M105="YES", N89*N57, 0)</f>
        <v>1053.65853658537</v>
      </c>
      <c r="O127" s="177"/>
      <c r="P127" s="177" t="n">
        <f aca="false">N91</f>
        <v>398.940677003492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536.104740598336</v>
      </c>
      <c r="B128" s="321" t="n">
        <f aca="false">IF(A105="YES", B89, 0)</f>
        <v>65</v>
      </c>
      <c r="C128" s="325"/>
      <c r="D128" s="321" t="n">
        <f aca="false">B91</f>
        <v>601.104740598336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228" t="n">
        <f aca="false">G152</f>
        <v>36</v>
      </c>
      <c r="H130" s="229" t="n">
        <f aca="false">B151</f>
        <v>0</v>
      </c>
      <c r="I130" s="230"/>
      <c r="J130" s="229" t="n">
        <f aca="false">B58</f>
        <v>35</v>
      </c>
      <c r="K130" s="216"/>
      <c r="L130" s="63"/>
      <c r="M130" s="228" t="n">
        <f aca="false">M155</f>
        <v>36</v>
      </c>
      <c r="N130" s="229" t="n">
        <f aca="false">B151</f>
        <v>0</v>
      </c>
      <c r="O130" s="230"/>
      <c r="P130" s="229" t="n">
        <f aca="false">B58</f>
        <v>35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536.104740598336</v>
      </c>
      <c r="C131" s="317"/>
      <c r="D131" s="38" t="n">
        <f aca="false">IF(A105="YES", B89*B57, 0)</f>
        <v>65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214" t="s">
        <v>346</v>
      </c>
      <c r="N132" s="215" t="s">
        <v>242</v>
      </c>
      <c r="O132" s="215"/>
      <c r="P132" s="215" t="s">
        <v>246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1666.52344905479</v>
      </c>
      <c r="H133" s="103" t="n">
        <f aca="false">IF(G105="YES", H89*H57, 0)</f>
        <v>1264.39024390244</v>
      </c>
      <c r="I133" s="221"/>
      <c r="J133" s="184" t="n">
        <f aca="false">H91*H57</f>
        <v>2930.91369295723</v>
      </c>
      <c r="K133" s="216"/>
      <c r="L133" s="63"/>
      <c r="M133" s="185" t="n">
        <f aca="false">N90*N57</f>
        <v>1339.98552543559</v>
      </c>
      <c r="N133" s="103" t="n">
        <f aca="false">IF(M105="YES", N89*N57, 0)</f>
        <v>1053.65853658537</v>
      </c>
      <c r="O133" s="221"/>
      <c r="P133" s="184" t="n">
        <f aca="false">N91*N57</f>
        <v>2393.64406202095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601.104740598336</v>
      </c>
      <c r="B134" s="38" t="n">
        <f aca="false">E114</f>
        <v>4000</v>
      </c>
      <c r="C134" s="317"/>
      <c r="D134" s="337" t="n">
        <f aca="false">B58</f>
        <v>35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214" t="s">
        <v>255</v>
      </c>
      <c r="N135" s="215" t="s">
        <v>256</v>
      </c>
      <c r="O135" s="215"/>
      <c r="P135" s="215" t="s">
        <v>260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536.104740598336</v>
      </c>
      <c r="B137" s="38" t="n">
        <f aca="false">IF(A105="YES", B89, 0)</f>
        <v>65</v>
      </c>
      <c r="C137" s="317"/>
      <c r="D137" s="38" t="n">
        <f aca="false">B91</f>
        <v>601.104740598336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214" t="s">
        <v>139</v>
      </c>
      <c r="N138" s="215" t="s">
        <v>313</v>
      </c>
      <c r="O138" s="215"/>
      <c r="P138" s="215" t="s">
        <v>314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26.93088</v>
      </c>
      <c r="B140" s="343" t="n">
        <f aca="false">IF(A105="YES", B61*0.000002, 0)*1.2*100</f>
        <v>8.97696</v>
      </c>
      <c r="C140" s="317"/>
      <c r="D140" s="343" t="n">
        <f aca="false">A140+B140</f>
        <v>35.90784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214" t="s">
        <v>316</v>
      </c>
      <c r="N141" s="215" t="s">
        <v>317</v>
      </c>
      <c r="O141" s="215"/>
      <c r="P141" s="215" t="s">
        <v>318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((B36*H105)*0.1)*(G130), 0)</f>
        <v>36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36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214" t="s">
        <v>320</v>
      </c>
      <c r="N144" s="215" t="s">
        <v>321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347</v>
      </c>
      <c r="N147" s="166" t="s">
        <v>348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502.99992</v>
      </c>
      <c r="B148" s="103" t="n">
        <f aca="false">B102</f>
        <v>0</v>
      </c>
      <c r="C148" s="38"/>
      <c r="D148" s="38" t="n">
        <f aca="false">IF(A105="YES", (B40*B105)*B125, 0)*0.1</f>
        <v>54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656.98992</v>
      </c>
      <c r="E151" s="105"/>
      <c r="F151" s="63"/>
      <c r="G151" s="250"/>
      <c r="H151" s="252" t="n">
        <f aca="false">B51</f>
        <v>10000</v>
      </c>
      <c r="I151" s="252"/>
      <c r="J151" s="215"/>
      <c r="K151" s="216"/>
      <c r="L151" s="63"/>
      <c r="M151" s="281" t="s">
        <v>326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36</v>
      </c>
      <c r="H152" s="74" t="n">
        <f aca="false">H91</f>
        <v>488.485615492872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10000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36</v>
      </c>
      <c r="N155" s="74" t="n">
        <f aca="false">N91</f>
        <v>398.940677003492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10000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36</v>
      </c>
      <c r="B161" s="74" t="n">
        <f aca="false">B91</f>
        <v>601.104740598336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24" t="n">
        <f aca="false">A161</f>
        <v>36</v>
      </c>
      <c r="C174" s="357"/>
      <c r="D174" s="324" t="n">
        <f aca="false">D125</f>
        <v>10000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536.104740598336</v>
      </c>
      <c r="B177" s="355" t="n">
        <f aca="false">IF(A105="YES", B89, 0)</f>
        <v>65</v>
      </c>
      <c r="C177" s="357"/>
      <c r="D177" s="355" t="n">
        <f aca="false">B91</f>
        <v>601.104740598336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536.104740598336</v>
      </c>
      <c r="C180" s="353"/>
      <c r="D180" s="103" t="n">
        <f aca="false">IF(A105="YES", B89*B57, 0)</f>
        <v>65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601.104740598336</v>
      </c>
      <c r="B183" s="103" t="n">
        <f aca="false">E114</f>
        <v>4000</v>
      </c>
      <c r="C183" s="353"/>
      <c r="D183" s="361" t="n">
        <f aca="false">B58</f>
        <v>35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536.104740598336</v>
      </c>
      <c r="B186" s="103" t="n">
        <f aca="false">IF(A105="YES", B89, 0)</f>
        <v>65</v>
      </c>
      <c r="C186" s="353"/>
      <c r="D186" s="103" t="n">
        <f aca="false">B91</f>
        <v>601.104740598336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26.93088</v>
      </c>
      <c r="B189" s="365" t="n">
        <f aca="false">B140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502.99992</v>
      </c>
      <c r="B197" s="103" t="n">
        <f aca="false">B102</f>
        <v>0</v>
      </c>
      <c r="C197" s="103"/>
      <c r="D197" s="103" t="n">
        <f aca="false">IF(A105="YES", (B40*B105)*B125, 0)*0.1</f>
        <v>54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656.98992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0.07</v>
      </c>
      <c r="C209" s="321" t="s">
        <v>215</v>
      </c>
      <c r="D209" s="370" t="n">
        <f aca="false">D64</f>
        <v>10000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502.99992</v>
      </c>
      <c r="C211" s="320" t="s">
        <v>217</v>
      </c>
      <c r="D211" s="370" t="n">
        <f aca="false">B225+E221+B221+B223</f>
        <v>639.99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10136.99008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10000</v>
      </c>
      <c r="C217" s="375" t="s">
        <v>221</v>
      </c>
      <c r="D217" s="317"/>
      <c r="E217" s="376" t="n">
        <f aca="false">B66</f>
        <v>0.02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502.99992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(B77-(B77*(E219*100)))*0.1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B78-(B78*(E219*100))</f>
        <v>0</v>
      </c>
      <c r="C223" s="336" t="s">
        <v>218</v>
      </c>
      <c r="D223" s="317"/>
      <c r="E223" s="33" t="n">
        <f aca="false">(B217-B211+D211)</f>
        <v>10136.99008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540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200</v>
      </c>
      <c r="C229" s="336" t="s">
        <v>226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380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162.118073556937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200</v>
      </c>
      <c r="C233" s="382" t="s">
        <v>333</v>
      </c>
      <c r="D233" s="383"/>
      <c r="E233" s="149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200</v>
      </c>
      <c r="C235" s="386" t="s">
        <v>334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81" colorId="64" zoomScale="85" zoomScaleNormal="85" zoomScalePageLayoutView="100" workbookViewId="0">
      <selection pane="topLeft" activeCell="A152" activeCellId="0" sqref="A152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25149.996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35</v>
      </c>
      <c r="I29" s="387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349</v>
      </c>
      <c r="C30" s="172"/>
      <c r="D30" s="215"/>
      <c r="E30" s="216"/>
      <c r="F30" s="63"/>
      <c r="G30" s="218" t="s">
        <v>32</v>
      </c>
      <c r="H30" s="457" t="n">
        <v>35000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35</v>
      </c>
      <c r="B33" s="229" t="n">
        <v>10000</v>
      </c>
      <c r="C33" s="230"/>
      <c r="D33" s="459" t="n">
        <f aca="false">H48</f>
        <v>658.9795089829</v>
      </c>
      <c r="E33" s="216"/>
      <c r="F33" s="63"/>
      <c r="G33" s="219" t="s">
        <v>356</v>
      </c>
      <c r="H33" s="460" t="n">
        <f aca="false">E21-E11</f>
        <v>20958.33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658.9795089829</v>
      </c>
      <c r="B36" s="103" t="n">
        <f aca="false">IF(B26="YES", H42, "")</f>
        <v>0</v>
      </c>
      <c r="C36" s="221"/>
      <c r="D36" s="184" t="n">
        <f aca="false">H31</f>
        <v>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20958.33</v>
      </c>
      <c r="I39" s="238" t="n">
        <f aca="false">(I48*H46)+H44</f>
        <v>44525.9095313712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0</v>
      </c>
      <c r="B40" s="107" t="n">
        <f aca="false">IF(B26="YES",H42,"0")</f>
        <v>0</v>
      </c>
      <c r="C40" s="107"/>
      <c r="D40" s="184" t="n">
        <f aca="false">I32</f>
        <v>0</v>
      </c>
      <c r="E40" s="216"/>
      <c r="F40" s="63"/>
      <c r="G40" s="63" t="s">
        <v>106</v>
      </c>
      <c r="H40" s="238" t="n">
        <f aca="false">A40/1.2</f>
        <v>0</v>
      </c>
      <c r="I40" s="238" t="n">
        <f aca="false">H39-I39</f>
        <v>-23567.5795313712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0.00541666666666667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</v>
      </c>
      <c r="B45" s="215"/>
      <c r="C45" s="463" t="n">
        <v>100</v>
      </c>
      <c r="D45" s="463"/>
      <c r="E45" s="216"/>
      <c r="F45" s="63"/>
      <c r="G45" s="63" t="s">
        <v>374</v>
      </c>
      <c r="H45" s="238" t="n">
        <f aca="false">(H39-H44)</f>
        <v>20958.33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31.8042210938366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658.9795089829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658.9795089829</v>
      </c>
      <c r="I48" s="238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35000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35</v>
      </c>
      <c r="B52" s="74" t="n">
        <f aca="false">H48</f>
        <v>658.9795089829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34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34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34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376</v>
      </c>
      <c r="B60" s="215" t="n">
        <f aca="false">E19</f>
        <v>25149.996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37404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292" t="s">
        <v>278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B62+(B62*0.25*((H29/12)-1))</f>
        <v>0.103541666666667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0.103541666666667</v>
      </c>
      <c r="I63" s="215"/>
      <c r="J63" s="215"/>
      <c r="K63" s="216"/>
      <c r="L63" s="63"/>
      <c r="M63" s="214" t="s">
        <v>279</v>
      </c>
      <c r="N63" s="294" t="n">
        <f aca="false">N62+(N62*0.25*(H29/12-1))</f>
        <v>0.103541666666667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2604.0725025</v>
      </c>
      <c r="C64" s="465" t="n">
        <v>10000</v>
      </c>
      <c r="D64" s="291" t="n">
        <f aca="false">B64</f>
        <v>2604.0725025</v>
      </c>
      <c r="E64" s="466" t="n">
        <f aca="false">D64/(B58+B57)</f>
        <v>74.4020715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0.0195833333333333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0.0195833333333333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0.0195833333333333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492.520755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175</v>
      </c>
      <c r="C73" s="215"/>
      <c r="D73" s="472" t="n">
        <f aca="false">B73+B71</f>
        <v>375</v>
      </c>
      <c r="E73" s="216" t="s">
        <v>227</v>
      </c>
      <c r="F73" s="63"/>
      <c r="G73" s="285" t="s">
        <v>99</v>
      </c>
      <c r="H73" s="133" t="n">
        <f aca="false">H72*H29</f>
        <v>157.5</v>
      </c>
      <c r="I73" s="215"/>
      <c r="J73" s="291" t="n">
        <f aca="false">H73+H71</f>
        <v>317.5</v>
      </c>
      <c r="K73" s="216"/>
      <c r="L73" s="63"/>
      <c r="M73" s="285" t="s">
        <v>99</v>
      </c>
      <c r="N73" s="133" t="n">
        <f aca="false">N72*H29</f>
        <v>157.5</v>
      </c>
      <c r="O73" s="215"/>
      <c r="P73" s="291" t="n">
        <f aca="false">N73+N71</f>
        <v>317.5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165</v>
      </c>
      <c r="C74" s="215"/>
      <c r="D74" s="215"/>
      <c r="E74" s="216"/>
      <c r="F74" s="63"/>
      <c r="G74" s="292" t="s">
        <v>280</v>
      </c>
      <c r="H74" s="298" t="n">
        <v>165</v>
      </c>
      <c r="I74" s="215"/>
      <c r="J74" s="215"/>
      <c r="K74" s="216"/>
      <c r="L74" s="63"/>
      <c r="M74" s="431" t="s">
        <v>280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</v>
      </c>
      <c r="C75" s="215"/>
      <c r="D75" s="215"/>
      <c r="E75" s="216"/>
      <c r="F75" s="63"/>
      <c r="G75" s="295" t="s">
        <v>281</v>
      </c>
      <c r="H75" s="299" t="n">
        <v>0</v>
      </c>
      <c r="I75" s="215"/>
      <c r="J75" s="215"/>
      <c r="K75" s="216"/>
      <c r="L75" s="63"/>
      <c r="M75" s="433" t="s">
        <v>281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((B74+B75)/12)*(H29+1)</f>
        <v>495</v>
      </c>
      <c r="C76" s="215"/>
      <c r="D76" s="291" t="n">
        <f aca="false">B76</f>
        <v>495</v>
      </c>
      <c r="E76" s="216"/>
      <c r="F76" s="63"/>
      <c r="G76" s="285" t="s">
        <v>282</v>
      </c>
      <c r="H76" s="133" t="n">
        <f aca="false">((H74+H75)/12)*(H29-11)</f>
        <v>330</v>
      </c>
      <c r="I76" s="215"/>
      <c r="J76" s="291" t="n">
        <f aca="false">H76</f>
        <v>330</v>
      </c>
      <c r="K76" s="216"/>
      <c r="L76" s="63"/>
      <c r="M76" s="435" t="s">
        <v>282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283</v>
      </c>
      <c r="B77" s="131" t="n">
        <f aca="false">B102/(1-0.1)</f>
        <v>222.222222222222</v>
      </c>
      <c r="C77" s="473"/>
      <c r="D77" s="291" t="n">
        <f aca="false">B77</f>
        <v>222.222222222222</v>
      </c>
      <c r="E77" s="466" t="n">
        <f aca="false">D77/(B58+B57)</f>
        <v>6.34920634920635</v>
      </c>
      <c r="F77" s="63"/>
      <c r="G77" s="292" t="s">
        <v>283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283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222.222222222222</v>
      </c>
      <c r="C78" s="473"/>
      <c r="D78" s="291" t="n">
        <f aca="false">B78</f>
        <v>222.222222222222</v>
      </c>
      <c r="E78" s="466"/>
      <c r="F78" s="63"/>
      <c r="G78" s="214" t="s">
        <v>284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284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473"/>
      <c r="D79" s="291" t="n">
        <f aca="false">B79</f>
        <v>200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473"/>
      <c r="D80" s="291" t="n">
        <f aca="false">B80</f>
        <v>200</v>
      </c>
      <c r="E80" s="466" t="n">
        <f aca="false">(D73+D76+D79+D80)/(B58+B57)</f>
        <v>36.2857142857143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4318.51694694444</v>
      </c>
      <c r="C81" s="473"/>
      <c r="D81" s="474"/>
      <c r="E81" s="466"/>
      <c r="F81" s="63"/>
      <c r="G81" s="303" t="s">
        <v>102</v>
      </c>
      <c r="H81" s="304" t="n">
        <f aca="false">SUM(J64:J80)</f>
        <v>1047.5</v>
      </c>
      <c r="I81" s="215"/>
      <c r="J81" s="215"/>
      <c r="K81" s="216"/>
      <c r="L81" s="63"/>
      <c r="M81" s="303" t="s">
        <v>102</v>
      </c>
      <c r="N81" s="304" t="n">
        <f aca="false">SUM(P64:P80)</f>
        <v>717.5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123.386198484127</v>
      </c>
      <c r="C82" s="473"/>
      <c r="D82" s="215"/>
      <c r="E82" s="466"/>
      <c r="F82" s="63"/>
      <c r="G82" s="214" t="s">
        <v>103</v>
      </c>
      <c r="H82" s="300" t="n">
        <f aca="false">H81/H29</f>
        <v>29.9285714285714</v>
      </c>
      <c r="I82" s="215"/>
      <c r="J82" s="215"/>
      <c r="K82" s="216"/>
      <c r="L82" s="63"/>
      <c r="M82" s="214" t="s">
        <v>103</v>
      </c>
      <c r="N82" s="300" t="n">
        <f aca="false">N81/H29</f>
        <v>20.5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658.9795089829</v>
      </c>
      <c r="C83" s="473"/>
      <c r="D83" s="215"/>
      <c r="E83" s="466" t="n">
        <f aca="false">B83+E80+E77+E64</f>
        <v>776.016501117821</v>
      </c>
      <c r="F83" s="63"/>
      <c r="G83" s="305" t="s">
        <v>104</v>
      </c>
      <c r="H83" s="306" t="n">
        <f aca="false">H47</f>
        <v>658.9795089829</v>
      </c>
      <c r="I83" s="215"/>
      <c r="J83" s="215"/>
      <c r="K83" s="216"/>
      <c r="L83" s="63"/>
      <c r="M83" s="305" t="s">
        <v>104</v>
      </c>
      <c r="N83" s="306" t="n">
        <f aca="false">H47</f>
        <v>658.9795089829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((B83*H29)+B81)*1.2</f>
        <v>32859.3597136151</v>
      </c>
      <c r="C85" s="473"/>
      <c r="D85" s="473"/>
      <c r="E85" s="466" t="n">
        <f aca="false">B85/(B58+B57)</f>
        <v>938.838848960432</v>
      </c>
      <c r="F85" s="63"/>
      <c r="G85" s="288" t="s">
        <v>114</v>
      </c>
      <c r="H85" s="131" t="n">
        <f aca="false">((H83*H29)+H81)*1.2</f>
        <v>28934.1393772818</v>
      </c>
      <c r="I85" s="215"/>
      <c r="J85" s="215"/>
      <c r="K85" s="216"/>
      <c r="L85" s="63"/>
      <c r="M85" s="288" t="s">
        <v>114</v>
      </c>
      <c r="N85" s="131" t="n">
        <f aca="false">((N83*H29)+N81)</f>
        <v>23781.7828144015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231.964015727416</v>
      </c>
      <c r="C86" s="473" t="s">
        <v>230</v>
      </c>
      <c r="D86" s="215"/>
      <c r="E86" s="466" t="n">
        <f aca="false">B86/(B58+B57)</f>
        <v>6.62754330649761</v>
      </c>
      <c r="F86" s="63"/>
      <c r="G86" s="214" t="s">
        <v>115</v>
      </c>
      <c r="H86" s="300" t="n">
        <f aca="false">((((H83*H29)+H81))/(1-H70))*H70</f>
        <v>204.254715249065</v>
      </c>
      <c r="I86" s="215"/>
      <c r="J86" s="215"/>
      <c r="K86" s="216"/>
      <c r="L86" s="63"/>
      <c r="M86" s="214" t="s">
        <v>115</v>
      </c>
      <c r="N86" s="300" t="n">
        <f aca="false">(N85/(1-N70))*N70</f>
        <v>201.459233199851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33091.3237293425</v>
      </c>
      <c r="C87" s="473"/>
      <c r="D87" s="475"/>
      <c r="E87" s="466" t="n">
        <f aca="false">E86+E85</f>
        <v>945.46639226693</v>
      </c>
      <c r="F87" s="63"/>
      <c r="G87" s="285" t="s">
        <v>116</v>
      </c>
      <c r="H87" s="133" t="n">
        <f aca="false">IF(H110="YES",((H85+H86)-K114),(H85+H86))</f>
        <v>29138.3940925309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23983.2420476013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(I32+(I32*B105))/(B57+B58))*(C45/100)*1.2</f>
        <v>0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0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0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945.46639226693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728.459852313271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599.581051190034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945.46639226693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728.459852313271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599.581051190034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213" t="s">
        <v>343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214" t="s">
        <v>125</v>
      </c>
      <c r="N98" s="215" t="s">
        <v>23</v>
      </c>
      <c r="O98" s="215"/>
      <c r="P98" s="215" t="s">
        <v>286</v>
      </c>
      <c r="Q98" s="216"/>
      <c r="R98" s="63"/>
      <c r="S98" s="63"/>
      <c r="T98" s="63"/>
      <c r="U98" s="63"/>
      <c r="V98" s="63"/>
      <c r="W98" s="63"/>
      <c r="X98" s="63"/>
      <c r="Y98" s="63" t="s">
        <v>264</v>
      </c>
      <c r="Z98" s="63"/>
    </row>
    <row r="99" customFormat="false" ht="18.75" hidden="false" customHeight="true" outlineLevel="0" collapsed="false">
      <c r="A99" s="220" t="s">
        <v>287</v>
      </c>
      <c r="B99" s="312" t="s">
        <v>128</v>
      </c>
      <c r="C99" s="312"/>
      <c r="D99" s="107" t="n">
        <v>0</v>
      </c>
      <c r="E99" s="107"/>
      <c r="F99" s="63"/>
      <c r="G99" s="220" t="s">
        <v>287</v>
      </c>
      <c r="H99" s="312" t="s">
        <v>266</v>
      </c>
      <c r="I99" s="312"/>
      <c r="J99" s="107" t="n">
        <v>0</v>
      </c>
      <c r="K99" s="107"/>
      <c r="L99" s="63"/>
      <c r="M99" s="220" t="s">
        <v>287</v>
      </c>
      <c r="N99" s="312" t="s">
        <v>266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265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266</v>
      </c>
      <c r="Z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378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214" t="s">
        <v>289</v>
      </c>
      <c r="N101" s="215" t="s">
        <v>290</v>
      </c>
      <c r="O101" s="215"/>
      <c r="P101" s="215" t="s">
        <v>291</v>
      </c>
      <c r="Q101" s="216"/>
      <c r="R101" s="63"/>
      <c r="S101" s="63"/>
      <c r="T101" s="63"/>
      <c r="U101" s="63"/>
      <c r="V101" s="63"/>
      <c r="W101" s="63"/>
      <c r="X101" s="63"/>
      <c r="Y101" s="63" t="s">
        <v>267</v>
      </c>
      <c r="Z101" s="63"/>
    </row>
    <row r="102" customFormat="false" ht="18.75" hidden="false" customHeight="true" outlineLevel="0" collapsed="false">
      <c r="A102" s="313" t="n">
        <v>239.99</v>
      </c>
      <c r="B102" s="107" t="n">
        <v>200</v>
      </c>
      <c r="C102" s="107"/>
      <c r="D102" s="107" t="n">
        <v>200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268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269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270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0.2</v>
      </c>
      <c r="C105" s="314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271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344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217" t="s">
        <v>293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294</v>
      </c>
      <c r="B110" s="222" t="s">
        <v>19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214" t="s">
        <v>294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0</v>
      </c>
      <c r="E113" s="107" t="n">
        <v>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0</v>
      </c>
      <c r="E114" s="167" t="n">
        <f aca="false">E112-E113</f>
        <v>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((E118)+E117)-E114</f>
        <v>1239.99</v>
      </c>
      <c r="F119" s="63"/>
      <c r="G119" s="315" t="s">
        <v>295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295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217" t="s">
        <v>296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35</v>
      </c>
      <c r="C125" s="325"/>
      <c r="D125" s="324" t="n">
        <f aca="false">B160</f>
        <v>35000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299</v>
      </c>
      <c r="H126" s="328" t="s">
        <v>300</v>
      </c>
      <c r="I126" s="328"/>
      <c r="J126" s="328" t="s">
        <v>301</v>
      </c>
      <c r="K126" s="216"/>
      <c r="L126" s="63"/>
      <c r="M126" s="327" t="s">
        <v>345</v>
      </c>
      <c r="N126" s="328" t="s">
        <v>253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333" t="n">
        <f aca="false">H90</f>
        <v>728.459852313271</v>
      </c>
      <c r="H127" s="177" t="n">
        <f aca="false">IF(G105="YES", H89*H57, 0)</f>
        <v>0</v>
      </c>
      <c r="I127" s="177"/>
      <c r="J127" s="334" t="n">
        <f aca="false">H91</f>
        <v>728.459852313271</v>
      </c>
      <c r="K127" s="216"/>
      <c r="L127" s="63"/>
      <c r="M127" s="333" t="n">
        <f aca="false">N90</f>
        <v>599.581051190034</v>
      </c>
      <c r="N127" s="177" t="n">
        <f aca="false">IF(M105="YES", N89*N57, 0)</f>
        <v>0</v>
      </c>
      <c r="O127" s="177"/>
      <c r="P127" s="177" t="n">
        <f aca="false">N91</f>
        <v>599.581051190034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945.46639226693</v>
      </c>
      <c r="B128" s="321" t="n">
        <f aca="false">IF(A105="YES", B89, 0)</f>
        <v>0</v>
      </c>
      <c r="C128" s="325"/>
      <c r="D128" s="321" t="n">
        <f aca="false">B91</f>
        <v>945.46639226693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228" t="n">
        <f aca="false">G152</f>
        <v>35</v>
      </c>
      <c r="H130" s="229" t="n">
        <f aca="false">B151</f>
        <v>0</v>
      </c>
      <c r="I130" s="230"/>
      <c r="J130" s="229" t="n">
        <f aca="false">B58</f>
        <v>34</v>
      </c>
      <c r="K130" s="216"/>
      <c r="L130" s="63"/>
      <c r="M130" s="228" t="n">
        <f aca="false">M155</f>
        <v>35</v>
      </c>
      <c r="N130" s="229" t="n">
        <f aca="false">B151</f>
        <v>0</v>
      </c>
      <c r="O130" s="230"/>
      <c r="P130" s="229" t="n">
        <f aca="false">B58</f>
        <v>34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945.46639226693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214" t="s">
        <v>346</v>
      </c>
      <c r="N132" s="215" t="s">
        <v>242</v>
      </c>
      <c r="O132" s="215"/>
      <c r="P132" s="215" t="s">
        <v>246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4370.75911387963</v>
      </c>
      <c r="H133" s="103" t="n">
        <f aca="false">IF(G105="YES", H89*H57, 0)</f>
        <v>0</v>
      </c>
      <c r="I133" s="221"/>
      <c r="J133" s="184" t="n">
        <f aca="false">H91*H57</f>
        <v>4370.75911387963</v>
      </c>
      <c r="K133" s="216"/>
      <c r="L133" s="63"/>
      <c r="M133" s="185" t="n">
        <f aca="false">N90*N57</f>
        <v>3597.4863071402</v>
      </c>
      <c r="N133" s="103" t="n">
        <f aca="false">IF(M105="YES", N89*N57, 0)</f>
        <v>0</v>
      </c>
      <c r="O133" s="221"/>
      <c r="P133" s="184" t="n">
        <f aca="false">N91*N57</f>
        <v>3597.4863071402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945.46639226693</v>
      </c>
      <c r="B134" s="38" t="n">
        <f aca="false">E114</f>
        <v>0</v>
      </c>
      <c r="C134" s="317"/>
      <c r="D134" s="337" t="n">
        <f aca="false">B58</f>
        <v>34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214" t="s">
        <v>255</v>
      </c>
      <c r="N135" s="215" t="s">
        <v>256</v>
      </c>
      <c r="O135" s="215"/>
      <c r="P135" s="215" t="s">
        <v>260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945.46639226693</v>
      </c>
      <c r="B137" s="38" t="n">
        <f aca="false">IF(A105="YES", B89, 0)</f>
        <v>0</v>
      </c>
      <c r="C137" s="317"/>
      <c r="D137" s="38" t="n">
        <f aca="false">B91</f>
        <v>945.46639226693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214" t="s">
        <v>139</v>
      </c>
      <c r="N138" s="215" t="s">
        <v>313</v>
      </c>
      <c r="O138" s="215"/>
      <c r="P138" s="215" t="s">
        <v>314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26.93088</v>
      </c>
      <c r="B140" s="343" t="n">
        <f aca="false">IF(A105="YES", B61*0.000002, 0)*1.2*100</f>
        <v>8.97696</v>
      </c>
      <c r="C140" s="317"/>
      <c r="D140" s="343" t="n">
        <f aca="false">A140+B140</f>
        <v>35.90784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214" t="s">
        <v>316</v>
      </c>
      <c r="N141" s="215" t="s">
        <v>317</v>
      </c>
      <c r="O141" s="215"/>
      <c r="P141" s="215" t="s">
        <v>318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((B36*H105)*0.1)*(G130), 0)</f>
        <v>0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0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239.99</v>
      </c>
      <c r="C143" s="317"/>
      <c r="D143" s="151" t="n">
        <f aca="false">B102</f>
        <v>200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214" t="s">
        <v>320</v>
      </c>
      <c r="N144" s="215" t="s">
        <v>321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347</v>
      </c>
      <c r="N147" s="166" t="s">
        <v>348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492.520755</v>
      </c>
      <c r="B148" s="103" t="n">
        <f aca="false">B102</f>
        <v>200</v>
      </c>
      <c r="C148" s="38"/>
      <c r="D148" s="38" t="n">
        <f aca="false">IF(A105="YES", (B40*B105)*B125, 0)*0.1</f>
        <v>0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(E118/1.2)-100</f>
        <v>99.9916666666667</v>
      </c>
      <c r="B151" s="38" t="n">
        <f aca="false">(A148+B148+D148+A151)*(A143/B64)</f>
        <v>0</v>
      </c>
      <c r="C151" s="38"/>
      <c r="D151" s="38" t="n">
        <f aca="false">(A148+B148+D148+A151)-B151</f>
        <v>792.512421666667</v>
      </c>
      <c r="E151" s="105"/>
      <c r="F151" s="63"/>
      <c r="G151" s="250"/>
      <c r="H151" s="252" t="n">
        <f aca="false">B51</f>
        <v>35000</v>
      </c>
      <c r="I151" s="252"/>
      <c r="J151" s="215"/>
      <c r="K151" s="216"/>
      <c r="L151" s="63"/>
      <c r="M151" s="281" t="s">
        <v>326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35</v>
      </c>
      <c r="H152" s="74" t="n">
        <f aca="false">H91</f>
        <v>728.459852313271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35000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35</v>
      </c>
      <c r="N155" s="74" t="n">
        <f aca="false">N91</f>
        <v>599.581051190034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35000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35</v>
      </c>
      <c r="B161" s="74" t="n">
        <f aca="false">B91</f>
        <v>945.46639226693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24" t="n">
        <f aca="false">A161</f>
        <v>35</v>
      </c>
      <c r="C174" s="357"/>
      <c r="D174" s="324" t="n">
        <f aca="false">D125</f>
        <v>35000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945.46639226693</v>
      </c>
      <c r="B177" s="355" t="n">
        <f aca="false">IF(A105="YES", B89, 0)</f>
        <v>0</v>
      </c>
      <c r="C177" s="357"/>
      <c r="D177" s="355" t="n">
        <f aca="false">B91</f>
        <v>945.46639226693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945.46639226693</v>
      </c>
      <c r="C180" s="353"/>
      <c r="D180" s="103" t="n">
        <f aca="false">IF(A105="YES", B89*B57,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945.46639226693</v>
      </c>
      <c r="B183" s="103" t="n">
        <f aca="false">E114</f>
        <v>0</v>
      </c>
      <c r="C183" s="353"/>
      <c r="D183" s="361" t="n">
        <f aca="false">B58</f>
        <v>34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945.46639226693</v>
      </c>
      <c r="B186" s="103" t="n">
        <f aca="false">IF(A105="YES", B89, 0)</f>
        <v>0</v>
      </c>
      <c r="C186" s="353"/>
      <c r="D186" s="103" t="n">
        <f aca="false">B91</f>
        <v>945.46639226693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26.93088</v>
      </c>
      <c r="B189" s="365" t="n">
        <f aca="false">B140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239.99</v>
      </c>
      <c r="C192" s="353"/>
      <c r="D192" s="151" t="n">
        <f aca="false">B102</f>
        <v>200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492.520755</v>
      </c>
      <c r="B197" s="103" t="n">
        <f aca="false">B102</f>
        <v>200</v>
      </c>
      <c r="C197" s="103"/>
      <c r="D197" s="103" t="n">
        <f aca="false">IF(A105="YES", (B40*B105)*B125,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E118/1.2-100</f>
        <v>99.9916666666667</v>
      </c>
      <c r="B200" s="103" t="n">
        <f aca="false">(A148+B148+D148+A151)*(A143/B64)</f>
        <v>0</v>
      </c>
      <c r="C200" s="103"/>
      <c r="D200" s="103" t="n">
        <f aca="false">(A148+B148+D148+A151)-B151</f>
        <v>792.512421666667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D64</f>
        <v>2604.0725025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492.520755</v>
      </c>
      <c r="C211" s="320" t="s">
        <v>217</v>
      </c>
      <c r="D211" s="370" t="n">
        <f aca="false">B225+E221+B221+B223</f>
        <v>319.991666666667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2431.54341416667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2604.0725025</v>
      </c>
      <c r="C217" s="375" t="s">
        <v>221</v>
      </c>
      <c r="D217" s="317"/>
      <c r="E217" s="376" t="n">
        <f aca="false">B66</f>
        <v>0.0195833333333333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492.520755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(B77-(B77*(E219*100)))*0.1</f>
        <v>20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B78-(B78*(E219*100))</f>
        <v>200</v>
      </c>
      <c r="C223" s="336" t="s">
        <v>218</v>
      </c>
      <c r="D223" s="317"/>
      <c r="E223" s="33" t="n">
        <f aca="false">(B217-B211+D211)</f>
        <v>2431.54341416667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200</v>
      </c>
      <c r="C229" s="336" t="s">
        <v>226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375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231.964015727416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200</v>
      </c>
      <c r="C233" s="382" t="s">
        <v>333</v>
      </c>
      <c r="D233" s="383"/>
      <c r="E233" s="149" t="n">
        <f aca="false">B74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200</v>
      </c>
      <c r="C235" s="386" t="s">
        <v>334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6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388"/>
      <c r="G1" s="388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01"/>
      <c r="B2" s="482" t="s">
        <v>143</v>
      </c>
      <c r="C2" s="482" t="s">
        <v>144</v>
      </c>
      <c r="D2" s="482" t="s">
        <v>145</v>
      </c>
      <c r="E2" s="483" t="s">
        <v>146</v>
      </c>
      <c r="F2" s="388"/>
      <c r="G2" s="388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316" t="s">
        <v>149</v>
      </c>
      <c r="B3" s="484" t="n">
        <v>16745</v>
      </c>
      <c r="C3" s="484" t="n">
        <v>0</v>
      </c>
      <c r="D3" s="484" t="n">
        <v>0</v>
      </c>
      <c r="E3" s="442" t="n">
        <v>0</v>
      </c>
      <c r="F3" s="388"/>
      <c r="G3" s="388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316" t="s">
        <v>150</v>
      </c>
      <c r="B4" s="485" t="n">
        <v>0</v>
      </c>
      <c r="C4" s="485" t="n">
        <v>0</v>
      </c>
      <c r="D4" s="485" t="n">
        <v>0</v>
      </c>
      <c r="E4" s="376"/>
      <c r="F4" s="388"/>
      <c r="G4" s="388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316" t="s">
        <v>151</v>
      </c>
      <c r="B5" s="484" t="n">
        <v>0</v>
      </c>
      <c r="C5" s="484" t="n">
        <v>0</v>
      </c>
      <c r="D5" s="484" t="n">
        <v>0</v>
      </c>
      <c r="E5" s="33"/>
      <c r="F5" s="388"/>
      <c r="G5" s="388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316" t="s">
        <v>152</v>
      </c>
      <c r="B6" s="32" t="n">
        <f aca="false">(B3*B4/100)+B5</f>
        <v>0</v>
      </c>
      <c r="C6" s="32" t="n">
        <f aca="false">(C3*C4/100)+C5</f>
        <v>0</v>
      </c>
      <c r="D6" s="32" t="n">
        <f aca="false">(D3*D4/100)+D5</f>
        <v>0</v>
      </c>
      <c r="E6" s="33"/>
      <c r="F6" s="388"/>
      <c r="G6" s="388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316" t="s">
        <v>153</v>
      </c>
      <c r="B7" s="32" t="n">
        <f aca="false">B3-B6</f>
        <v>16745</v>
      </c>
      <c r="C7" s="32" t="n">
        <f aca="false">C3-C6</f>
        <v>0</v>
      </c>
      <c r="D7" s="32" t="n">
        <f aca="false">D3-D6</f>
        <v>0</v>
      </c>
      <c r="E7" s="33"/>
      <c r="F7" s="388"/>
      <c r="G7" s="388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316"/>
      <c r="B8" s="317"/>
      <c r="C8" s="317"/>
      <c r="D8" s="317"/>
      <c r="E8" s="318"/>
      <c r="F8" s="388"/>
      <c r="G8" s="388"/>
      <c r="H8" s="388"/>
      <c r="I8" s="13" t="s">
        <v>3</v>
      </c>
      <c r="J8" s="14" t="n">
        <f aca="false">E13+E14</f>
        <v>340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487" t="n">
        <f aca="false">B7+C7+D7+E3</f>
        <v>16745</v>
      </c>
      <c r="F9" s="388"/>
      <c r="G9" s="388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42" t="n">
        <v>695</v>
      </c>
      <c r="F10" s="388"/>
      <c r="G10" s="388"/>
      <c r="H10" s="388"/>
      <c r="I10" s="16" t="s">
        <v>1</v>
      </c>
      <c r="J10" s="14" t="n">
        <f aca="false">E15-E11-J8</f>
        <v>17440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3" t="n">
        <f aca="false">(E9+E10)*20%</f>
        <v>3488</v>
      </c>
      <c r="F11" s="388"/>
      <c r="G11" s="388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42" t="n">
        <v>0</v>
      </c>
      <c r="F12" s="388"/>
      <c r="G12" s="388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42" t="n">
        <v>275</v>
      </c>
      <c r="F13" s="388"/>
      <c r="G13" s="388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42" t="n">
        <v>65</v>
      </c>
      <c r="F14" s="388"/>
      <c r="G14" s="388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444" t="n">
        <f aca="false">(E9+E10+E13+E14+E11)-E12</f>
        <v>21268</v>
      </c>
      <c r="F15" s="388"/>
      <c r="G15" s="17" t="n">
        <f aca="false">E15</f>
        <v>21268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42" t="n">
        <v>0</v>
      </c>
      <c r="F16" s="388"/>
      <c r="G16" s="388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318"/>
      <c r="F17" s="388"/>
      <c r="G17" s="388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445" t="n">
        <v>0</v>
      </c>
      <c r="F18" s="388"/>
      <c r="G18" s="17" t="n">
        <f aca="false">(B3+C3+D3+E3+E10)*1.2</f>
        <v>20928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445" t="n">
        <v>0</v>
      </c>
      <c r="F19" s="388"/>
      <c r="G19" s="388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445" t="n">
        <v>0</v>
      </c>
      <c r="F20" s="388"/>
      <c r="G20" s="388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447" t="n">
        <f aca="false">E15-((E18*1.2)+(E19*1.2)+(E20*1.2)+(E16*1.2))</f>
        <v>21268</v>
      </c>
      <c r="F21" s="388"/>
      <c r="G21" s="388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237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239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240</v>
      </c>
      <c r="B29" s="223" t="n">
        <v>12345</v>
      </c>
      <c r="C29" s="223"/>
      <c r="D29" s="390" t="n">
        <f aca="true">TODAY()+1</f>
        <v>45295</v>
      </c>
      <c r="E29" s="390"/>
      <c r="F29" s="388"/>
      <c r="G29" s="29" t="s">
        <v>28</v>
      </c>
      <c r="H29" s="37" t="n">
        <f aca="false">A32</f>
        <v>12</v>
      </c>
      <c r="I29" s="388"/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</v>
      </c>
      <c r="B32" s="223" t="n">
        <v>5000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600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42</v>
      </c>
      <c r="B34" s="231" t="s">
        <v>48</v>
      </c>
      <c r="C34" s="230" t="s">
        <v>43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17780</v>
      </c>
      <c r="B35" s="223" t="s">
        <v>45</v>
      </c>
      <c r="C35" s="223"/>
      <c r="D35" s="279" t="n">
        <f aca="false">A35-B35</f>
        <v>16780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45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42</v>
      </c>
      <c r="B38" s="241" t="n">
        <f aca="false">A32-1</f>
        <v>11</v>
      </c>
      <c r="C38" s="241"/>
      <c r="D38" s="104" t="s">
        <v>57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57</v>
      </c>
      <c r="G40" s="2" t="s">
        <v>58</v>
      </c>
      <c r="H40" s="2" t="n">
        <f aca="false">E11</f>
        <v>3488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336</v>
      </c>
      <c r="B41" s="104" t="s">
        <v>337</v>
      </c>
      <c r="C41" s="104"/>
      <c r="D41" s="223" t="s">
        <v>18</v>
      </c>
      <c r="E41" s="223"/>
      <c r="F41" s="388"/>
      <c r="G41" s="2" t="s">
        <v>59</v>
      </c>
      <c r="H41" s="2" t="str">
        <f aca="false">IF(D41="Yes",A44, 0)</f>
        <v>50</v>
      </c>
      <c r="I41" s="2"/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337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s">
        <v>233</v>
      </c>
      <c r="B44" s="104" t="s">
        <v>338</v>
      </c>
      <c r="C44" s="104"/>
      <c r="D44" s="104" t="s">
        <v>338</v>
      </c>
      <c r="E44" s="104"/>
      <c r="F44" s="388"/>
      <c r="G44" s="2" t="s">
        <v>65</v>
      </c>
      <c r="H44" s="2" t="n">
        <f aca="false">((H40-(((H42/(1.2))*0.2)))/(H43))</f>
        <v>207.333333333333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342.666666666667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339</v>
      </c>
      <c r="B46" s="230" t="s">
        <v>340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339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345.333333333333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30"/>
      <c r="E50" s="243"/>
      <c r="F50" s="388"/>
      <c r="G50" s="2" t="s">
        <v>341</v>
      </c>
      <c r="H50" s="2" t="n">
        <f aca="false">H49-H41</f>
        <v>295.333333333333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H49</f>
        <v>345.333333333333</v>
      </c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339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345.333333333333</v>
      </c>
      <c r="C58" s="74"/>
      <c r="D58" s="353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1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11</v>
      </c>
      <c r="C64" s="317"/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316"/>
      <c r="B66" s="317"/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316" t="s">
        <v>14</v>
      </c>
      <c r="B67" s="32" t="n">
        <f aca="false">G18</f>
        <v>20928</v>
      </c>
      <c r="C67" s="317"/>
      <c r="D67" s="317"/>
      <c r="E67" s="318"/>
      <c r="F67" s="388"/>
      <c r="G67" s="316" t="s">
        <v>14</v>
      </c>
      <c r="H67" s="32" t="n">
        <f aca="false">G18</f>
        <v>20928</v>
      </c>
      <c r="I67" s="317"/>
      <c r="J67" s="317"/>
      <c r="K67" s="318"/>
      <c r="L67" s="388"/>
      <c r="M67" s="316" t="s">
        <v>14</v>
      </c>
      <c r="N67" s="32" t="n">
        <f aca="false">G18</f>
        <v>20928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399" t="s">
        <v>278</v>
      </c>
      <c r="B68" s="400" t="n">
        <v>0.07</v>
      </c>
      <c r="C68" s="317"/>
      <c r="D68" s="317"/>
      <c r="E68" s="318"/>
      <c r="F68" s="388"/>
      <c r="G68" s="399" t="s">
        <v>278</v>
      </c>
      <c r="H68" s="400" t="n">
        <v>0.07</v>
      </c>
      <c r="I68" s="317"/>
      <c r="J68" s="317"/>
      <c r="K68" s="318"/>
      <c r="L68" s="388"/>
      <c r="M68" s="399" t="s">
        <v>278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316" t="s">
        <v>279</v>
      </c>
      <c r="B69" s="376" t="n">
        <f aca="false">B68+(B68*0.25*(H29/12-1))</f>
        <v>0.07</v>
      </c>
      <c r="C69" s="317"/>
      <c r="D69" s="317"/>
      <c r="E69" s="318"/>
      <c r="F69" s="388"/>
      <c r="G69" s="316" t="s">
        <v>279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279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366" t="s">
        <v>90</v>
      </c>
      <c r="B70" s="65" t="n">
        <f aca="false">B67*B69</f>
        <v>1464.96</v>
      </c>
      <c r="C70" s="317" t="n">
        <v>10000</v>
      </c>
      <c r="D70" s="32" t="n">
        <f aca="false">B70-A149</f>
        <v>1464.96</v>
      </c>
      <c r="E70" s="318" t="n">
        <f aca="false">D70/12</f>
        <v>122.08</v>
      </c>
      <c r="F70" s="388"/>
      <c r="G70" s="366" t="s">
        <v>90</v>
      </c>
      <c r="H70" s="65" t="n">
        <f aca="false">H67*H69</f>
        <v>1464.96</v>
      </c>
      <c r="I70" s="317"/>
      <c r="J70" s="32" t="n">
        <f aca="false">H70-G151</f>
        <v>1464.96</v>
      </c>
      <c r="K70" s="318"/>
      <c r="L70" s="388"/>
      <c r="M70" s="366" t="s">
        <v>90</v>
      </c>
      <c r="N70" s="65" t="n">
        <f aca="false">N67*N69</f>
        <v>1464.96</v>
      </c>
      <c r="O70" s="317"/>
      <c r="P70" s="32" t="n">
        <f aca="false">N70-M151</f>
        <v>1464.96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399" t="s">
        <v>91</v>
      </c>
      <c r="B71" s="400" t="n">
        <v>0.01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316" t="s">
        <v>92</v>
      </c>
      <c r="B72" s="376" t="n">
        <f aca="false">B71+(B71*0.5*(H29/12-1))</f>
        <v>0.01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366" t="s">
        <v>93</v>
      </c>
      <c r="B73" s="65" t="n">
        <f aca="false">B67*B72</f>
        <v>209.28</v>
      </c>
      <c r="C73" s="317"/>
      <c r="D73" s="32"/>
      <c r="E73" s="318"/>
      <c r="F73" s="388"/>
      <c r="G73" s="366" t="s">
        <v>93</v>
      </c>
      <c r="H73" s="65" t="n">
        <f aca="false">H67*H72</f>
        <v>104.64</v>
      </c>
      <c r="I73" s="317"/>
      <c r="J73" s="32"/>
      <c r="K73" s="318"/>
      <c r="L73" s="388"/>
      <c r="M73" s="366" t="s">
        <v>93</v>
      </c>
      <c r="N73" s="65" t="n">
        <f aca="false">N67*N72</f>
        <v>104.64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200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5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60</v>
      </c>
      <c r="C79" s="317"/>
      <c r="D79" s="32" t="n">
        <f aca="false">B79+B77</f>
        <v>260</v>
      </c>
      <c r="E79" s="404" t="n">
        <f aca="false">D79+D85+D86</f>
        <v>660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280</v>
      </c>
      <c r="B80" s="86" t="n">
        <v>0</v>
      </c>
      <c r="C80" s="317"/>
      <c r="D80" s="317"/>
      <c r="E80" s="404" t="n">
        <f aca="false">E79+D82</f>
        <v>660</v>
      </c>
      <c r="F80" s="388"/>
      <c r="G80" s="399" t="s">
        <v>280</v>
      </c>
      <c r="H80" s="86" t="n">
        <v>150</v>
      </c>
      <c r="I80" s="317"/>
      <c r="J80" s="317"/>
      <c r="K80" s="318"/>
      <c r="L80" s="388"/>
      <c r="M80" s="405" t="s">
        <v>280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281</v>
      </c>
      <c r="B81" s="77" t="n">
        <v>0</v>
      </c>
      <c r="C81" s="317"/>
      <c r="D81" s="317"/>
      <c r="E81" s="318" t="n">
        <f aca="false">E80/12</f>
        <v>55</v>
      </c>
      <c r="F81" s="388"/>
      <c r="G81" s="401" t="s">
        <v>281</v>
      </c>
      <c r="H81" s="77" t="n">
        <f aca="false">IF(G18&gt;40000, 325, 0)</f>
        <v>0</v>
      </c>
      <c r="I81" s="317"/>
      <c r="J81" s="317"/>
      <c r="K81" s="318"/>
      <c r="L81" s="388"/>
      <c r="M81" s="407" t="s">
        <v>281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282</v>
      </c>
      <c r="B82" s="65" t="n">
        <f aca="false">((B80+B81)/12)*(H29-11)</f>
        <v>0</v>
      </c>
      <c r="C82" s="317"/>
      <c r="D82" s="32" t="n">
        <f aca="false">IF(A50="YES", 0, B82)</f>
        <v>0</v>
      </c>
      <c r="E82" s="318"/>
      <c r="F82" s="388"/>
      <c r="G82" s="366" t="s">
        <v>282</v>
      </c>
      <c r="H82" s="65" t="n">
        <f aca="false">((H80+H81)/12)*(H29-11)</f>
        <v>12.5</v>
      </c>
      <c r="I82" s="317"/>
      <c r="J82" s="32" t="n">
        <f aca="false">IF(A50="YES", 0, H82)</f>
        <v>12.5</v>
      </c>
      <c r="K82" s="318"/>
      <c r="L82" s="388"/>
      <c r="M82" s="409" t="s">
        <v>282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283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283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283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342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284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284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200</v>
      </c>
      <c r="C85" s="317"/>
      <c r="D85" s="32" t="n">
        <f aca="false">B85</f>
        <v>200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200</v>
      </c>
      <c r="C86" s="317"/>
      <c r="D86" s="32" t="n">
        <f aca="false">B86</f>
        <v>200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2791.62666666667</v>
      </c>
      <c r="C87" s="317"/>
      <c r="D87" s="317"/>
      <c r="E87" s="318"/>
      <c r="F87" s="388"/>
      <c r="G87" s="412" t="s">
        <v>102</v>
      </c>
      <c r="H87" s="413" t="n">
        <f aca="false">SUM(J70:J86)</f>
        <v>4591.46</v>
      </c>
      <c r="I87" s="317"/>
      <c r="J87" s="317"/>
      <c r="K87" s="318"/>
      <c r="L87" s="388"/>
      <c r="M87" s="412" t="s">
        <v>102</v>
      </c>
      <c r="N87" s="413" t="n">
        <f aca="false">SUM(P70:P86)</f>
        <v>4578.96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232.635555555556</v>
      </c>
      <c r="C88" s="317"/>
      <c r="D88" s="317"/>
      <c r="E88" s="318"/>
      <c r="F88" s="388"/>
      <c r="G88" s="316" t="s">
        <v>103</v>
      </c>
      <c r="H88" s="33" t="n">
        <f aca="false">H87/H29</f>
        <v>382.621666666667</v>
      </c>
      <c r="I88" s="317"/>
      <c r="J88" s="317"/>
      <c r="K88" s="318"/>
      <c r="L88" s="388"/>
      <c r="M88" s="316" t="s">
        <v>103</v>
      </c>
      <c r="N88" s="33" t="n">
        <f aca="false">N87/H29</f>
        <v>381.58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295.333333333333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((B89*H29)+B87)*1.2</f>
        <v>7602.752</v>
      </c>
      <c r="C91" s="317"/>
      <c r="D91" s="317"/>
      <c r="E91" s="318"/>
      <c r="F91" s="388"/>
      <c r="G91" s="396" t="s">
        <v>114</v>
      </c>
      <c r="H91" s="27" t="n">
        <f aca="false">((H89*H29)+H87)*1.2</f>
        <v>5509.752</v>
      </c>
      <c r="I91" s="317"/>
      <c r="J91" s="317"/>
      <c r="K91" s="318"/>
      <c r="L91" s="388"/>
      <c r="M91" s="396" t="s">
        <v>114</v>
      </c>
      <c r="N91" s="27" t="n">
        <f aca="false">((N89*H29)+N87)</f>
        <v>4578.96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53.6700927793465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38.8949818475192</v>
      </c>
      <c r="I92" s="317"/>
      <c r="J92" s="317"/>
      <c r="K92" s="318"/>
      <c r="L92" s="388"/>
      <c r="M92" s="316" t="s">
        <v>115</v>
      </c>
      <c r="N92" s="33" t="n">
        <f aca="false">(N91/(1-N76))*N76</f>
        <v>38.789092375958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7656.42209277935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7548.64698184752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6617.74909237596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IF(B105=Z104,(((H41*A32)+(H41*A32)*(B111/100))/(B64)),(((H41*A32)+(H41*A32)*(B111/100))/(B63+B64)))*1.2</f>
        <v>78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638.035174398279</v>
      </c>
      <c r="C96" s="317"/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716.035174398279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388"/>
      <c r="G100" s="213" t="s">
        <v>285</v>
      </c>
      <c r="H100" s="213"/>
      <c r="I100" s="213"/>
      <c r="J100" s="213"/>
      <c r="K100" s="213"/>
      <c r="L100" s="388"/>
      <c r="M100" s="213" t="s">
        <v>343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286</v>
      </c>
      <c r="E104" s="318"/>
      <c r="F104" s="388"/>
      <c r="G104" s="316" t="s">
        <v>125</v>
      </c>
      <c r="H104" s="317" t="s">
        <v>23</v>
      </c>
      <c r="I104" s="317"/>
      <c r="J104" s="317" t="s">
        <v>286</v>
      </c>
      <c r="K104" s="318"/>
      <c r="L104" s="388"/>
      <c r="M104" s="316" t="s">
        <v>125</v>
      </c>
      <c r="N104" s="317" t="s">
        <v>23</v>
      </c>
      <c r="O104" s="317"/>
      <c r="P104" s="317" t="s">
        <v>286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264</v>
      </c>
    </row>
    <row r="105" customFormat="false" ht="18.75" hidden="false" customHeight="true" outlineLevel="0" collapsed="false">
      <c r="A105" s="374"/>
      <c r="B105" s="312" t="s">
        <v>128</v>
      </c>
      <c r="C105" s="312"/>
      <c r="D105" s="421" t="n">
        <v>1000</v>
      </c>
      <c r="E105" s="421"/>
      <c r="F105" s="388"/>
      <c r="G105" s="374" t="s">
        <v>287</v>
      </c>
      <c r="H105" s="312" t="s">
        <v>269</v>
      </c>
      <c r="I105" s="312"/>
      <c r="J105" s="421" t="n">
        <v>5000</v>
      </c>
      <c r="K105" s="421"/>
      <c r="L105" s="388"/>
      <c r="M105" s="374" t="s">
        <v>287</v>
      </c>
      <c r="N105" s="312" t="s">
        <v>268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265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266</v>
      </c>
    </row>
    <row r="107" customFormat="false" ht="18.75" hidden="false" customHeight="true" outlineLevel="0" collapsed="false">
      <c r="A107" s="316" t="s">
        <v>289</v>
      </c>
      <c r="B107" s="317" t="s">
        <v>290</v>
      </c>
      <c r="C107" s="317"/>
      <c r="D107" s="317" t="s">
        <v>291</v>
      </c>
      <c r="E107" s="318"/>
      <c r="F107" s="388"/>
      <c r="G107" s="316" t="s">
        <v>289</v>
      </c>
      <c r="H107" s="317" t="s">
        <v>290</v>
      </c>
      <c r="I107" s="317"/>
      <c r="J107" s="317" t="s">
        <v>291</v>
      </c>
      <c r="K107" s="318"/>
      <c r="L107" s="388"/>
      <c r="M107" s="316" t="s">
        <v>289</v>
      </c>
      <c r="N107" s="317" t="s">
        <v>290</v>
      </c>
      <c r="O107" s="317"/>
      <c r="P107" s="317" t="s">
        <v>291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267</v>
      </c>
    </row>
    <row r="108" customFormat="false" ht="18.75" hidden="false" customHeight="true" outlineLevel="0" collapsed="false">
      <c r="A108" s="313" t="n">
        <v>239.99</v>
      </c>
      <c r="B108" s="107" t="n">
        <v>400</v>
      </c>
      <c r="C108" s="107"/>
      <c r="D108" s="107" t="n">
        <v>200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268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269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270</v>
      </c>
    </row>
    <row r="111" customFormat="false" ht="18.75" hidden="false" customHeight="true" outlineLevel="0" collapsed="false">
      <c r="A111" s="389" t="s">
        <v>18</v>
      </c>
      <c r="B111" s="312" t="n">
        <v>30</v>
      </c>
      <c r="C111" s="312"/>
      <c r="D111" s="107" t="n">
        <v>200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271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344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388"/>
      <c r="G114" s="217" t="s">
        <v>293</v>
      </c>
      <c r="H114" s="217"/>
      <c r="I114" s="217"/>
      <c r="J114" s="217"/>
      <c r="K114" s="217"/>
      <c r="L114" s="388"/>
      <c r="M114" s="217" t="s">
        <v>293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294</v>
      </c>
      <c r="B116" s="389" t="s">
        <v>19</v>
      </c>
      <c r="C116" s="317"/>
      <c r="D116" s="317"/>
      <c r="E116" s="318"/>
      <c r="F116" s="388"/>
      <c r="G116" s="316" t="s">
        <v>294</v>
      </c>
      <c r="H116" s="389" t="s">
        <v>18</v>
      </c>
      <c r="I116" s="317"/>
      <c r="J116" s="317"/>
      <c r="K116" s="318"/>
      <c r="L116" s="388"/>
      <c r="M116" s="316" t="s">
        <v>294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</v>
      </c>
      <c r="E118" s="107" t="n">
        <v>6000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239.99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295</v>
      </c>
      <c r="B125" s="367"/>
      <c r="C125" s="367"/>
      <c r="D125" s="367"/>
      <c r="E125" s="65" t="n">
        <f aca="false">(E124+E123)-E120</f>
        <v>-2760.01</v>
      </c>
      <c r="F125" s="388"/>
      <c r="G125" s="422" t="s">
        <v>295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295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388"/>
      <c r="G128" s="217" t="s">
        <v>296</v>
      </c>
      <c r="H128" s="217"/>
      <c r="I128" s="217"/>
      <c r="J128" s="217"/>
      <c r="K128" s="217"/>
      <c r="L128" s="388"/>
      <c r="M128" s="217" t="s">
        <v>296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11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11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638.035174398279</v>
      </c>
      <c r="B134" s="321" t="n">
        <f aca="false">IF(A111="YES", B95, 0)</f>
        <v>78</v>
      </c>
      <c r="C134" s="325"/>
      <c r="D134" s="321" t="n">
        <f aca="false">B97</f>
        <v>716.035174398279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299</v>
      </c>
      <c r="H135" s="424" t="s">
        <v>300</v>
      </c>
      <c r="I135" s="424"/>
      <c r="J135" s="424" t="s">
        <v>301</v>
      </c>
      <c r="K135" s="318"/>
      <c r="L135" s="388"/>
      <c r="M135" s="423" t="s">
        <v>345</v>
      </c>
      <c r="N135" s="424" t="s">
        <v>253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638.035174398279</v>
      </c>
      <c r="C137" s="317"/>
      <c r="D137" s="38" t="n">
        <f aca="false">IF(A111="YES", B95*B63, 0)</f>
        <v>78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304</v>
      </c>
      <c r="H138" s="317" t="s">
        <v>305</v>
      </c>
      <c r="I138" s="317"/>
      <c r="J138" s="317" t="s">
        <v>306</v>
      </c>
      <c r="K138" s="318"/>
      <c r="L138" s="388"/>
      <c r="M138" s="316" t="s">
        <v>346</v>
      </c>
      <c r="N138" s="317" t="s">
        <v>242</v>
      </c>
      <c r="O138" s="317"/>
      <c r="P138" s="317" t="s">
        <v>246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716.035174398279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309</v>
      </c>
      <c r="H141" s="317" t="s">
        <v>310</v>
      </c>
      <c r="I141" s="317"/>
      <c r="J141" s="317" t="s">
        <v>311</v>
      </c>
      <c r="K141" s="318"/>
      <c r="L141" s="388"/>
      <c r="M141" s="316" t="s">
        <v>255</v>
      </c>
      <c r="N141" s="317" t="s">
        <v>256</v>
      </c>
      <c r="O141" s="317"/>
      <c r="P141" s="317" t="s">
        <v>260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388"/>
      <c r="G142" s="111" t="n">
        <f aca="false">E15*0.000006</f>
        <v>0.127608</v>
      </c>
      <c r="H142" s="38" t="n">
        <f aca="false">IF(G111="YES", E15*0.000002, 0)</f>
        <v>0.042536</v>
      </c>
      <c r="I142" s="38"/>
      <c r="J142" s="38" t="n">
        <f aca="false">G142+H142</f>
        <v>0.170144</v>
      </c>
      <c r="K142" s="105"/>
      <c r="L142" s="388"/>
      <c r="M142" s="111" t="n">
        <f aca="false">E15*0.000006</f>
        <v>0.127608</v>
      </c>
      <c r="N142" s="38" t="n">
        <f aca="false">IF(M111="YES", E15*0.000002, 0)</f>
        <v>0.042536</v>
      </c>
      <c r="O142" s="38"/>
      <c r="P142" s="38" t="n">
        <f aca="false">M142+N142</f>
        <v>0.170144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638.035174398279</v>
      </c>
      <c r="B143" s="38" t="n">
        <f aca="false">IF(A111="YES", B95, 0)</f>
        <v>78</v>
      </c>
      <c r="C143" s="317"/>
      <c r="D143" s="38" t="n">
        <f aca="false">B97</f>
        <v>716.035174398279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312</v>
      </c>
      <c r="H144" s="317" t="s">
        <v>313</v>
      </c>
      <c r="I144" s="317"/>
      <c r="J144" s="317" t="s">
        <v>314</v>
      </c>
      <c r="K144" s="318"/>
      <c r="L144" s="388"/>
      <c r="M144" s="316" t="s">
        <v>139</v>
      </c>
      <c r="N144" s="317" t="s">
        <v>313</v>
      </c>
      <c r="O144" s="317"/>
      <c r="P144" s="317" t="s">
        <v>314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87.2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87.2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15.06816</v>
      </c>
      <c r="B146" s="343" t="n">
        <f aca="false">G18*0.000002 *1.2*100</f>
        <v>5.02272</v>
      </c>
      <c r="C146" s="317"/>
      <c r="D146" s="343" t="n">
        <f aca="false">A146+B146</f>
        <v>20.09088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316</v>
      </c>
      <c r="H147" s="317" t="s">
        <v>317</v>
      </c>
      <c r="I147" s="317"/>
      <c r="J147" s="317" t="s">
        <v>318</v>
      </c>
      <c r="K147" s="318"/>
      <c r="L147" s="388"/>
      <c r="M147" s="316" t="s">
        <v>316</v>
      </c>
      <c r="N147" s="317" t="s">
        <v>317</v>
      </c>
      <c r="O147" s="317"/>
      <c r="P147" s="317" t="s">
        <v>318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2747.188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2707.19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320</v>
      </c>
      <c r="H150" s="317" t="s">
        <v>321</v>
      </c>
      <c r="I150" s="317"/>
      <c r="J150" s="317"/>
      <c r="K150" s="318"/>
      <c r="L150" s="388"/>
      <c r="M150" s="316" t="s">
        <v>320</v>
      </c>
      <c r="N150" s="317" t="s">
        <v>321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347</v>
      </c>
      <c r="N153" s="39" t="s">
        <v>348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209.28</v>
      </c>
      <c r="B154" s="38" t="n">
        <f aca="false">B108</f>
        <v>400</v>
      </c>
      <c r="C154" s="38"/>
      <c r="D154" s="38" t="n">
        <f aca="false">IF(A111="YES", (A44/100*B111)*B131, 0)*0.1</f>
        <v>18</v>
      </c>
      <c r="E154" s="105"/>
      <c r="F154" s="388"/>
      <c r="G154" s="348" t="s">
        <v>326</v>
      </c>
      <c r="H154" s="317"/>
      <c r="I154" s="317"/>
      <c r="J154" s="349"/>
      <c r="K154" s="350"/>
      <c r="L154" s="388"/>
      <c r="M154" s="425" t="n">
        <f aca="false">H40</f>
        <v>3488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727.271666666667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326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716.035174398279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388"/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638.035174398279</v>
      </c>
      <c r="B177" s="355" t="n">
        <f aca="false">IF(A111="YES", B95, 0)</f>
        <v>78</v>
      </c>
      <c r="C177" s="357"/>
      <c r="D177" s="355" t="n">
        <f aca="false">A177+B177</f>
        <v>716.035174398279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638.035174398279</v>
      </c>
      <c r="C180" s="353"/>
      <c r="D180" s="103" t="n">
        <f aca="false">IF(A111="YES", B95*B63, 0)</f>
        <v>78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716.035174398279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638.035174398279</v>
      </c>
      <c r="B186" s="103" t="n">
        <f aca="false">IF(A111="YES", B95, 0)</f>
        <v>78</v>
      </c>
      <c r="C186" s="353"/>
      <c r="D186" s="103" t="n">
        <f aca="false">B97</f>
        <v>716.035174398279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15.06816</v>
      </c>
      <c r="B189" s="365" t="n">
        <f aca="false">G18*0.000002 *1.2*100</f>
        <v>5.02272</v>
      </c>
      <c r="C189" s="353"/>
      <c r="D189" s="365" t="n">
        <f aca="false">A189+B189</f>
        <v>20.09088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209.28</v>
      </c>
      <c r="B197" s="103" t="n">
        <f aca="false">B108</f>
        <v>400</v>
      </c>
      <c r="C197" s="103"/>
      <c r="D197" s="103" t="n">
        <f aca="false">IF(A111="YES", (A44/100*B111)*B131, 0)*0.1</f>
        <v>18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727.271666666667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G201" s="388"/>
      <c r="H201" s="388"/>
      <c r="I201" s="388"/>
      <c r="J201" s="388"/>
      <c r="K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388"/>
      <c r="G202" s="388"/>
      <c r="H202" s="388"/>
      <c r="I202" s="388"/>
      <c r="J202" s="388"/>
      <c r="K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G203" s="388"/>
      <c r="H203" s="388"/>
      <c r="I203" s="388"/>
      <c r="J203" s="388"/>
      <c r="K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G204" s="388"/>
      <c r="H204" s="388"/>
      <c r="I204" s="388"/>
      <c r="J204" s="388"/>
      <c r="K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G205" s="388"/>
      <c r="H205" s="388"/>
      <c r="I205" s="388"/>
      <c r="J205" s="388"/>
      <c r="K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G206" s="388"/>
      <c r="H206" s="388"/>
      <c r="I206" s="388"/>
      <c r="J206" s="388"/>
      <c r="K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G207" s="388"/>
      <c r="H207" s="388"/>
      <c r="I207" s="388"/>
      <c r="J207" s="388"/>
      <c r="K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G208" s="388"/>
      <c r="H208" s="388"/>
      <c r="I208" s="388"/>
      <c r="J208" s="388"/>
      <c r="K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1464.96</v>
      </c>
      <c r="E209" s="322"/>
      <c r="F209" s="388"/>
      <c r="G209" s="388"/>
      <c r="H209" s="388"/>
      <c r="I209" s="388"/>
      <c r="J209" s="388"/>
      <c r="K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G210" s="388"/>
      <c r="H210" s="388"/>
      <c r="I210" s="388"/>
      <c r="J210" s="388"/>
      <c r="K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209.28</v>
      </c>
      <c r="C211" s="320" t="s">
        <v>217</v>
      </c>
      <c r="D211" s="370" t="n">
        <f aca="false">B225+E221+B221+B223</f>
        <v>519.991666666667</v>
      </c>
      <c r="E211" s="322"/>
      <c r="F211" s="388"/>
      <c r="G211" s="388"/>
      <c r="H211" s="388"/>
      <c r="I211" s="388"/>
      <c r="J211" s="388"/>
      <c r="K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G212" s="388"/>
      <c r="H212" s="388"/>
      <c r="I212" s="388"/>
      <c r="J212" s="388"/>
      <c r="K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1775.67166666667</v>
      </c>
      <c r="C213" s="325"/>
      <c r="D213" s="321"/>
      <c r="E213" s="322"/>
      <c r="F213" s="388"/>
      <c r="G213" s="388"/>
      <c r="H213" s="388"/>
      <c r="I213" s="388"/>
      <c r="J213" s="388"/>
      <c r="K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G214" s="388"/>
      <c r="H214" s="388"/>
      <c r="I214" s="388"/>
      <c r="J214" s="388"/>
      <c r="K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G215" s="388"/>
      <c r="H215" s="388"/>
      <c r="I215" s="388"/>
      <c r="J215" s="388"/>
      <c r="K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G216" s="388"/>
      <c r="H216" s="388"/>
      <c r="I216" s="388"/>
      <c r="J216" s="388"/>
      <c r="K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1464.96</v>
      </c>
      <c r="C217" s="375" t="s">
        <v>221</v>
      </c>
      <c r="D217" s="317"/>
      <c r="E217" s="376" t="n">
        <f aca="false">B72</f>
        <v>0.01</v>
      </c>
      <c r="F217" s="388"/>
      <c r="G217" s="388"/>
      <c r="H217" s="388"/>
      <c r="I217" s="388"/>
      <c r="J217" s="388"/>
      <c r="K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G218" s="388"/>
      <c r="H218" s="388"/>
      <c r="I218" s="388"/>
      <c r="J218" s="388"/>
      <c r="K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209.28</v>
      </c>
      <c r="C219" s="336" t="s">
        <v>329</v>
      </c>
      <c r="D219" s="377"/>
      <c r="E219" s="92" t="n">
        <v>0.001</v>
      </c>
      <c r="F219" s="388"/>
      <c r="G219" s="388"/>
      <c r="H219" s="388"/>
      <c r="I219" s="388"/>
      <c r="J219" s="388"/>
      <c r="K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G220" s="388"/>
      <c r="H220" s="388"/>
      <c r="I220" s="388"/>
      <c r="J220" s="388"/>
      <c r="K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388"/>
      <c r="G221" s="388"/>
      <c r="H221" s="388"/>
      <c r="I221" s="388"/>
      <c r="J221" s="388"/>
      <c r="K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G222" s="388"/>
      <c r="H222" s="388"/>
      <c r="I222" s="388"/>
      <c r="J222" s="388"/>
      <c r="K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1775.67166666667</v>
      </c>
      <c r="F223" s="388"/>
      <c r="G223" s="388"/>
      <c r="H223" s="388"/>
      <c r="I223" s="388"/>
      <c r="J223" s="388"/>
      <c r="K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G224" s="388"/>
      <c r="H224" s="388"/>
      <c r="I224" s="388"/>
      <c r="J224" s="388"/>
      <c r="K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331</v>
      </c>
      <c r="B225" s="341" t="n">
        <f aca="false">D197/0.1</f>
        <v>180</v>
      </c>
      <c r="C225" s="38"/>
      <c r="D225" s="341"/>
      <c r="E225" s="167"/>
      <c r="F225" s="388"/>
      <c r="G225" s="388"/>
      <c r="H225" s="388"/>
      <c r="I225" s="388"/>
      <c r="J225" s="388"/>
      <c r="K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G226" s="388"/>
      <c r="H226" s="388"/>
      <c r="I226" s="388"/>
      <c r="J226" s="388"/>
      <c r="K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388"/>
      <c r="G227" s="388"/>
      <c r="H227" s="388"/>
      <c r="I227" s="388"/>
      <c r="J227" s="388"/>
      <c r="K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G228" s="388"/>
      <c r="H228" s="388"/>
      <c r="I228" s="388"/>
      <c r="J228" s="388"/>
      <c r="K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388"/>
      <c r="G229" s="388"/>
      <c r="H229" s="388"/>
      <c r="I229" s="388"/>
      <c r="J229" s="388"/>
      <c r="K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388"/>
      <c r="G230" s="388"/>
      <c r="H230" s="388"/>
      <c r="I230" s="388"/>
      <c r="J230" s="388"/>
      <c r="K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G231" s="388"/>
      <c r="H231" s="388"/>
      <c r="I231" s="388"/>
      <c r="J231" s="388"/>
      <c r="K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53.6700927793465</v>
      </c>
      <c r="F232" s="388"/>
      <c r="G232" s="388"/>
      <c r="H232" s="388"/>
      <c r="I232" s="388"/>
      <c r="J232" s="388"/>
      <c r="K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0</v>
      </c>
      <c r="F233" s="388"/>
      <c r="G233" s="388"/>
      <c r="H233" s="388"/>
      <c r="I233" s="388"/>
      <c r="J233" s="388"/>
      <c r="K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G234" s="388"/>
      <c r="H234" s="388"/>
      <c r="I234" s="388"/>
      <c r="J234" s="388"/>
      <c r="K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388"/>
      <c r="G235" s="388"/>
      <c r="H235" s="388"/>
      <c r="I235" s="388"/>
      <c r="J235" s="388"/>
      <c r="K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G236" s="388"/>
      <c r="H236" s="388"/>
      <c r="I236" s="388"/>
      <c r="J236" s="388"/>
      <c r="K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G237" s="388"/>
      <c r="H237" s="388"/>
      <c r="I237" s="388"/>
      <c r="J237" s="388"/>
      <c r="K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G238" s="388"/>
      <c r="H238" s="388"/>
      <c r="I238" s="388"/>
      <c r="J238" s="388"/>
      <c r="K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G239" s="388"/>
      <c r="H239" s="388"/>
      <c r="I239" s="388"/>
      <c r="J239" s="388"/>
      <c r="K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G240" s="388"/>
      <c r="H240" s="388"/>
      <c r="I240" s="388"/>
      <c r="J240" s="388"/>
      <c r="K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G241" s="388"/>
      <c r="H241" s="388"/>
      <c r="I241" s="388"/>
      <c r="J241" s="388"/>
      <c r="K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G242" s="388"/>
      <c r="H242" s="388"/>
      <c r="I242" s="388"/>
      <c r="J242" s="388"/>
      <c r="K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88"/>
      <c r="B243" s="388"/>
      <c r="C243" s="388"/>
      <c r="D243" s="388"/>
      <c r="E243" s="388"/>
      <c r="F243" s="388"/>
      <c r="G243" s="388"/>
      <c r="H243" s="388"/>
      <c r="I243" s="388"/>
      <c r="J243" s="388"/>
      <c r="K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388"/>
      <c r="B244" s="388"/>
      <c r="C244" s="388"/>
      <c r="D244" s="388"/>
      <c r="E244" s="388"/>
      <c r="F244" s="388"/>
      <c r="G244" s="388"/>
      <c r="H244" s="388"/>
      <c r="I244" s="388"/>
      <c r="J244" s="388"/>
      <c r="K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88"/>
      <c r="B245" s="388"/>
      <c r="C245" s="388"/>
      <c r="D245" s="388"/>
      <c r="E245" s="388"/>
      <c r="F245" s="388"/>
      <c r="G245" s="388"/>
      <c r="H245" s="388"/>
      <c r="I245" s="388"/>
      <c r="J245" s="388"/>
      <c r="K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88"/>
      <c r="B246" s="388"/>
      <c r="C246" s="388"/>
      <c r="D246" s="388"/>
      <c r="E246" s="388"/>
      <c r="F246" s="388"/>
      <c r="G246" s="388"/>
      <c r="H246" s="388"/>
      <c r="I246" s="388"/>
      <c r="J246" s="388"/>
      <c r="K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388"/>
      <c r="B247" s="388"/>
      <c r="C247" s="388"/>
      <c r="D247" s="388"/>
      <c r="E247" s="388"/>
      <c r="F247" s="388"/>
      <c r="G247" s="388"/>
      <c r="H247" s="388"/>
      <c r="I247" s="388"/>
      <c r="J247" s="388"/>
      <c r="K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88"/>
      <c r="B248" s="388"/>
      <c r="C248" s="388"/>
      <c r="D248" s="388"/>
      <c r="E248" s="388"/>
      <c r="F248" s="388"/>
      <c r="G248" s="388"/>
      <c r="H248" s="388"/>
      <c r="I248" s="388"/>
      <c r="J248" s="388"/>
      <c r="K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true" showOutlineSymbols="true" defaultGridColor="true" view="normal" topLeftCell="A19" colorId="64" zoomScale="85" zoomScaleNormal="85" zoomScalePageLayoutView="100" workbookViewId="0">
      <selection pane="topLeft" activeCell="A37" activeCellId="0" sqref="A37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388"/>
      <c r="G1" s="388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01"/>
      <c r="B2" s="482" t="s">
        <v>143</v>
      </c>
      <c r="C2" s="482" t="s">
        <v>144</v>
      </c>
      <c r="D2" s="482" t="s">
        <v>145</v>
      </c>
      <c r="E2" s="483" t="s">
        <v>146</v>
      </c>
      <c r="F2" s="388"/>
      <c r="G2" s="388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316" t="s">
        <v>149</v>
      </c>
      <c r="B3" s="484" t="n">
        <v>46854.17</v>
      </c>
      <c r="C3" s="484" t="n">
        <v>0.0</v>
      </c>
      <c r="D3" s="484" t="n">
        <v>833.33</v>
      </c>
      <c r="E3" s="442" t="n">
        <v>0</v>
      </c>
      <c r="F3" s="388"/>
      <c r="G3" s="388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316" t="s">
        <v>150</v>
      </c>
      <c r="B4" s="485" t="n">
        <v>0.0</v>
      </c>
      <c r="C4" s="485" t="n">
        <v>0.0</v>
      </c>
      <c r="D4" s="485" t="n">
        <v>0.0</v>
      </c>
      <c r="E4" s="376"/>
      <c r="F4" s="388"/>
      <c r="G4" s="388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316" t="s">
        <v>151</v>
      </c>
      <c r="B5" s="484" t="n">
        <v>0.0</v>
      </c>
      <c r="C5" s="484" t="n">
        <v>0.0</v>
      </c>
      <c r="D5" s="484" t="n">
        <v>0.0</v>
      </c>
      <c r="E5" s="33"/>
      <c r="F5" s="388"/>
      <c r="G5" s="388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316" t="s">
        <v>152</v>
      </c>
      <c r="B6" s="32" t="n">
        <f aca="false">(B3*B4/100)+B5</f>
        <v>0</v>
      </c>
      <c r="C6" s="32" t="n">
        <f aca="false">(C3*C4/100)+C5</f>
        <v>0</v>
      </c>
      <c r="D6" s="32" t="n">
        <f aca="false">(D3*D4/100)+D5</f>
        <v>0</v>
      </c>
      <c r="E6" s="33"/>
      <c r="F6" s="388"/>
      <c r="G6" s="388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316" t="s">
        <v>153</v>
      </c>
      <c r="B7" s="32" t="n">
        <f aca="false">B3-B6</f>
        <v>46854.17</v>
      </c>
      <c r="C7" s="32" t="n">
        <f aca="false">C3-C6</f>
        <v>0</v>
      </c>
      <c r="D7" s="32" t="n">
        <f aca="false">D3-D6</f>
        <v>833.33</v>
      </c>
      <c r="E7" s="33"/>
      <c r="F7" s="388"/>
      <c r="G7" s="388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316"/>
      <c r="B8" s="317"/>
      <c r="C8" s="317"/>
      <c r="D8" s="317"/>
      <c r="E8" s="318"/>
      <c r="F8" s="388"/>
      <c r="G8" s="388"/>
      <c r="H8" s="388"/>
      <c r="I8" s="13" t="s">
        <v>3</v>
      </c>
      <c r="J8" s="14" t="n">
        <f aca="false">E13+E14</f>
        <v>650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487" t="n">
        <f aca="false">B7+C7+D7+E3</f>
        <v>47687.5</v>
      </c>
      <c r="F9" s="388"/>
      <c r="G9" s="388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42" t="n">
        <v>550.0</v>
      </c>
      <c r="F10" s="388"/>
      <c r="G10" s="388"/>
      <c r="H10" s="388"/>
      <c r="I10" s="16" t="s">
        <v>1</v>
      </c>
      <c r="J10" s="14" t="n">
        <f aca="false">E15-E11-J8</f>
        <v>48237.5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3" t="n">
        <f aca="false">(E9+E10)*20%</f>
        <v>9647.5</v>
      </c>
      <c r="F11" s="388"/>
      <c r="G11" s="388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42" t="n">
        <v>0</v>
      </c>
      <c r="F12" s="388"/>
      <c r="G12" s="388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42" t="n">
        <v>585.0</v>
      </c>
      <c r="F13" s="388"/>
      <c r="G13" s="388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42" t="n">
        <v>65.0</v>
      </c>
      <c r="F14" s="388"/>
      <c r="G14" s="388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444" t="n">
        <f aca="false">(E9+E10+E13+E14+E11)-E12</f>
        <v>58535</v>
      </c>
      <c r="F15" s="388"/>
      <c r="G15" s="17" t="n">
        <f aca="false">E15</f>
        <v>58535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42" t="n">
        <v>0.0</v>
      </c>
      <c r="F16" s="388"/>
      <c r="G16" s="388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318"/>
      <c r="F17" s="388"/>
      <c r="G17" s="388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445" t="n">
        <v>0</v>
      </c>
      <c r="F18" s="388"/>
      <c r="G18" s="17" t="n">
        <f aca="false">(B3+C3+D3+E3+E10)*1.2</f>
        <v>57885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445" t="n">
        <v>0</v>
      </c>
      <c r="F19" s="388"/>
      <c r="G19" s="388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445" t="n">
        <v>0.0</v>
      </c>
      <c r="F20" s="388"/>
      <c r="G20" s="388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447" t="n">
        <f aca="false">E15-((E18*1.2)+(E19*1.2)+(E20*1.2)+(E16*1.2))</f>
        <v>58535</v>
      </c>
      <c r="F21" s="388"/>
      <c r="G21" s="388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237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239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240</v>
      </c>
      <c r="B29" s="223" t="n">
        <v>12345</v>
      </c>
      <c r="C29" s="223"/>
      <c r="D29" s="390" t="n">
        <f aca="true">TODAY()+1</f>
        <v>45295</v>
      </c>
      <c r="E29" s="390"/>
      <c r="F29" s="388"/>
      <c r="G29" s="29" t="s">
        <v>28</v>
      </c>
      <c r="H29" s="37" t="n">
        <f aca="false">A32</f>
        <v>12</v>
      </c>
      <c r="I29" s="427" t="n">
        <f aca="false">ISNUMBER(I31)</f>
        <v>0</v>
      </c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13.0</v>
      </c>
      <c r="B32" s="223" t="n">
        <v>5000.0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600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339</v>
      </c>
      <c r="B34" s="231" t="s">
        <v>48</v>
      </c>
      <c r="C34" s="230" t="s">
        <v>4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E15</f>
        <v>58535</v>
      </c>
      <c r="B35" s="223" t="s">
        <v>391</v>
      </c>
      <c r="C35" s="223"/>
      <c r="D35" s="279" t="n">
        <f aca="false">A35-B35</f>
        <v>57535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392</v>
      </c>
      <c r="B38" s="241" t="n">
        <f aca="false">A32-1</f>
        <v>11</v>
      </c>
      <c r="C38" s="241"/>
      <c r="D38" s="104" t="s">
        <v>393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4</v>
      </c>
      <c r="G40" s="2" t="s">
        <v>58</v>
      </c>
      <c r="H40" s="2" t="n">
        <f aca="false">E11</f>
        <v>9647.5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396</v>
      </c>
      <c r="B41" s="104" t="s">
        <v>394</v>
      </c>
      <c r="C41" s="104"/>
      <c r="D41" s="223" t="s">
        <v>18</v>
      </c>
      <c r="E41" s="223"/>
      <c r="F41" s="388"/>
      <c r="G41" s="2" t="s">
        <v>59</v>
      </c>
      <c r="H41" s="2" t="str">
        <f aca="false">IF(D41="Yes",A44, 0)</f>
        <v>50</v>
      </c>
      <c r="I41" s="2" t="s">
        <v>4</v>
      </c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4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s">
        <v>395</v>
      </c>
      <c r="B44" s="104" t="s">
        <v>397</v>
      </c>
      <c r="C44" s="104"/>
      <c r="D44" s="104" t="s">
        <v>397</v>
      </c>
      <c r="E44" s="104"/>
      <c r="F44" s="388"/>
      <c r="G44" s="2" t="s">
        <v>65</v>
      </c>
      <c r="H44" s="2" t="n">
        <f aca="false">((H40-(((H42/(1.2))*0.2)))/(H43))</f>
        <v>720.625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-170.625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339</v>
      </c>
      <c r="B46" s="230" t="s">
        <v>340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339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-167.958333333333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110"/>
      <c r="B50" s="230"/>
      <c r="C50" s="230"/>
      <c r="D50" s="230"/>
      <c r="E50" s="243"/>
      <c r="F50" s="388"/>
      <c r="G50" s="2" t="s">
        <v>341</v>
      </c>
      <c r="H50" s="2" t="n">
        <f aca="false">H49-H41</f>
        <v>-217.958333333333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/>
      <c r="B52" s="74"/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339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-167.958333333333</v>
      </c>
      <c r="C58" s="74"/>
      <c r="D58" s="428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1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11</v>
      </c>
      <c r="C64" s="317" t="s">
        <v>4</v>
      </c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316"/>
      <c r="B66" s="317"/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316" t="s">
        <v>14</v>
      </c>
      <c r="B67" s="32" t="n">
        <f aca="false">G18</f>
        <v>57885</v>
      </c>
      <c r="C67" s="317"/>
      <c r="D67" s="317"/>
      <c r="E67" s="318"/>
      <c r="F67" s="388"/>
      <c r="G67" s="316" t="s">
        <v>14</v>
      </c>
      <c r="H67" s="32" t="n">
        <f aca="false">G18</f>
        <v>57885</v>
      </c>
      <c r="I67" s="317"/>
      <c r="J67" s="317"/>
      <c r="K67" s="318"/>
      <c r="L67" s="388"/>
      <c r="M67" s="316" t="s">
        <v>14</v>
      </c>
      <c r="N67" s="32" t="n">
        <f aca="false">G18</f>
        <v>57885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399" t="s">
        <v>278</v>
      </c>
      <c r="B68" s="400" t="n">
        <v>0.07</v>
      </c>
      <c r="C68" s="317"/>
      <c r="D68" s="317"/>
      <c r="E68" s="318"/>
      <c r="F68" s="388"/>
      <c r="G68" s="399" t="s">
        <v>278</v>
      </c>
      <c r="H68" s="400" t="n">
        <v>0.07</v>
      </c>
      <c r="I68" s="317"/>
      <c r="J68" s="317"/>
      <c r="K68" s="318"/>
      <c r="L68" s="388"/>
      <c r="M68" s="399" t="s">
        <v>278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316" t="s">
        <v>279</v>
      </c>
      <c r="B69" s="376" t="n">
        <f aca="false">B68+(B68*0.25*(H29/12-1))</f>
        <v>0.07</v>
      </c>
      <c r="C69" s="317"/>
      <c r="D69" s="317"/>
      <c r="E69" s="318"/>
      <c r="F69" s="388"/>
      <c r="G69" s="316" t="s">
        <v>279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279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366" t="s">
        <v>90</v>
      </c>
      <c r="B70" s="65" t="n">
        <f aca="false">B67*B69</f>
        <v>4051.95</v>
      </c>
      <c r="C70" s="317" t="n">
        <v>10000</v>
      </c>
      <c r="D70" s="32" t="n">
        <f aca="false">B70-A149</f>
        <v>4051.95</v>
      </c>
      <c r="E70" s="318" t="n">
        <f aca="false">D70/12</f>
        <v>337.6625</v>
      </c>
      <c r="F70" s="388"/>
      <c r="G70" s="366" t="s">
        <v>90</v>
      </c>
      <c r="H70" s="65" t="n">
        <f aca="false">H67*H69</f>
        <v>4051.95</v>
      </c>
      <c r="I70" s="317"/>
      <c r="J70" s="32" t="n">
        <f aca="false">H70-G151</f>
        <v>4051.95</v>
      </c>
      <c r="K70" s="318"/>
      <c r="L70" s="388"/>
      <c r="M70" s="366" t="s">
        <v>90</v>
      </c>
      <c r="N70" s="65" t="n">
        <f aca="false">N67*N69</f>
        <v>4051.95</v>
      </c>
      <c r="O70" s="317"/>
      <c r="P70" s="32" t="n">
        <f aca="false">N70-M151</f>
        <v>4051.95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399" t="s">
        <v>91</v>
      </c>
      <c r="B71" s="400" t="n">
        <v>0.01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316" t="s">
        <v>92</v>
      </c>
      <c r="B72" s="376" t="n">
        <f aca="false">B71+(B71*0.5*(H29/12-1))</f>
        <v>0.01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366" t="s">
        <v>93</v>
      </c>
      <c r="B73" s="65" t="n">
        <f aca="false">B67*B72</f>
        <v>578.85</v>
      </c>
      <c r="C73" s="317"/>
      <c r="D73" s="32"/>
      <c r="E73" s="318"/>
      <c r="F73" s="388"/>
      <c r="G73" s="366" t="s">
        <v>93</v>
      </c>
      <c r="H73" s="65" t="n">
        <f aca="false">H67*H72</f>
        <v>289.425</v>
      </c>
      <c r="I73" s="317"/>
      <c r="J73" s="32"/>
      <c r="K73" s="318"/>
      <c r="L73" s="388"/>
      <c r="M73" s="366" t="s">
        <v>93</v>
      </c>
      <c r="N73" s="65" t="n">
        <f aca="false">N67*N72</f>
        <v>289.425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200.0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5.0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60</v>
      </c>
      <c r="C79" s="317"/>
      <c r="D79" s="32" t="n">
        <f aca="false">B79+B77</f>
        <v>260</v>
      </c>
      <c r="E79" s="404" t="n">
        <f aca="false">D79+D85+D86</f>
        <v>660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280</v>
      </c>
      <c r="B80" s="86" t="n">
        <v>165.0</v>
      </c>
      <c r="C80" s="317"/>
      <c r="D80" s="317"/>
      <c r="E80" s="404" t="n">
        <f aca="false">E79+D82</f>
        <v>660</v>
      </c>
      <c r="F80" s="388"/>
      <c r="G80" s="399" t="s">
        <v>280</v>
      </c>
      <c r="H80" s="86" t="n">
        <v>150</v>
      </c>
      <c r="I80" s="317"/>
      <c r="J80" s="317"/>
      <c r="K80" s="318"/>
      <c r="L80" s="388"/>
      <c r="M80" s="405" t="s">
        <v>280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281</v>
      </c>
      <c r="B81" s="77" t="n">
        <v>355.0</v>
      </c>
      <c r="C81" s="317"/>
      <c r="D81" s="317"/>
      <c r="E81" s="318" t="n">
        <f aca="false">E80/12</f>
        <v>55</v>
      </c>
      <c r="F81" s="388"/>
      <c r="G81" s="401" t="s">
        <v>281</v>
      </c>
      <c r="H81" s="77" t="n">
        <f aca="false">IF(G18&gt;40000, 325, 0)</f>
        <v>325</v>
      </c>
      <c r="I81" s="317"/>
      <c r="J81" s="317"/>
      <c r="K81" s="318"/>
      <c r="L81" s="388"/>
      <c r="M81" s="407" t="s">
        <v>281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282</v>
      </c>
      <c r="B82" s="65" t="n">
        <f aca="false">((B80+B81)/12)*(H29-11)</f>
        <v>0</v>
      </c>
      <c r="C82" s="317"/>
      <c r="D82" s="32" t="n">
        <f aca="false">IF(A50="YES", 0, B82)</f>
        <v>0</v>
      </c>
      <c r="E82" s="318"/>
      <c r="F82" s="388"/>
      <c r="G82" s="366" t="s">
        <v>282</v>
      </c>
      <c r="H82" s="65" t="n">
        <f aca="false">((H80+H81)/12)*(H29-11)</f>
        <v>39.5833333333333</v>
      </c>
      <c r="I82" s="317"/>
      <c r="J82" s="32" t="n">
        <f aca="false">IF(A50="YES", 0, H82)</f>
        <v>39.5833333333333</v>
      </c>
      <c r="K82" s="318"/>
      <c r="L82" s="388"/>
      <c r="M82" s="409" t="s">
        <v>282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283</v>
      </c>
      <c r="B83" s="86" t="n">
        <f aca="false">B108/(1-0.1)</f>
        <v>0</v>
      </c>
      <c r="C83" s="317"/>
      <c r="D83" s="32" t="n">
        <f aca="false">B83</f>
        <v>0</v>
      </c>
      <c r="E83" s="318" t="n">
        <f aca="false">D83/12</f>
        <v>0</v>
      </c>
      <c r="F83" s="388"/>
      <c r="G83" s="399" t="s">
        <v>283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283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342</v>
      </c>
      <c r="B84" s="33" t="n">
        <f aca="false">D108/(1-0.1)</f>
        <v>0</v>
      </c>
      <c r="C84" s="317"/>
      <c r="D84" s="32" t="n">
        <f aca="false">B84</f>
        <v>0</v>
      </c>
      <c r="E84" s="318"/>
      <c r="F84" s="388"/>
      <c r="G84" s="316" t="s">
        <v>284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284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200.0</v>
      </c>
      <c r="C85" s="317"/>
      <c r="D85" s="32" t="n">
        <f aca="false">B85</f>
        <v>200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200.0</v>
      </c>
      <c r="C86" s="317"/>
      <c r="D86" s="32" t="n">
        <f aca="false">B86</f>
        <v>200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4711.95</v>
      </c>
      <c r="C87" s="317"/>
      <c r="D87" s="317"/>
      <c r="E87" s="318"/>
      <c r="F87" s="388"/>
      <c r="G87" s="412" t="s">
        <v>102</v>
      </c>
      <c r="H87" s="413" t="n">
        <f aca="false">SUM(J70:J86)</f>
        <v>7205.53333333333</v>
      </c>
      <c r="I87" s="317"/>
      <c r="J87" s="317"/>
      <c r="K87" s="318"/>
      <c r="L87" s="388"/>
      <c r="M87" s="412" t="s">
        <v>102</v>
      </c>
      <c r="N87" s="413" t="n">
        <f aca="false">SUM(P70:P86)</f>
        <v>7165.95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392.6625</v>
      </c>
      <c r="C88" s="317"/>
      <c r="D88" s="317"/>
      <c r="E88" s="318"/>
      <c r="F88" s="388"/>
      <c r="G88" s="316" t="s">
        <v>103</v>
      </c>
      <c r="H88" s="33" t="n">
        <f aca="false">H87/H29</f>
        <v>600.461111111111</v>
      </c>
      <c r="I88" s="317"/>
      <c r="J88" s="317"/>
      <c r="K88" s="318"/>
      <c r="L88" s="388"/>
      <c r="M88" s="316" t="s">
        <v>103</v>
      </c>
      <c r="N88" s="33" t="n">
        <f aca="false">N87/H29</f>
        <v>597.1625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-217.958333333333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</f>
        <v>2096.45</v>
      </c>
      <c r="C91" s="317"/>
      <c r="D91" s="317"/>
      <c r="E91" s="318"/>
      <c r="F91" s="388"/>
      <c r="G91" s="396" t="s">
        <v>114</v>
      </c>
      <c r="H91" s="27" t="n">
        <f aca="false">((H89*H29)+H87)*1.2</f>
        <v>8646.64</v>
      </c>
      <c r="I91" s="317"/>
      <c r="J91" s="317"/>
      <c r="K91" s="318"/>
      <c r="L91" s="388"/>
      <c r="M91" s="396" t="s">
        <v>114</v>
      </c>
      <c r="N91" s="27" t="n">
        <f aca="false">((N89*H29)+N87)</f>
        <v>7165.95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17.7593586123437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61.0392093586123</v>
      </c>
      <c r="I92" s="317"/>
      <c r="J92" s="317"/>
      <c r="K92" s="318"/>
      <c r="L92" s="388"/>
      <c r="M92" s="316" t="s">
        <v>115</v>
      </c>
      <c r="N92" s="33" t="n">
        <f aca="false">(N91/(1-N76))*N76</f>
        <v>60.7038926986688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2114.20935861234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10707.6792093586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9226.65389269867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</f>
        <v>65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176.184113217695</v>
      </c>
      <c r="C96" s="317" t="s">
        <v>4</v>
      </c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241.184113217695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388"/>
      <c r="G100" s="213" t="s">
        <v>285</v>
      </c>
      <c r="H100" s="213"/>
      <c r="I100" s="213"/>
      <c r="J100" s="213"/>
      <c r="K100" s="213"/>
      <c r="L100" s="388"/>
      <c r="M100" s="213" t="s">
        <v>343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286</v>
      </c>
      <c r="E104" s="318"/>
      <c r="F104" s="388"/>
      <c r="G104" s="316" t="s">
        <v>125</v>
      </c>
      <c r="H104" s="317" t="s">
        <v>23</v>
      </c>
      <c r="I104" s="317"/>
      <c r="J104" s="317" t="s">
        <v>286</v>
      </c>
      <c r="K104" s="318"/>
      <c r="L104" s="388"/>
      <c r="M104" s="316" t="s">
        <v>125</v>
      </c>
      <c r="N104" s="317" t="s">
        <v>23</v>
      </c>
      <c r="O104" s="317"/>
      <c r="P104" s="317" t="s">
        <v>286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264</v>
      </c>
    </row>
    <row r="105" customFormat="false" ht="18.75" hidden="false" customHeight="true" outlineLevel="0" collapsed="false">
      <c r="A105" s="374"/>
      <c r="B105" s="312" t="s">
        <v>128</v>
      </c>
      <c r="C105" s="312"/>
      <c r="D105" s="421" t="n">
        <v>1000.0</v>
      </c>
      <c r="E105" s="421"/>
      <c r="F105" s="388"/>
      <c r="G105" s="374" t="s">
        <v>287</v>
      </c>
      <c r="H105" s="312" t="s">
        <v>269</v>
      </c>
      <c r="I105" s="312"/>
      <c r="J105" s="421" t="n">
        <v>5000</v>
      </c>
      <c r="K105" s="421"/>
      <c r="L105" s="388"/>
      <c r="M105" s="374" t="s">
        <v>287</v>
      </c>
      <c r="N105" s="312" t="s">
        <v>268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265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266</v>
      </c>
    </row>
    <row r="107" customFormat="false" ht="18.75" hidden="false" customHeight="true" outlineLevel="0" collapsed="false">
      <c r="A107" s="316" t="s">
        <v>289</v>
      </c>
      <c r="B107" s="317" t="s">
        <v>290</v>
      </c>
      <c r="C107" s="317"/>
      <c r="D107" s="317" t="s">
        <v>291</v>
      </c>
      <c r="E107" s="318"/>
      <c r="F107" s="388"/>
      <c r="G107" s="316" t="s">
        <v>289</v>
      </c>
      <c r="H107" s="317" t="s">
        <v>290</v>
      </c>
      <c r="I107" s="317"/>
      <c r="J107" s="317" t="s">
        <v>291</v>
      </c>
      <c r="K107" s="318"/>
      <c r="L107" s="388"/>
      <c r="M107" s="316" t="s">
        <v>289</v>
      </c>
      <c r="N107" s="317" t="s">
        <v>290</v>
      </c>
      <c r="O107" s="317"/>
      <c r="P107" s="317" t="s">
        <v>291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400.0</v>
      </c>
      <c r="C108" s="107"/>
      <c r="D108" s="107" t="n">
        <v>200.0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268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269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270</v>
      </c>
    </row>
    <row r="111" customFormat="false" ht="18.75" hidden="false" customHeight="true" outlineLevel="0" collapsed="false">
      <c r="A111" s="389" t="s">
        <v>398</v>
      </c>
      <c r="B111" s="312" t="n">
        <v>20.0</v>
      </c>
      <c r="C111" s="312"/>
      <c r="D111" s="107" t="n">
        <v>200.0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271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344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388"/>
      <c r="G114" s="217" t="s">
        <v>293</v>
      </c>
      <c r="H114" s="217"/>
      <c r="I114" s="217"/>
      <c r="J114" s="217"/>
      <c r="K114" s="217"/>
      <c r="L114" s="388"/>
      <c r="M114" s="217" t="s">
        <v>293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294</v>
      </c>
      <c r="B116" s="389" t="s">
        <v>399</v>
      </c>
      <c r="C116" s="317"/>
      <c r="D116" s="317"/>
      <c r="E116" s="318"/>
      <c r="F116" s="388"/>
      <c r="G116" s="316" t="s">
        <v>294</v>
      </c>
      <c r="H116" s="389" t="s">
        <v>18</v>
      </c>
      <c r="I116" s="317"/>
      <c r="J116" s="317"/>
      <c r="K116" s="318"/>
      <c r="L116" s="388"/>
      <c r="M116" s="316" t="s">
        <v>294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0.0</v>
      </c>
      <c r="E118" s="107" t="n">
        <v>6000.0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2000.0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199.99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295</v>
      </c>
      <c r="B125" s="367"/>
      <c r="C125" s="367"/>
      <c r="D125" s="367"/>
      <c r="E125" s="65" t="n">
        <f aca="false">((E124*1.2)+E123)-E120</f>
        <v>-2760.012</v>
      </c>
      <c r="F125" s="388"/>
      <c r="G125" s="422" t="s">
        <v>295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295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388"/>
      <c r="G128" s="217" t="s">
        <v>296</v>
      </c>
      <c r="H128" s="217"/>
      <c r="I128" s="217"/>
      <c r="J128" s="217"/>
      <c r="K128" s="217"/>
      <c r="L128" s="388"/>
      <c r="M128" s="217" t="s">
        <v>296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11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11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176.184113217695</v>
      </c>
      <c r="B134" s="321" t="n">
        <f aca="false">IF(A111="YES", B95, 0)</f>
        <v>65</v>
      </c>
      <c r="C134" s="326"/>
      <c r="D134" s="321" t="n">
        <f aca="false">B97</f>
        <v>241.184113217695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299</v>
      </c>
      <c r="H135" s="424" t="s">
        <v>300</v>
      </c>
      <c r="I135" s="424"/>
      <c r="J135" s="424" t="s">
        <v>301</v>
      </c>
      <c r="K135" s="318"/>
      <c r="L135" s="388"/>
      <c r="M135" s="423" t="s">
        <v>345</v>
      </c>
      <c r="N135" s="424" t="s">
        <v>253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176.184113217695</v>
      </c>
      <c r="C137" s="317"/>
      <c r="D137" s="38" t="n">
        <f aca="false">IF(A111="YES", B95*B63, 0)</f>
        <v>65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304</v>
      </c>
      <c r="H138" s="317" t="s">
        <v>305</v>
      </c>
      <c r="I138" s="317"/>
      <c r="J138" s="317" t="s">
        <v>306</v>
      </c>
      <c r="K138" s="318"/>
      <c r="L138" s="388"/>
      <c r="M138" s="316" t="s">
        <v>346</v>
      </c>
      <c r="N138" s="317" t="s">
        <v>242</v>
      </c>
      <c r="O138" s="317"/>
      <c r="P138" s="317" t="s">
        <v>246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241.184113217695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309</v>
      </c>
      <c r="H141" s="317" t="s">
        <v>310</v>
      </c>
      <c r="I141" s="317"/>
      <c r="J141" s="317" t="s">
        <v>311</v>
      </c>
      <c r="K141" s="318"/>
      <c r="L141" s="388"/>
      <c r="M141" s="316" t="s">
        <v>255</v>
      </c>
      <c r="N141" s="317" t="s">
        <v>256</v>
      </c>
      <c r="O141" s="317"/>
      <c r="P141" s="317" t="s">
        <v>260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388"/>
      <c r="G142" s="111" t="n">
        <f aca="false">E15*0.000006</f>
        <v>0.35121</v>
      </c>
      <c r="H142" s="38" t="n">
        <f aca="false">IF(G111="YES", E15*0.000002, 0)</f>
        <v>0.11707</v>
      </c>
      <c r="I142" s="38"/>
      <c r="J142" s="38" t="n">
        <f aca="false">G142+H142</f>
        <v>0.46828</v>
      </c>
      <c r="K142" s="105"/>
      <c r="L142" s="388"/>
      <c r="M142" s="111" t="n">
        <f aca="false">E15*0.000006</f>
        <v>0.35121</v>
      </c>
      <c r="N142" s="38" t="n">
        <f aca="false">IF(M111="YES", E15*0.000002, 0)</f>
        <v>0.11707</v>
      </c>
      <c r="O142" s="38"/>
      <c r="P142" s="38" t="n">
        <f aca="false">M142+N142</f>
        <v>0.46828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176.184113217695</v>
      </c>
      <c r="B143" s="38" t="n">
        <f aca="false">IF(A111="YES", B95, 0)</f>
        <v>65</v>
      </c>
      <c r="C143" s="317"/>
      <c r="D143" s="38" t="n">
        <f aca="false">B97</f>
        <v>241.184113217695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312</v>
      </c>
      <c r="H144" s="317" t="s">
        <v>313</v>
      </c>
      <c r="I144" s="317"/>
      <c r="J144" s="317" t="s">
        <v>314</v>
      </c>
      <c r="K144" s="318"/>
      <c r="L144" s="388"/>
      <c r="M144" s="316" t="s">
        <v>139</v>
      </c>
      <c r="N144" s="317" t="s">
        <v>313</v>
      </c>
      <c r="O144" s="317"/>
      <c r="P144" s="317" t="s">
        <v>314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241.1875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241.1875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41.6772</v>
      </c>
      <c r="B146" s="343" t="n">
        <f aca="false">G18*0.000002 *1.2*100</f>
        <v>13.8924</v>
      </c>
      <c r="C146" s="317"/>
      <c r="D146" s="343" t="n">
        <f aca="false">A146+B146</f>
        <v>55.5696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316</v>
      </c>
      <c r="H147" s="317" t="s">
        <v>317</v>
      </c>
      <c r="I147" s="317"/>
      <c r="J147" s="317" t="s">
        <v>318</v>
      </c>
      <c r="K147" s="318"/>
      <c r="L147" s="388"/>
      <c r="M147" s="316" t="s">
        <v>316</v>
      </c>
      <c r="N147" s="317" t="s">
        <v>317</v>
      </c>
      <c r="O147" s="317"/>
      <c r="P147" s="317" t="s">
        <v>318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2901.1755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2861.1775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320</v>
      </c>
      <c r="H150" s="317" t="s">
        <v>321</v>
      </c>
      <c r="I150" s="317"/>
      <c r="J150" s="317"/>
      <c r="K150" s="318"/>
      <c r="L150" s="388"/>
      <c r="M150" s="316" t="s">
        <v>320</v>
      </c>
      <c r="N150" s="317" t="s">
        <v>321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347</v>
      </c>
      <c r="N153" s="39" t="s">
        <v>348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578.85</v>
      </c>
      <c r="B154" s="103" t="n">
        <f aca="false">B108</f>
        <v>0</v>
      </c>
      <c r="C154" s="38"/>
      <c r="D154" s="38" t="n">
        <f aca="false">IF(A111="YES", (A44/100*B111)*B131, 0)*0.1</f>
        <v>18</v>
      </c>
      <c r="E154" s="105"/>
      <c r="F154" s="388"/>
      <c r="G154" s="348" t="s">
        <v>326</v>
      </c>
      <c r="H154" s="317"/>
      <c r="I154" s="317"/>
      <c r="J154" s="349"/>
      <c r="K154" s="350"/>
      <c r="L154" s="388"/>
      <c r="M154" s="425" t="n">
        <f aca="false">H40</f>
        <v>9647.5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696.84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326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241.184113217695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427" t="n">
        <f aca="false">ISNUMBER(B183)</f>
        <v>1</v>
      </c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176.184113217695</v>
      </c>
      <c r="B177" s="355" t="n">
        <f aca="false">IF(A111="YES", B95, 0)</f>
        <v>65</v>
      </c>
      <c r="C177" s="358"/>
      <c r="D177" s="355" t="n">
        <f aca="false">B91</f>
        <v>2096.45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176.184113217695</v>
      </c>
      <c r="C180" s="353"/>
      <c r="D180" s="103" t="n">
        <f aca="false">IF(A111="YES", B95*B63, 0)</f>
        <v>65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241.184113217695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176.184113217695</v>
      </c>
      <c r="B186" s="103" t="n">
        <f aca="false">IF(A111="YES", B95, 0)</f>
        <v>65</v>
      </c>
      <c r="C186" s="353"/>
      <c r="D186" s="103" t="n">
        <f aca="false">B97</f>
        <v>241.184113217695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G18*0.000002 *1.2*100</f>
        <v>13.8924</v>
      </c>
      <c r="C189" s="353"/>
      <c r="D189" s="365" t="n">
        <f aca="false">A189+B189</f>
        <v>55.5696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578.85</v>
      </c>
      <c r="B197" s="103" t="n">
        <f aca="false">B108</f>
        <v>0</v>
      </c>
      <c r="C197" s="103"/>
      <c r="D197" s="103" t="n">
        <f aca="false">IF(A111="YES", (A44/100*B111)*B131, 0)*0.1</f>
        <v>18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696.84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0</v>
      </c>
      <c r="B203" s="103"/>
      <c r="C203" s="353"/>
      <c r="D203" s="353"/>
      <c r="E203" s="318"/>
      <c r="F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4051.95</v>
      </c>
      <c r="E209" s="322"/>
      <c r="F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578.85</v>
      </c>
      <c r="C211" s="320" t="s">
        <v>217</v>
      </c>
      <c r="D211" s="370" t="n">
        <f aca="false">B225+E221+B221+B223</f>
        <v>279.99</v>
      </c>
      <c r="E211" s="322"/>
      <c r="F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3753.09</v>
      </c>
      <c r="C213" s="325"/>
      <c r="D213" s="321"/>
      <c r="E213" s="322"/>
      <c r="F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4051.95</v>
      </c>
      <c r="C217" s="375" t="s">
        <v>221</v>
      </c>
      <c r="D217" s="317"/>
      <c r="E217" s="376" t="n">
        <f aca="false">B72</f>
        <v>0.01</v>
      </c>
      <c r="F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578.85</v>
      </c>
      <c r="C219" s="336" t="s">
        <v>329</v>
      </c>
      <c r="D219" s="377"/>
      <c r="E219" s="92" t="n">
        <v>0.001</v>
      </c>
      <c r="F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0</v>
      </c>
      <c r="C221" s="336" t="s">
        <v>223</v>
      </c>
      <c r="D221" s="317"/>
      <c r="E221" s="33" t="n">
        <f aca="false">A200</f>
        <v>99.99</v>
      </c>
      <c r="F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0</v>
      </c>
      <c r="C223" s="336" t="s">
        <v>218</v>
      </c>
      <c r="D223" s="317"/>
      <c r="E223" s="33" t="n">
        <f aca="false">(B217-B211+D211)</f>
        <v>3753.09</v>
      </c>
      <c r="F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331</v>
      </c>
      <c r="B225" s="341" t="n">
        <f aca="false">D197/0.1</f>
        <v>180</v>
      </c>
      <c r="C225" s="38"/>
      <c r="D225" s="341"/>
      <c r="E225" s="167"/>
      <c r="F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17.7593586123437</v>
      </c>
      <c r="F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0</v>
      </c>
      <c r="F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16"/>
      <c r="B243" s="317"/>
      <c r="C243" s="317"/>
      <c r="D243" s="317"/>
      <c r="E243" s="318"/>
      <c r="F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111"/>
      <c r="B244" s="38"/>
      <c r="C244" s="38"/>
      <c r="D244" s="38"/>
      <c r="E244" s="105"/>
      <c r="F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16"/>
      <c r="B245" s="317"/>
      <c r="C245" s="317"/>
      <c r="D245" s="317"/>
      <c r="E245" s="318"/>
      <c r="F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16"/>
      <c r="B246" s="317"/>
      <c r="C246" s="317"/>
      <c r="D246" s="317"/>
      <c r="E246" s="318"/>
      <c r="F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111"/>
      <c r="B247" s="38"/>
      <c r="C247" s="317"/>
      <c r="D247" s="317"/>
      <c r="E247" s="318"/>
      <c r="F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66"/>
      <c r="B248" s="367"/>
      <c r="C248" s="367"/>
      <c r="D248" s="367"/>
      <c r="E248" s="368"/>
      <c r="F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80" colorId="64" zoomScale="85" zoomScaleNormal="85" zoomScalePageLayoutView="100" workbookViewId="0">
      <selection pane="topLeft" activeCell="G91" activeCellId="0" sqref="G91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16745</v>
      </c>
      <c r="C3" s="441"/>
      <c r="D3" s="441" t="n">
        <v>0</v>
      </c>
      <c r="E3" s="441"/>
      <c r="F3" s="441" t="n">
        <v>0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492" t="n">
        <v>0</v>
      </c>
      <c r="C4" s="492"/>
      <c r="D4" s="493" t="n">
        <v>0</v>
      </c>
      <c r="E4" s="493"/>
      <c r="F4" s="493" t="n">
        <v>0</v>
      </c>
      <c r="G4" s="493"/>
      <c r="H4" s="129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</v>
      </c>
      <c r="C5" s="441"/>
      <c r="D5" s="441" t="n">
        <v>0</v>
      </c>
      <c r="E5" s="441"/>
      <c r="F5" s="441" t="n">
        <v>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/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16745</v>
      </c>
      <c r="C7" s="155"/>
      <c r="D7" s="155" t="n">
        <f aca="false">D3-D6</f>
        <v>0</v>
      </c>
      <c r="E7" s="155"/>
      <c r="F7" s="155" t="n">
        <f aca="false">F3-F6</f>
        <v>0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32"/>
      <c r="C8" s="32"/>
      <c r="D8" s="32"/>
      <c r="E8" s="32"/>
      <c r="F8" s="32"/>
      <c r="G8" s="32"/>
      <c r="H8" s="33"/>
      <c r="I8" s="2"/>
      <c r="J8" s="2"/>
      <c r="L8" s="13" t="s">
        <v>3</v>
      </c>
      <c r="M8" s="14" t="n">
        <f aca="false">H13+H14</f>
        <v>340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/>
      <c r="F9" s="152"/>
      <c r="G9" s="139"/>
      <c r="H9" s="443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/>
      <c r="F10" s="154"/>
      <c r="G10" s="156"/>
      <c r="H10" s="442" t="n">
        <v>695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6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6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/>
      <c r="F13" s="154"/>
      <c r="G13" s="156"/>
      <c r="H13" s="442" t="n">
        <v>275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/>
      <c r="F14" s="154"/>
      <c r="G14" s="156"/>
      <c r="H14" s="442" t="n">
        <v>65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6"/>
      <c r="H15" s="444" t="n">
        <f aca="false">(H9+H10+H13+H14+H11)-H12</f>
        <v>21268</v>
      </c>
      <c r="I15" s="2"/>
      <c r="J15" s="17" t="n">
        <f aca="false">H15</f>
        <v>21268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/>
      <c r="F16" s="154"/>
      <c r="G16" s="156"/>
      <c r="H16" s="442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38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39"/>
      <c r="H18" s="445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39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39"/>
      <c r="H20" s="445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21268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33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str">
        <f aca="false">A46</f>
        <v>50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</row>
    <row r="34" customFormat="false" ht="17.35" hidden="false" customHeight="false" outlineLevel="0" collapsed="false">
      <c r="A34" s="40" t="s">
        <v>249</v>
      </c>
      <c r="B34" s="32"/>
      <c r="C34" s="41" t="s">
        <v>43</v>
      </c>
      <c r="D34" s="41"/>
      <c r="E34" s="32"/>
      <c r="F34" s="41" t="n">
        <f aca="false">(A34/12)*C34</f>
        <v>13750</v>
      </c>
      <c r="G34" s="41"/>
      <c r="H34" s="47"/>
      <c r="I34" s="2"/>
      <c r="J34" s="2"/>
      <c r="K34" s="2"/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495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32</v>
      </c>
    </row>
    <row r="37" customFormat="false" ht="17.35" hidden="false" customHeight="false" outlineLevel="0" collapsed="false">
      <c r="A37" s="36" t="n">
        <f aca="false">H9+H10+H13+H14</f>
        <v>17780</v>
      </c>
      <c r="B37" s="32"/>
      <c r="C37" s="41" t="s">
        <v>45</v>
      </c>
      <c r="D37" s="41"/>
      <c r="E37" s="32"/>
      <c r="F37" s="43" t="n">
        <f aca="false">A37-C37</f>
        <v>16780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32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H11</f>
        <v>3488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str">
        <f aca="false">IF(F43="Yes", A46, 0)</f>
        <v>50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33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75.3939393939394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474.606060606061</v>
      </c>
      <c r="L45" s="2"/>
    </row>
    <row r="46" customFormat="false" ht="17.35" hidden="false" customHeight="false" outlineLevel="0" collapsed="false">
      <c r="A46" s="40" t="s">
        <v>233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0.363636363636364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0.606060606060606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475.575757575758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425.575757575758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382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1650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33</v>
      </c>
      <c r="B60" s="74" t="n">
        <f aca="false">K49</f>
        <v>475.575757575758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32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32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32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32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20928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20928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20928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20928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0.072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14176.4317388532</v>
      </c>
      <c r="C74" s="32"/>
      <c r="D74" s="32"/>
      <c r="E74" s="23"/>
      <c r="F74" s="23"/>
      <c r="G74" s="23"/>
      <c r="H74" s="33"/>
      <c r="J74" s="56" t="s">
        <v>90</v>
      </c>
      <c r="K74" s="65" t="n">
        <f aca="false">(K98*K68)-(K47*K29)</f>
        <v>48703.2190424278</v>
      </c>
      <c r="L74" s="32"/>
      <c r="M74" s="32"/>
      <c r="N74" s="23"/>
      <c r="O74" s="23"/>
      <c r="P74" s="23"/>
      <c r="Q74" s="33"/>
      <c r="S74" s="56" t="s">
        <v>90</v>
      </c>
      <c r="T74" s="65" t="n">
        <f aca="false">(T98*T68)-(K47*K29)</f>
        <v>20293.5917615192</v>
      </c>
      <c r="U74" s="32"/>
      <c r="V74" s="32"/>
      <c r="W74" s="23"/>
      <c r="X74" s="23"/>
      <c r="Y74" s="23"/>
      <c r="Z74" s="33"/>
      <c r="AB74" s="56" t="s">
        <v>90</v>
      </c>
      <c r="AC74" s="65" t="n">
        <f aca="false">(AC98*AC68)-(K47*K29)</f>
        <v>20293.5917615192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0.009375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0.071875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0.009375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0.009375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199.3875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1504.2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196.2</v>
      </c>
      <c r="U77" s="32"/>
      <c r="V77" s="32"/>
      <c r="W77" s="23"/>
      <c r="X77" s="23"/>
      <c r="Y77" s="23"/>
      <c r="Z77" s="33"/>
      <c r="AB77" s="56" t="s">
        <v>93</v>
      </c>
      <c r="AC77" s="65" t="n">
        <f aca="false">AH167*AC76</f>
        <v>161.5734375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475.575757575758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0.363636363636364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475.575757575758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475.575757575758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16780</v>
      </c>
      <c r="C90" s="32"/>
      <c r="D90" s="32"/>
      <c r="E90" s="23"/>
      <c r="F90" s="25" t="s">
        <v>105</v>
      </c>
      <c r="G90" s="27" t="n">
        <f aca="false">F37</f>
        <v>16780</v>
      </c>
      <c r="H90" s="33"/>
      <c r="J90" s="25" t="s">
        <v>105</v>
      </c>
      <c r="K90" s="27" t="n">
        <f aca="false">P167</f>
        <v>36519.004</v>
      </c>
      <c r="L90" s="32"/>
      <c r="M90" s="32"/>
      <c r="N90" s="23"/>
      <c r="O90" s="23"/>
      <c r="P90" s="23"/>
      <c r="Q90" s="33"/>
      <c r="S90" s="25" t="s">
        <v>105</v>
      </c>
      <c r="T90" s="27" t="n">
        <f aca="false">Y167</f>
        <v>17234.5</v>
      </c>
      <c r="U90" s="32"/>
      <c r="V90" s="32"/>
      <c r="W90" s="23"/>
      <c r="X90" s="23"/>
      <c r="Y90" s="23"/>
      <c r="Z90" s="33"/>
      <c r="AB90" s="25" t="s">
        <v>105</v>
      </c>
      <c r="AC90" s="27" t="n">
        <f aca="false">AH167</f>
        <v>17234.5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IF(A111="YES",A43,0)*1.2</f>
        <v>7200</v>
      </c>
      <c r="C91" s="32"/>
      <c r="D91" s="32"/>
      <c r="E91" s="23"/>
      <c r="F91" s="31" t="s">
        <v>106</v>
      </c>
      <c r="G91" s="33" t="n">
        <f aca="false">IF(A111="YES",A43,0)*1.2</f>
        <v>7200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0.137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0.0114166666666667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32</v>
      </c>
      <c r="C94" s="32"/>
      <c r="D94" s="32"/>
      <c r="E94" s="23"/>
      <c r="F94" s="31" t="s">
        <v>109</v>
      </c>
      <c r="G94" s="33" t="n">
        <f aca="false">IF(G91=0, (B68+B67), (B68))</f>
        <v>32</v>
      </c>
      <c r="H94" s="33"/>
      <c r="J94" s="31" t="s">
        <v>109</v>
      </c>
      <c r="K94" s="33" t="n">
        <f aca="false">IF(K91=0, (K68+K67), (K68))</f>
        <v>33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32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32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4950.38529500718</v>
      </c>
      <c r="C95" s="32"/>
      <c r="D95" s="32"/>
      <c r="E95" s="23"/>
      <c r="F95" s="31" t="s">
        <v>110</v>
      </c>
      <c r="G95" s="33" t="n">
        <f aca="false">(G91/((1+G93)^(G94+1)))</f>
        <v>6024.37295128565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8.55929138316766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8.55929138316766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26.6800219733353</v>
      </c>
      <c r="C96" s="32"/>
      <c r="D96" s="32"/>
      <c r="E96" s="23"/>
      <c r="F96" s="31" t="s">
        <v>111</v>
      </c>
      <c r="G96" s="33" t="n">
        <f aca="false">((1-(1/((1+G93)^G94)))/G93)</f>
        <v>29.3075648349115</v>
      </c>
      <c r="H96" s="33"/>
      <c r="J96" s="31" t="s">
        <v>111</v>
      </c>
      <c r="K96" s="33" t="n">
        <f aca="false">((1-(1/((1+K93)^K94)))/K93)</f>
        <v>23.9885635530494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27.1467145183312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27.1467145183312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11829.6147049928</v>
      </c>
      <c r="C97" s="32"/>
      <c r="D97" s="32"/>
      <c r="E97" s="23"/>
      <c r="F97" s="31" t="s">
        <v>112</v>
      </c>
      <c r="G97" s="33" t="n">
        <f aca="false">G90-G95</f>
        <v>10755.6270487144</v>
      </c>
      <c r="H97" s="33"/>
      <c r="J97" s="31" t="s">
        <v>112</v>
      </c>
      <c r="K97" s="33" t="n">
        <f aca="false">K90-K95</f>
        <v>36519.004</v>
      </c>
      <c r="L97" s="32"/>
      <c r="M97" s="32"/>
      <c r="N97" s="23"/>
      <c r="O97" s="23"/>
      <c r="P97" s="23"/>
      <c r="Q97" s="33"/>
      <c r="S97" s="31" t="s">
        <v>112</v>
      </c>
      <c r="T97" s="33" t="n">
        <f aca="false">T90-T95</f>
        <v>17225.9407086168</v>
      </c>
      <c r="U97" s="32"/>
      <c r="V97" s="32"/>
      <c r="W97" s="23"/>
      <c r="X97" s="23"/>
      <c r="Y97" s="23"/>
      <c r="Z97" s="33"/>
      <c r="AB97" s="31" t="s">
        <v>112</v>
      </c>
      <c r="AC97" s="33" t="n">
        <f aca="false">AC90-AC95</f>
        <v>17225.9407086168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443.388491839162</v>
      </c>
      <c r="C98" s="32"/>
      <c r="D98" s="32"/>
      <c r="E98" s="23"/>
      <c r="F98" s="31" t="s">
        <v>113</v>
      </c>
      <c r="G98" s="33" t="n">
        <f aca="false">(G97/G96)</f>
        <v>366.991495516615</v>
      </c>
      <c r="H98" s="33"/>
      <c r="J98" s="31" t="s">
        <v>113</v>
      </c>
      <c r="K98" s="33" t="n">
        <f aca="false">(K97/K96)</f>
        <v>1522.35059507587</v>
      </c>
      <c r="L98" s="32"/>
      <c r="M98" s="32"/>
      <c r="N98" s="23"/>
      <c r="O98" s="23"/>
      <c r="P98" s="23"/>
      <c r="Q98" s="33"/>
      <c r="S98" s="31" t="s">
        <v>113</v>
      </c>
      <c r="T98" s="33" t="n">
        <f aca="false">(T97/T96)</f>
        <v>634.549742547474</v>
      </c>
      <c r="U98" s="32"/>
      <c r="V98" s="32"/>
      <c r="W98" s="23"/>
      <c r="X98" s="23"/>
      <c r="Y98" s="23"/>
      <c r="Z98" s="33"/>
      <c r="AB98" s="31" t="s">
        <v>113</v>
      </c>
      <c r="AC98" s="33" t="n">
        <f aca="false">(AC97/AC96)</f>
        <v>634.549742547474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14188.4317388532</v>
      </c>
      <c r="C99" s="32"/>
      <c r="D99" s="32"/>
      <c r="E99" s="23"/>
      <c r="F99" s="31" t="s">
        <v>114</v>
      </c>
      <c r="G99" s="33" t="n">
        <f aca="false">((G98*(G94))+G86)</f>
        <v>11743.7278565317</v>
      </c>
      <c r="H99" s="33"/>
      <c r="J99" s="31" t="s">
        <v>114</v>
      </c>
      <c r="K99" s="33" t="n">
        <f aca="false">((K98*(K94))+K86)</f>
        <v>50237.5696375037</v>
      </c>
      <c r="L99" s="32"/>
      <c r="M99" s="32"/>
      <c r="N99" s="23"/>
      <c r="O99" s="23"/>
      <c r="P99" s="23"/>
      <c r="Q99" s="33"/>
      <c r="S99" s="31" t="s">
        <v>114</v>
      </c>
      <c r="T99" s="33" t="n">
        <f aca="false">(T98*(T94))+T86</f>
        <v>20305.5917615192</v>
      </c>
      <c r="U99" s="32"/>
      <c r="V99" s="32"/>
      <c r="W99" s="23"/>
      <c r="X99" s="23"/>
      <c r="Y99" s="23"/>
      <c r="Z99" s="33"/>
      <c r="AB99" s="31" t="s">
        <v>114</v>
      </c>
      <c r="AC99" s="33" t="n">
        <f aca="false">(AC98*(AC68))+AC86</f>
        <v>20305.5917615192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n">
        <f aca="false">(K99/(1-K80))*K80</f>
        <v>0</v>
      </c>
      <c r="L100" s="32"/>
      <c r="M100" s="32"/>
      <c r="N100" s="23"/>
      <c r="O100" s="23"/>
      <c r="P100" s="23"/>
      <c r="Q100" s="33"/>
      <c r="S100" s="31" t="s">
        <v>115</v>
      </c>
      <c r="T100" s="33" t="n">
        <f aca="false">(T99/(1-T80))*T80</f>
        <v>0</v>
      </c>
      <c r="U100" s="32"/>
      <c r="V100" s="32"/>
      <c r="W100" s="23"/>
      <c r="X100" s="23"/>
      <c r="Y100" s="23"/>
      <c r="Z100" s="33"/>
      <c r="AB100" s="31" t="s">
        <v>115</v>
      </c>
      <c r="AC100" s="33" t="n">
        <f aca="false">(AC99/(1-AC80))*AC80</f>
        <v>0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14188.4317388532</v>
      </c>
      <c r="C101" s="32"/>
      <c r="D101" s="32"/>
      <c r="E101" s="23"/>
      <c r="F101" s="56" t="s">
        <v>116</v>
      </c>
      <c r="G101" s="65" t="n">
        <f aca="false">(G99+G100)</f>
        <v>11743.7278565317</v>
      </c>
      <c r="H101" s="33"/>
      <c r="J101" s="56" t="s">
        <v>116</v>
      </c>
      <c r="K101" s="65" t="n">
        <f aca="false">(K99+K100)</f>
        <v>50237.5696375037</v>
      </c>
      <c r="L101" s="32"/>
      <c r="M101" s="32"/>
      <c r="N101" s="23"/>
      <c r="O101" s="23"/>
      <c r="P101" s="23"/>
      <c r="Q101" s="33"/>
      <c r="S101" s="56" t="s">
        <v>116</v>
      </c>
      <c r="T101" s="65" t="n">
        <f aca="false">(T99+T100)</f>
        <v>20305.5917615192</v>
      </c>
      <c r="U101" s="32"/>
      <c r="V101" s="32"/>
      <c r="W101" s="23"/>
      <c r="X101" s="23"/>
      <c r="Y101" s="23"/>
      <c r="Z101" s="33"/>
      <c r="AB101" s="56" t="s">
        <v>116</v>
      </c>
      <c r="AC101" s="65" t="n">
        <f aca="false">(AC99+AC100)</f>
        <v>20305.5917615192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</f>
        <v>61.875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443.388491839162</v>
      </c>
      <c r="C104" s="32"/>
      <c r="D104" s="32"/>
      <c r="E104" s="23"/>
      <c r="F104" s="95" t="s">
        <v>118</v>
      </c>
      <c r="G104" s="96" t="n">
        <f aca="false">G101/(G94)</f>
        <v>366.991495516615</v>
      </c>
      <c r="H104" s="33"/>
      <c r="J104" s="95" t="s">
        <v>118</v>
      </c>
      <c r="K104" s="96" t="n">
        <f aca="false">K101/(K94)</f>
        <v>1522.35059507587</v>
      </c>
      <c r="L104" s="32"/>
      <c r="M104" s="32"/>
      <c r="N104" s="23"/>
      <c r="O104" s="23"/>
      <c r="P104" s="23"/>
      <c r="Q104" s="33"/>
      <c r="S104" s="95" t="s">
        <v>118</v>
      </c>
      <c r="T104" s="96" t="n">
        <f aca="false">T101/(T94)</f>
        <v>634.549742547474</v>
      </c>
      <c r="U104" s="32"/>
      <c r="V104" s="32"/>
      <c r="W104" s="23"/>
      <c r="X104" s="23"/>
      <c r="Y104" s="23"/>
      <c r="Z104" s="33"/>
      <c r="AB104" s="95" t="s">
        <v>118</v>
      </c>
      <c r="AC104" s="96" t="n">
        <f aca="false">AC101/(AC68)</f>
        <v>634.549742547474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505.263491839162</v>
      </c>
      <c r="C105" s="32"/>
      <c r="D105" s="32"/>
      <c r="E105" s="23" t="s">
        <v>18</v>
      </c>
      <c r="F105" s="97" t="s">
        <v>119</v>
      </c>
      <c r="G105" s="98" t="n">
        <f aca="false">G103+G104</f>
        <v>366.991495516615</v>
      </c>
      <c r="H105" s="33"/>
      <c r="J105" s="97" t="s">
        <v>119</v>
      </c>
      <c r="K105" s="98" t="n">
        <f aca="false">(K103+K104)</f>
        <v>1522.35059507587</v>
      </c>
      <c r="L105" s="32"/>
      <c r="M105" s="32"/>
      <c r="N105" s="23"/>
      <c r="O105" s="23"/>
      <c r="P105" s="23"/>
      <c r="Q105" s="33"/>
      <c r="S105" s="97" t="s">
        <v>119</v>
      </c>
      <c r="T105" s="98" t="n">
        <f aca="false">T103+T104</f>
        <v>634.549742547474</v>
      </c>
      <c r="U105" s="32"/>
      <c r="V105" s="32"/>
      <c r="W105" s="23"/>
      <c r="X105" s="23"/>
      <c r="Y105" s="23"/>
      <c r="Z105" s="33"/>
      <c r="AB105" s="97" t="s">
        <v>119</v>
      </c>
      <c r="AC105" s="98" t="n">
        <f aca="false">AC103+AC104</f>
        <v>634.549742547474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s">
        <v>235</v>
      </c>
      <c r="C108" s="23"/>
      <c r="D108" s="23"/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/>
      <c r="C114" s="103"/>
      <c r="D114" s="103"/>
      <c r="E114" s="104" t="s">
        <v>18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0.2</v>
      </c>
      <c r="B117" s="107" t="s">
        <v>132</v>
      </c>
      <c r="C117" s="107"/>
      <c r="D117" s="107"/>
      <c r="E117" s="108" t="n">
        <f aca="false">B92</f>
        <v>0.137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7" t="n">
        <v>0</v>
      </c>
      <c r="C120" s="107"/>
      <c r="D120" s="107"/>
      <c r="E120" s="107" t="n">
        <v>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236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23"/>
      <c r="C127" s="23"/>
      <c r="D127" s="23"/>
      <c r="E127" s="23"/>
      <c r="F127" s="23"/>
      <c r="G127" s="2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25" t="n">
        <f aca="false">B3</f>
        <v>16745</v>
      </c>
      <c r="C130" s="40" t="n">
        <f aca="false">B130</f>
        <v>16745</v>
      </c>
      <c r="D130" s="25" t="n">
        <f aca="false">D3</f>
        <v>0</v>
      </c>
      <c r="E130" s="40" t="n">
        <f aca="false">D130</f>
        <v>0</v>
      </c>
      <c r="F130" s="25" t="n">
        <f aca="false">F3</f>
        <v>0</v>
      </c>
      <c r="G130" s="40" t="n">
        <f aca="false">F130</f>
        <v>0</v>
      </c>
      <c r="H130" s="122" t="n">
        <f aca="false">H3</f>
        <v>0</v>
      </c>
      <c r="J130" s="25" t="s">
        <v>149</v>
      </c>
      <c r="K130" s="25" t="n">
        <f aca="false">B3</f>
        <v>16745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n">
        <f aca="false">F3</f>
        <v>0</v>
      </c>
      <c r="P130" s="40" t="n">
        <f aca="false">O130</f>
        <v>0</v>
      </c>
      <c r="Q130" s="122" t="n">
        <f aca="false">H3</f>
        <v>0</v>
      </c>
      <c r="S130" s="25" t="s">
        <v>149</v>
      </c>
      <c r="T130" s="25" t="n">
        <f aca="false">B3</f>
        <v>16745</v>
      </c>
      <c r="U130" s="40" t="n">
        <f aca="false">T130</f>
        <v>16745</v>
      </c>
      <c r="V130" s="25" t="n">
        <f aca="false">D3</f>
        <v>0</v>
      </c>
      <c r="W130" s="40" t="n">
        <f aca="false">V130</f>
        <v>0</v>
      </c>
      <c r="X130" s="25" t="n">
        <f aca="false">F3</f>
        <v>0</v>
      </c>
      <c r="Y130" s="40" t="n">
        <f aca="false">X130</f>
        <v>0</v>
      </c>
      <c r="Z130" s="122" t="n">
        <f aca="false">H3</f>
        <v>0</v>
      </c>
      <c r="AB130" s="25" t="s">
        <v>149</v>
      </c>
      <c r="AC130" s="25" t="n">
        <f aca="false">B3</f>
        <v>16745</v>
      </c>
      <c r="AD130" s="40" t="n">
        <f aca="false">AC130</f>
        <v>16745</v>
      </c>
      <c r="AE130" s="25" t="n">
        <f aca="false">D3</f>
        <v>0</v>
      </c>
      <c r="AF130" s="40" t="n">
        <f aca="false">AE130</f>
        <v>0</v>
      </c>
      <c r="AG130" s="25" t="n">
        <f aca="false">F3</f>
        <v>0</v>
      </c>
      <c r="AH130" s="40" t="n">
        <f aca="false">AG130</f>
        <v>0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7" t="n">
        <f aca="false">B4</f>
        <v>0</v>
      </c>
      <c r="C131" s="496" t="n">
        <f aca="false">B131</f>
        <v>0</v>
      </c>
      <c r="D131" s="127" t="n">
        <f aca="false">D4</f>
        <v>0</v>
      </c>
      <c r="E131" s="128" t="n">
        <f aca="false">D131</f>
        <v>0</v>
      </c>
      <c r="F131" s="127" t="n">
        <f aca="false">F4</f>
        <v>0</v>
      </c>
      <c r="G131" s="128" t="n">
        <f aca="false">F131</f>
        <v>0</v>
      </c>
      <c r="H131" s="129"/>
      <c r="J131" s="31" t="s">
        <v>150</v>
      </c>
      <c r="K131" s="127" t="n">
        <f aca="false">B4</f>
        <v>0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n">
        <f aca="false">F4</f>
        <v>0</v>
      </c>
      <c r="P131" s="128" t="n">
        <f aca="false">O131</f>
        <v>0</v>
      </c>
      <c r="Q131" s="129"/>
      <c r="S131" s="31" t="s">
        <v>150</v>
      </c>
      <c r="T131" s="127" t="n">
        <f aca="false">B4</f>
        <v>0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n">
        <f aca="false">F4</f>
        <v>0</v>
      </c>
      <c r="Y131" s="128" t="n">
        <f aca="false">X131</f>
        <v>0</v>
      </c>
      <c r="Z131" s="129"/>
      <c r="AB131" s="31" t="s">
        <v>150</v>
      </c>
      <c r="AC131" s="127" t="n">
        <f aca="false">B4</f>
        <v>0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n">
        <f aca="false">F4</f>
        <v>0</v>
      </c>
      <c r="AH131" s="128" t="n">
        <f aca="false">AG131</f>
        <v>0</v>
      </c>
      <c r="AI131" s="129"/>
    </row>
    <row r="132" customFormat="false" ht="17.35" hidden="false" customHeight="false" outlineLevel="0" collapsed="false">
      <c r="A132" s="31" t="s">
        <v>151</v>
      </c>
      <c r="B132" s="31" t="n">
        <f aca="false">B5</f>
        <v>0</v>
      </c>
      <c r="C132" s="40" t="n">
        <f aca="false">B132</f>
        <v>0</v>
      </c>
      <c r="D132" s="31" t="n">
        <f aca="false">D5</f>
        <v>0</v>
      </c>
      <c r="E132" s="40" t="n">
        <f aca="false">D132</f>
        <v>0</v>
      </c>
      <c r="F132" s="31" t="n">
        <f aca="false">F5</f>
        <v>0</v>
      </c>
      <c r="G132" s="40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n">
        <f aca="false">F5</f>
        <v>0</v>
      </c>
      <c r="P132" s="40" t="n">
        <f aca="false">O132</f>
        <v>0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n">
        <f aca="false">F5</f>
        <v>0</v>
      </c>
      <c r="Y132" s="40" t="n">
        <f aca="false">X132</f>
        <v>0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n">
        <f aca="false">F5</f>
        <v>0</v>
      </c>
      <c r="AH132" s="40" t="n">
        <f aca="false">AG132</f>
        <v>0</v>
      </c>
      <c r="AI132" s="33"/>
    </row>
    <row r="133" customFormat="false" ht="17.35" hidden="false" customHeight="false" outlineLevel="0" collapsed="false">
      <c r="A133" s="31" t="s">
        <v>152</v>
      </c>
      <c r="B133" s="31" t="n">
        <f aca="false">(B130*B131)+B132</f>
        <v>0</v>
      </c>
      <c r="C133" s="27" t="n">
        <f aca="false">(C130*C131/100)+C132</f>
        <v>0</v>
      </c>
      <c r="D133" s="31" t="n">
        <f aca="false">(D130*D131)+D132</f>
        <v>0</v>
      </c>
      <c r="E133" s="27" t="n">
        <f aca="false">(E130*E131/100)+E132</f>
        <v>0</v>
      </c>
      <c r="F133" s="31" t="n">
        <f aca="false">(F130*F131)+F132</f>
        <v>0</v>
      </c>
      <c r="G133" s="27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n">
        <f aca="false">(O130*O131)+O132</f>
        <v>0</v>
      </c>
      <c r="P133" s="27" t="n">
        <f aca="false">(P130*P131)+P132</f>
        <v>0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4186.25</v>
      </c>
      <c r="V133" s="31" t="n">
        <f aca="false">(V130*V131)+V132</f>
        <v>0</v>
      </c>
      <c r="W133" s="27" t="n">
        <f aca="false">(W130*W131)+W132</f>
        <v>0</v>
      </c>
      <c r="X133" s="31" t="n">
        <f aca="false">(X130*X131)+X132</f>
        <v>0</v>
      </c>
      <c r="Y133" s="27" t="n">
        <f aca="false">(Y130*Y131)+Y132</f>
        <v>0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4186.25</v>
      </c>
      <c r="AE133" s="31" t="n">
        <f aca="false">(AE130*AE131)+AE132</f>
        <v>0</v>
      </c>
      <c r="AF133" s="27" t="n">
        <f aca="false">(AF130*AF131)+AF132</f>
        <v>0</v>
      </c>
      <c r="AG133" s="31" t="n">
        <f aca="false">(AG130*AG131)+AG132</f>
        <v>0</v>
      </c>
      <c r="AH133" s="27" t="n">
        <f aca="false">(AH130*AH131)+AH132</f>
        <v>0</v>
      </c>
      <c r="AI133" s="33"/>
    </row>
    <row r="134" customFormat="false" ht="17.35" hidden="false" customHeight="false" outlineLevel="0" collapsed="false">
      <c r="A134" s="56" t="s">
        <v>153</v>
      </c>
      <c r="B134" s="56" t="n">
        <f aca="false">B130-B133</f>
        <v>16745</v>
      </c>
      <c r="C134" s="65" t="n">
        <f aca="false">C130-C133</f>
        <v>16745</v>
      </c>
      <c r="D134" s="56" t="n">
        <f aca="false">D130-D133</f>
        <v>0</v>
      </c>
      <c r="E134" s="65" t="n">
        <f aca="false">E130-E133</f>
        <v>0</v>
      </c>
      <c r="F134" s="56" t="n">
        <f aca="false">F130-F133</f>
        <v>0</v>
      </c>
      <c r="G134" s="65" t="n">
        <f aca="false">G130-G133</f>
        <v>0</v>
      </c>
      <c r="H134" s="65"/>
      <c r="J134" s="56" t="s">
        <v>153</v>
      </c>
      <c r="K134" s="56" t="n">
        <f aca="false">K130-K133</f>
        <v>16745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n">
        <f aca="false">O130-O133</f>
        <v>0</v>
      </c>
      <c r="P134" s="65" t="n">
        <f aca="false">P130-P133</f>
        <v>0</v>
      </c>
      <c r="Q134" s="65"/>
      <c r="S134" s="56" t="s">
        <v>153</v>
      </c>
      <c r="T134" s="56" t="n">
        <f aca="false">T130-T133</f>
        <v>16745</v>
      </c>
      <c r="U134" s="65" t="n">
        <f aca="false">U130-U133</f>
        <v>12558.75</v>
      </c>
      <c r="V134" s="56" t="n">
        <f aca="false">V130-V133</f>
        <v>0</v>
      </c>
      <c r="W134" s="65" t="n">
        <f aca="false">W130-W133</f>
        <v>0</v>
      </c>
      <c r="X134" s="56" t="n">
        <f aca="false">X130-X133</f>
        <v>0</v>
      </c>
      <c r="Y134" s="65" t="n">
        <f aca="false">Y130-Y133</f>
        <v>0</v>
      </c>
      <c r="Z134" s="65"/>
      <c r="AB134" s="56" t="s">
        <v>153</v>
      </c>
      <c r="AC134" s="56" t="n">
        <f aca="false">AC130-AC133</f>
        <v>16745</v>
      </c>
      <c r="AD134" s="65" t="n">
        <f aca="false">AD130-AD133</f>
        <v>12558.75</v>
      </c>
      <c r="AE134" s="56" t="n">
        <f aca="false">AE130-AE133</f>
        <v>0</v>
      </c>
      <c r="AF134" s="65" t="n">
        <f aca="false">AF130-AF133</f>
        <v>0</v>
      </c>
      <c r="AG134" s="56" t="n">
        <f aca="false">AG130-AG133</f>
        <v>0</v>
      </c>
      <c r="AH134" s="65" t="n">
        <f aca="false">AH130-AH133</f>
        <v>0</v>
      </c>
      <c r="AI134" s="65"/>
    </row>
    <row r="135" customFormat="false" ht="17.35" hidden="false" customHeight="false" outlineLevel="0" collapsed="false">
      <c r="A135" s="31"/>
      <c r="B135" s="32"/>
      <c r="C135" s="32"/>
      <c r="D135" s="32"/>
      <c r="E135" s="32"/>
      <c r="F135" s="32"/>
      <c r="G135" s="32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8"/>
      <c r="C136" s="138"/>
      <c r="D136" s="138"/>
      <c r="E136" s="138"/>
      <c r="F136" s="138"/>
      <c r="G136" s="139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32"/>
      <c r="C138" s="32"/>
      <c r="D138" s="32"/>
      <c r="E138" s="32"/>
      <c r="F138" s="32"/>
      <c r="G138" s="146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32"/>
      <c r="C143" s="32"/>
      <c r="D143" s="32"/>
      <c r="E143" s="32"/>
      <c r="F143" s="32"/>
      <c r="G143" s="146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9" t="n">
        <f aca="false">H9</f>
        <v>16745</v>
      </c>
      <c r="H144" s="153" t="n">
        <f aca="false">C134+E134+G134+H137</f>
        <v>16745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16745</v>
      </c>
      <c r="Q144" s="153" t="n">
        <f aca="false">L134+N134+P134+Q137</f>
        <v>28629.17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16745</v>
      </c>
      <c r="Z144" s="153" t="n">
        <f aca="false">U134+W134+Y134+Z137</f>
        <v>12558.75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16745</v>
      </c>
      <c r="AI144" s="153" t="n">
        <f aca="false">AD134+AF134+AH134+AI137</f>
        <v>12558.75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6" t="n">
        <f aca="false">H10</f>
        <v>695</v>
      </c>
      <c r="H145" s="33" t="n">
        <f aca="false">G145</f>
        <v>695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695</v>
      </c>
      <c r="Q145" s="33" t="n">
        <f aca="false">P145</f>
        <v>695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695</v>
      </c>
      <c r="Z145" s="33" t="n">
        <f aca="false">Y145</f>
        <v>695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695</v>
      </c>
      <c r="AI145" s="33" t="n">
        <f aca="false">AH145</f>
        <v>695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156" t="n">
        <f aca="false">H11</f>
        <v>3488</v>
      </c>
      <c r="H146" s="33" t="n">
        <f aca="false">(H144+H145)*20%</f>
        <v>3488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3488</v>
      </c>
      <c r="Q146" s="33" t="n">
        <f aca="false">(Q144+Q145)*20%</f>
        <v>5864.834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3488</v>
      </c>
      <c r="Z146" s="33" t="n">
        <f aca="false">(Z144+Z145)*20%</f>
        <v>2650.75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3488</v>
      </c>
      <c r="AI146" s="33" t="n">
        <f aca="false">(AI144+AI145)*20%</f>
        <v>2650.75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6" t="n">
        <f aca="false">H12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6" t="n">
        <f aca="false">H13</f>
        <v>275</v>
      </c>
      <c r="H148" s="33" t="n">
        <f aca="false">G148</f>
        <v>275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275</v>
      </c>
      <c r="Q148" s="33" t="n">
        <f aca="false">P148</f>
        <v>275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275</v>
      </c>
      <c r="Z148" s="33" t="n">
        <f aca="false">Y148</f>
        <v>275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275</v>
      </c>
      <c r="AI148" s="33" t="n">
        <f aca="false">AH148</f>
        <v>275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6" t="n">
        <f aca="false">H14</f>
        <v>65</v>
      </c>
      <c r="H149" s="33" t="n">
        <f aca="false">G149</f>
        <v>65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65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65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65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8" t="n">
        <f aca="false">H15</f>
        <v>21268</v>
      </c>
      <c r="H150" s="157" t="n">
        <f aca="false">(H144+H145+H148+H149+H146)-H147</f>
        <v>21268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21268</v>
      </c>
      <c r="Q150" s="157" t="n">
        <f aca="false">(Q144+Q145+Q148+Q149+Q146)-Q147</f>
        <v>35519.004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21268</v>
      </c>
      <c r="Z150" s="157" t="n">
        <f aca="false">(Z144+Z145+Z148+Z149+Z146)-Z147</f>
        <v>16234.5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21268</v>
      </c>
      <c r="AI150" s="157" t="n">
        <f aca="false">(AI144+AI145+AI148+AI149+AI146)-AI147</f>
        <v>16234.5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156" t="n">
        <f aca="false">H16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8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s">
        <v>170</v>
      </c>
      <c r="C153" s="161"/>
      <c r="D153" s="161"/>
      <c r="E153" s="161"/>
      <c r="F153" s="161"/>
      <c r="G153" s="156" t="n">
        <f aca="false">H18</f>
        <v>0</v>
      </c>
      <c r="H153" s="40" t="n">
        <f aca="false">G153</f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156" t="n">
        <f aca="false">H19</f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156" t="n">
        <f aca="false">H20</f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58" t="n">
        <f aca="false">G150-((G153*1.2)+(G154*1.2)+(G155*1.2)+(G151*1.2))</f>
        <v>21268</v>
      </c>
      <c r="H156" s="164" t="n">
        <f aca="false">H150-((H153*1.2)+(H154*1.2)+(H155*1.2)+(H151*1.2))</f>
        <v>21268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21268</v>
      </c>
      <c r="Q156" s="164" t="n">
        <f aca="false">Q150-((Q153*1.2)+(Q154*1.2)+(Q155*1.2)+(Q151*1.2))</f>
        <v>35519.004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21268</v>
      </c>
      <c r="Z156" s="164" t="n">
        <f aca="false">Z150-((Z153*1.2)+(Z154*1.2)+(Z155*1.2)+(Z151*1.2))</f>
        <v>16234.5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21268</v>
      </c>
      <c r="AI156" s="164" t="n">
        <f aca="false">AI150-((AI153*1.2)+(AI154*1.2)+(AI155*1.2)+(AI151*1.2))</f>
        <v>16234.5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6"/>
      <c r="H157" s="40" t="n">
        <f aca="false">((H156-G156)-(H146-G146))+((I155-I154)*0.2)</f>
        <v>0</v>
      </c>
      <c r="I157" s="1" t="n">
        <f aca="false">(H157-G90)/1.2</f>
        <v>-13983.3333333333</v>
      </c>
      <c r="J157" s="154" t="s">
        <v>172</v>
      </c>
      <c r="K157" s="154"/>
      <c r="L157" s="154"/>
      <c r="M157" s="154"/>
      <c r="N157" s="154"/>
      <c r="O157" s="154"/>
      <c r="P157" s="156"/>
      <c r="Q157" s="40" t="n">
        <f aca="false">Q156-P156</f>
        <v>14251.004</v>
      </c>
      <c r="S157" s="154" t="s">
        <v>172</v>
      </c>
      <c r="T157" s="154"/>
      <c r="U157" s="154"/>
      <c r="V157" s="154"/>
      <c r="W157" s="154"/>
      <c r="X157" s="154"/>
      <c r="Y157" s="156"/>
      <c r="Z157" s="40" t="n">
        <f aca="false">Z156-Y156</f>
        <v>-5033.5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n">
        <f aca="false">AI156-AH156</f>
        <v>-5033.5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</v>
      </c>
      <c r="F161" s="107"/>
      <c r="G161" s="107" t="n">
        <v>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21268</v>
      </c>
      <c r="H167" s="170"/>
      <c r="J167" s="169" t="s">
        <v>179</v>
      </c>
      <c r="K167" s="32"/>
      <c r="L167" s="32"/>
      <c r="M167" s="23"/>
      <c r="N167" s="32"/>
      <c r="O167" s="23"/>
      <c r="P167" s="170" t="n">
        <f aca="false">Q156-P163-P166</f>
        <v>36519.004</v>
      </c>
      <c r="Q167" s="170"/>
      <c r="S167" s="169" t="s">
        <v>179</v>
      </c>
      <c r="T167" s="32"/>
      <c r="U167" s="32"/>
      <c r="V167" s="23"/>
      <c r="W167" s="32"/>
      <c r="X167" s="23"/>
      <c r="Y167" s="170" t="n">
        <f aca="false">Z156-Y163-Y166</f>
        <v>17234.5</v>
      </c>
      <c r="Z167" s="170"/>
      <c r="AB167" s="169" t="s">
        <v>179</v>
      </c>
      <c r="AC167" s="32"/>
      <c r="AD167" s="32"/>
      <c r="AE167" s="23"/>
      <c r="AF167" s="32"/>
      <c r="AG167" s="23"/>
      <c r="AH167" s="170" t="n">
        <f aca="false">AI156-AH163-AH166</f>
        <v>17234.5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199.99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7200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443.388491839162</v>
      </c>
      <c r="B176" s="177" t="n">
        <f aca="false">B103</f>
        <v>61.875</v>
      </c>
      <c r="C176" s="174"/>
      <c r="D176" s="174"/>
      <c r="E176" s="177" t="n">
        <f aca="false">B105</f>
        <v>505.263491839162</v>
      </c>
      <c r="F176" s="23"/>
      <c r="G176" s="23" t="n">
        <f aca="false">ROUND(G104, 2)</f>
        <v>366.99</v>
      </c>
      <c r="H176" s="33"/>
      <c r="J176" s="176" t="n">
        <f aca="false">K104</f>
        <v>1522.35059507587</v>
      </c>
      <c r="K176" s="178" t="n">
        <f aca="false">K103</f>
        <v>0</v>
      </c>
      <c r="L176" s="175"/>
      <c r="M176" s="175"/>
      <c r="N176" s="178" t="n">
        <f aca="false">K105</f>
        <v>1522.35059507587</v>
      </c>
      <c r="O176" s="23"/>
      <c r="P176" s="23"/>
      <c r="Q176" s="33"/>
      <c r="S176" s="176" t="n">
        <f aca="false">T104</f>
        <v>634.549742547474</v>
      </c>
      <c r="T176" s="178" t="n">
        <f aca="false">T103</f>
        <v>0</v>
      </c>
      <c r="U176" s="175"/>
      <c r="V176" s="175"/>
      <c r="W176" s="178" t="n">
        <f aca="false">T105</f>
        <v>634.549742547474</v>
      </c>
      <c r="X176" s="23"/>
      <c r="Y176" s="23"/>
      <c r="Z176" s="33"/>
      <c r="AB176" s="176" t="n">
        <f aca="false">AC104</f>
        <v>634.549742547474</v>
      </c>
      <c r="AC176" s="178" t="n">
        <f aca="false">AC103</f>
        <v>0</v>
      </c>
      <c r="AD176" s="175"/>
      <c r="AE176" s="175"/>
      <c r="AF176" s="178" t="n">
        <f aca="false">AC105</f>
        <v>634.549742547474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str">
        <f aca="false">K29</f>
        <v>33</v>
      </c>
      <c r="B179" s="180" t="str">
        <f aca="false">K30</f>
        <v>5000</v>
      </c>
      <c r="C179" s="181"/>
      <c r="D179" s="23"/>
      <c r="E179" s="182" t="n">
        <f aca="false">B91</f>
        <v>7200</v>
      </c>
      <c r="F179" s="23"/>
      <c r="G179" s="23"/>
      <c r="H179" s="33"/>
      <c r="J179" s="179" t="str">
        <f aca="false">K29</f>
        <v>33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33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33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17440</v>
      </c>
      <c r="B182" s="103" t="n">
        <f aca="false">H146</f>
        <v>3488</v>
      </c>
      <c r="C182" s="186"/>
      <c r="D182" s="23"/>
      <c r="E182" s="182" t="n">
        <f aca="false">H148+H149</f>
        <v>340</v>
      </c>
      <c r="F182" s="23"/>
      <c r="G182" s="23"/>
      <c r="H182" s="33"/>
      <c r="J182" s="185" t="n">
        <f aca="false">Q150-Q146-Q148-Q149</f>
        <v>29324.17</v>
      </c>
      <c r="K182" s="38" t="n">
        <f aca="false">Q146</f>
        <v>5864.834</v>
      </c>
      <c r="L182" s="43"/>
      <c r="M182" s="23"/>
      <c r="N182" s="184" t="n">
        <f aca="false">Q148+Q149</f>
        <v>330</v>
      </c>
      <c r="O182" s="23"/>
      <c r="P182" s="23"/>
      <c r="Q182" s="33"/>
      <c r="S182" s="185" t="n">
        <f aca="false">Z150-Z146-Z148-Z149</f>
        <v>13253.75</v>
      </c>
      <c r="T182" s="38" t="n">
        <f aca="false">Z146</f>
        <v>2650.75</v>
      </c>
      <c r="U182" s="43"/>
      <c r="V182" s="23"/>
      <c r="W182" s="184" t="n">
        <f aca="false">Z148+Z149</f>
        <v>330</v>
      </c>
      <c r="X182" s="23"/>
      <c r="Y182" s="23"/>
      <c r="Z182" s="33"/>
      <c r="AB182" s="185" t="n">
        <f aca="false">AI150-AI146-AI148-AI149</f>
        <v>13253.75</v>
      </c>
      <c r="AC182" s="38" t="n">
        <f aca="false">AI146</f>
        <v>2650.75</v>
      </c>
      <c r="AD182" s="43"/>
      <c r="AE182" s="23"/>
      <c r="AF182" s="184" t="n">
        <f aca="false">AI148+AI149</f>
        <v>330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21268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n">
        <f aca="false">Q150</f>
        <v>35519.004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n">
        <f aca="false">Z150</f>
        <v>16234.5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n">
        <f aca="false">AI150</f>
        <v>16234.5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21268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n">
        <f aca="false">J185-J188-K188</f>
        <v>36519.004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n">
        <f aca="false">S185-S188-T188</f>
        <v>17234.5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n">
        <f aca="false">AB185-AB188-AC188</f>
        <v>17234.5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120.431738853185</v>
      </c>
      <c r="B191" s="103" t="str">
        <f aca="false">B123</f>
        <v>199.99</v>
      </c>
      <c r="C191" s="103"/>
      <c r="D191" s="23"/>
      <c r="E191" s="103" t="n">
        <f aca="false">E188+A191+(B191*1.2)+A194</f>
        <v>21638.4197388532</v>
      </c>
      <c r="F191" s="23"/>
      <c r="G191" s="23"/>
      <c r="H191" s="105"/>
      <c r="J191" s="111" t="n">
        <f aca="false">(J176*K68)+N194-N188-J194</f>
        <v>12208.2150424278</v>
      </c>
      <c r="K191" s="38" t="n">
        <f aca="false">K123</f>
        <v>239.99</v>
      </c>
      <c r="L191" s="38"/>
      <c r="M191" s="23"/>
      <c r="N191" s="38" t="n">
        <f aca="false">N188+J191+K191+J194</f>
        <v>48987.2090424278</v>
      </c>
      <c r="O191" s="23"/>
      <c r="P191" s="23"/>
      <c r="Q191" s="105"/>
      <c r="S191" s="111" t="n">
        <f aca="false">(S176*T68)+W194-W188-S194</f>
        <v>3083.09176151916</v>
      </c>
      <c r="T191" s="38" t="n">
        <f aca="false">T123</f>
        <v>199.99</v>
      </c>
      <c r="U191" s="38"/>
      <c r="V191" s="23"/>
      <c r="W191" s="38" t="n">
        <f aca="false">W188+S191+T191+S194</f>
        <v>20527.5817615192</v>
      </c>
      <c r="X191" s="23"/>
      <c r="Y191" s="23"/>
      <c r="Z191" s="105"/>
      <c r="AB191" s="111" t="n">
        <f aca="false">(AB176*AC68)+AF194-AF188-AB194</f>
        <v>3083.09176151916</v>
      </c>
      <c r="AC191" s="38" t="n">
        <f aca="false">AC123</f>
        <v>239.99</v>
      </c>
      <c r="AD191" s="38"/>
      <c r="AE191" s="23"/>
      <c r="AF191" s="38" t="n">
        <f aca="false">AF188+AB191+AC191+AB194</f>
        <v>20567.5817615192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A188+B191*1.2</f>
        <v>239.988</v>
      </c>
      <c r="C194" s="103"/>
      <c r="D194" s="23"/>
      <c r="E194" s="103" t="n">
        <f aca="false">E179+A194</f>
        <v>7210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</f>
        <v>4.1856</v>
      </c>
      <c r="B197" s="103" t="n">
        <f aca="false">(G167*B76)/1.2</f>
        <v>166.15625</v>
      </c>
      <c r="C197" s="93"/>
      <c r="D197" s="93"/>
      <c r="E197" s="103" t="n">
        <f aca="false">IF(E114="YES",(K55*A117*0.1), 0)</f>
        <v>33</v>
      </c>
      <c r="F197" s="23"/>
      <c r="G197" s="23"/>
      <c r="H197" s="33"/>
      <c r="J197" s="111" t="n">
        <f aca="false">IF(N114="YES", H15*0.000002, 0)</f>
        <v>0.042536</v>
      </c>
      <c r="K197" s="38" t="n">
        <f aca="false">(P167*K76)/1.2</f>
        <v>2187.33617708333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n">
        <f aca="false">(Y167*T76)/1.2</f>
        <v>134.64453125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n">
        <f aca="false">(AH167*AC76)/1.2</f>
        <v>134.64453125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B191-100</f>
        <v>99.99</v>
      </c>
      <c r="B200" s="103" t="n">
        <f aca="false">B197+E197+A200</f>
        <v>299.14625</v>
      </c>
      <c r="C200" s="93"/>
      <c r="D200" s="93"/>
      <c r="E200" s="103" t="n">
        <f aca="false">H157</f>
        <v>0</v>
      </c>
      <c r="F200" s="23"/>
      <c r="G200" s="23"/>
      <c r="H200" s="33"/>
      <c r="J200" s="111" t="n">
        <f aca="false">K194-100</f>
        <v>1139.99</v>
      </c>
      <c r="K200" s="38" t="n">
        <f aca="false">K197+N197+J200</f>
        <v>3327.32617708333</v>
      </c>
      <c r="L200" s="32"/>
      <c r="M200" s="32"/>
      <c r="N200" s="38" t="n">
        <f aca="false">Q157</f>
        <v>14251.004</v>
      </c>
      <c r="O200" s="23"/>
      <c r="P200" s="23"/>
      <c r="Q200" s="33"/>
      <c r="S200" s="111" t="n">
        <f aca="false">T194-100</f>
        <v>1099.99</v>
      </c>
      <c r="T200" s="38" t="n">
        <f aca="false">T197+W197+S200</f>
        <v>1234.63453125</v>
      </c>
      <c r="U200" s="32"/>
      <c r="V200" s="32"/>
      <c r="W200" s="38" t="n">
        <f aca="false">Z157</f>
        <v>-5033.5</v>
      </c>
      <c r="X200" s="32"/>
      <c r="Y200" s="32"/>
      <c r="Z200" s="33"/>
      <c r="AB200" s="111" t="n">
        <f aca="false">AC194-100</f>
        <v>1139.99</v>
      </c>
      <c r="AC200" s="38" t="n">
        <f aca="false">AC197+AF197+AB200</f>
        <v>1274.63453125</v>
      </c>
      <c r="AD200" s="32"/>
      <c r="AE200" s="32"/>
      <c r="AF200" s="38" t="n">
        <f aca="false">AI157</f>
        <v>-5033.5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33</v>
      </c>
      <c r="B206" s="74" t="n">
        <f aca="false">B105</f>
        <v>505.263491839162</v>
      </c>
      <c r="C206" s="74"/>
      <c r="D206" s="74"/>
      <c r="E206" s="23"/>
      <c r="F206" s="23"/>
      <c r="G206" s="23"/>
      <c r="H206" s="33"/>
      <c r="J206" s="73" t="str">
        <f aca="false">K29</f>
        <v>33</v>
      </c>
      <c r="K206" s="74" t="n">
        <f aca="false">K105</f>
        <v>1522.35059507587</v>
      </c>
      <c r="L206" s="74"/>
      <c r="M206" s="74"/>
      <c r="N206" s="23"/>
      <c r="O206" s="23"/>
      <c r="P206" s="23"/>
      <c r="Q206" s="33"/>
      <c r="S206" s="73" t="str">
        <f aca="false">K29</f>
        <v>33</v>
      </c>
      <c r="T206" s="74" t="n">
        <f aca="false">T105</f>
        <v>634.549742547474</v>
      </c>
      <c r="U206" s="74"/>
      <c r="V206" s="74"/>
      <c r="W206" s="23"/>
      <c r="X206" s="23"/>
      <c r="Y206" s="23"/>
      <c r="Z206" s="33"/>
      <c r="AB206" s="73" t="str">
        <f aca="false">K29</f>
        <v>33</v>
      </c>
      <c r="AC206" s="74" t="n">
        <f aca="false">AC105</f>
        <v>634.549742547474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ROUND(((G176*B68)+E194-E188-A194),2)</f>
        <v>-2324.32</v>
      </c>
      <c r="B210" s="186" t="n">
        <f aca="false">ROUND((E188+A210+(B191*1.2)+A194),2)</f>
        <v>19193.67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33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443.388491839162</v>
      </c>
      <c r="B221" s="177" t="n">
        <f aca="false">B176</f>
        <v>61.875</v>
      </c>
      <c r="C221" s="174"/>
      <c r="D221" s="174"/>
      <c r="E221" s="177" t="n">
        <f aca="false">E176</f>
        <v>505.263491839162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17440</v>
      </c>
      <c r="B224" s="103" t="n">
        <f aca="false">B182</f>
        <v>3488</v>
      </c>
      <c r="C224" s="186"/>
      <c r="D224" s="113"/>
      <c r="E224" s="182" t="n">
        <f aca="false">E182</f>
        <v>340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21268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21268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120.431738853185</v>
      </c>
      <c r="B233" s="103" t="str">
        <f aca="false">B191</f>
        <v>199.99</v>
      </c>
      <c r="C233" s="103"/>
      <c r="D233" s="113"/>
      <c r="E233" s="103" t="n">
        <f aca="false">E191</f>
        <v>21638.4197388532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239.988</v>
      </c>
      <c r="C236" s="103"/>
      <c r="D236" s="113"/>
      <c r="E236" s="103" t="n">
        <f aca="false">B68</f>
        <v>32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443.388491839162</v>
      </c>
      <c r="B239" s="103" t="n">
        <f aca="false">B176</f>
        <v>61.875</v>
      </c>
      <c r="C239" s="186"/>
      <c r="D239" s="186"/>
      <c r="E239" s="103" t="n">
        <f aca="false">E176</f>
        <v>505.263491839162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7200</v>
      </c>
      <c r="B242" s="103" t="n">
        <f aca="false">E194</f>
        <v>7210</v>
      </c>
      <c r="C242" s="93"/>
      <c r="D242" s="93"/>
      <c r="E242" s="103" t="n">
        <f aca="false">J18*0.000006*100</f>
        <v>12.5568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4.1856</v>
      </c>
      <c r="B245" s="103" t="n">
        <f aca="false">E242+A245</f>
        <v>16.7424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0</v>
      </c>
      <c r="B249" s="103" t="n">
        <f aca="false">B197</f>
        <v>166.15625</v>
      </c>
      <c r="C249" s="93"/>
      <c r="D249" s="93"/>
      <c r="E249" s="103" t="n">
        <f aca="false">E197</f>
        <v>33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</v>
      </c>
      <c r="B252" s="103" t="n">
        <f aca="false">B249+E249+A252+A249</f>
        <v>299.14625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0.137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200" t="n">
        <f aca="false">(E191-B191)-(B210-B191-A194)</f>
        <v>2454.74973885319</v>
      </c>
      <c r="C263" s="197"/>
      <c r="D263" s="198" t="s">
        <v>216</v>
      </c>
      <c r="E263" s="198"/>
      <c r="F263" s="200" t="n">
        <f aca="false">F270+F276+F278+B279+B280</f>
        <v>199.3875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429.99</v>
      </c>
      <c r="C264" s="197"/>
      <c r="D264" s="198" t="s">
        <v>218</v>
      </c>
      <c r="E264" s="198"/>
      <c r="F264" s="200" t="n">
        <f aca="false">(B263-F263)+B264</f>
        <v>2685.35223885319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0.072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0.137</v>
      </c>
      <c r="C269" s="43"/>
      <c r="D269" s="166" t="s">
        <v>215</v>
      </c>
      <c r="E269" s="166"/>
      <c r="F269" s="146" t="n">
        <f aca="false">B263</f>
        <v>2454.74973885319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0.009375</v>
      </c>
      <c r="C270" s="32"/>
      <c r="D270" s="166" t="s">
        <v>221</v>
      </c>
      <c r="E270" s="166"/>
      <c r="F270" s="151" t="n">
        <f aca="false">B77</f>
        <v>199.3875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0.2</v>
      </c>
      <c r="C271" s="32"/>
      <c r="D271" s="166" t="s">
        <v>222</v>
      </c>
      <c r="E271" s="166"/>
      <c r="F271" s="146" t="n">
        <f aca="false">E249*10</f>
        <v>330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</v>
      </c>
      <c r="C272" s="32"/>
      <c r="D272" s="39" t="s">
        <v>218</v>
      </c>
      <c r="E272" s="39"/>
      <c r="F272" s="146" t="n">
        <f aca="false">(B263-F263)+B264</f>
        <v>2685.35223885319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94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8">
    <dataValidation allowBlank="true" operator="between" showDropDown="false" showErrorMessage="true" showInputMessage="true" sqref="A18:A20 J153:J155 S153:S155 AB153:AB155" type="list">
      <formula1>$AB$16:$AB$18</formula1>
      <formula2>0</formula2>
    </dataValidation>
    <dataValidation allowBlank="true" operator="between" showDropDown="false" showErrorMessage="true" showInputMessage="true" sqref="N114 W114 AF114 J120 S120 AB120" type="list">
      <formula1>$Z$19:$Z$20</formula1>
      <formula2>0</formula2>
    </dataValidation>
    <dataValidation allowBlank="true" operator="between" showDropDown="false" showErrorMessage="true" showInputMessage="true" sqref="K114 T114 AC114" type="list">
      <formula1>$Y$136:$Y$145</formula1>
      <formula2>0</formula2>
    </dataValidation>
    <dataValidation allowBlank="true" operator="between" showDropDown="false" showErrorMessage="true" showInputMessage="true" sqref="K117:M117 T117:V117 AC117:AE117" type="list">
      <formula1>$AP$117:$AP$118</formula1>
      <formula2>0</formula2>
    </dataValidation>
    <dataValidation allowBlank="true" operator="between" showDropDown="false" showErrorMessage="true" showInputMessage="true" sqref="E114 A120" type="list">
      <formula1>$Z$19:$Z$20</formula1>
      <formula2>0</formula2>
    </dataValidation>
    <dataValidation allowBlank="true" operator="between" showDropDown="false" showErrorMessage="true" showInputMessage="true" sqref="A153:A155" type="list">
      <formula1>$AB$16:$AB$18</formula1>
      <formula2>0</formula2>
    </dataValidation>
    <dataValidation allowBlank="true" operator="between" showDropDown="false" showErrorMessage="true" showInputMessage="true" sqref="B114" type="list">
      <formula1>$Y$136:$Y$145</formula1>
      <formula2>0</formula2>
    </dataValidation>
    <dataValidation allowBlank="true" operator="between" showDropDown="false" showErrorMessage="true" showInputMessage="true" sqref="B117:D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250" colorId="64" zoomScale="85" zoomScaleNormal="85" zoomScalePageLayoutView="100" workbookViewId="0">
      <selection pane="topLeft" activeCell="F270" activeCellId="0" sqref="F270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16745</v>
      </c>
      <c r="C3" s="441"/>
      <c r="D3" s="441" t="n">
        <v>0</v>
      </c>
      <c r="E3" s="441"/>
      <c r="F3" s="441" t="n">
        <v>0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492" t="n">
        <v>0</v>
      </c>
      <c r="C4" s="492"/>
      <c r="D4" s="493" t="n">
        <v>0</v>
      </c>
      <c r="E4" s="493"/>
      <c r="F4" s="493" t="n">
        <v>0</v>
      </c>
      <c r="G4" s="493"/>
      <c r="H4" s="129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</v>
      </c>
      <c r="C5" s="441"/>
      <c r="D5" s="441" t="n">
        <v>0</v>
      </c>
      <c r="E5" s="441"/>
      <c r="F5" s="441" t="n">
        <v>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/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16745</v>
      </c>
      <c r="C7" s="155"/>
      <c r="D7" s="155" t="n">
        <f aca="false">D3-D6</f>
        <v>0</v>
      </c>
      <c r="E7" s="155"/>
      <c r="F7" s="155" t="n">
        <f aca="false">F3-F6</f>
        <v>0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32"/>
      <c r="C8" s="32"/>
      <c r="D8" s="32"/>
      <c r="E8" s="32"/>
      <c r="F8" s="32"/>
      <c r="G8" s="32"/>
      <c r="H8" s="33"/>
      <c r="I8" s="2"/>
      <c r="J8" s="2"/>
      <c r="L8" s="13" t="s">
        <v>3</v>
      </c>
      <c r="M8" s="14" t="n">
        <f aca="false">H13+H14</f>
        <v>340</v>
      </c>
    </row>
    <row r="9" customFormat="false" ht="19.7" hidden="false" customHeight="false" outlineLevel="0" collapsed="false">
      <c r="A9" s="152" t="s">
        <v>161</v>
      </c>
      <c r="B9" s="152" t="n">
        <v>23125</v>
      </c>
      <c r="C9" s="152"/>
      <c r="D9" s="152"/>
      <c r="E9" s="152"/>
      <c r="F9" s="152"/>
      <c r="G9" s="139"/>
      <c r="H9" s="443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/>
      <c r="F10" s="154"/>
      <c r="G10" s="156"/>
      <c r="H10" s="442" t="n">
        <v>695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4" t="s">
        <v>163</v>
      </c>
      <c r="B11" s="154" t="n">
        <v>0</v>
      </c>
      <c r="C11" s="154"/>
      <c r="D11" s="154"/>
      <c r="E11" s="154"/>
      <c r="F11" s="154"/>
      <c r="G11" s="156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6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 t="n">
        <v>0</v>
      </c>
      <c r="C13" s="154"/>
      <c r="D13" s="154"/>
      <c r="E13" s="154"/>
      <c r="F13" s="154"/>
      <c r="G13" s="156"/>
      <c r="H13" s="442" t="n">
        <v>275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/>
      <c r="F14" s="154"/>
      <c r="G14" s="156"/>
      <c r="H14" s="442" t="n">
        <v>65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6"/>
      <c r="H15" s="444" t="n">
        <f aca="false">(H9+H10+H13+H14+H11)-H12</f>
        <v>21268</v>
      </c>
      <c r="I15" s="2"/>
      <c r="J15" s="17" t="n">
        <f aca="false">H15</f>
        <v>21268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/>
      <c r="F16" s="154"/>
      <c r="G16" s="156"/>
      <c r="H16" s="442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38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39"/>
      <c r="H18" s="445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39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39"/>
      <c r="H20" s="445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21268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33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str">
        <f aca="false">A46</f>
        <v>50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</row>
    <row r="34" customFormat="false" ht="17.35" hidden="false" customHeight="false" outlineLevel="0" collapsed="false">
      <c r="A34" s="40" t="s">
        <v>249</v>
      </c>
      <c r="B34" s="32"/>
      <c r="C34" s="41" t="s">
        <v>43</v>
      </c>
      <c r="D34" s="41"/>
      <c r="E34" s="32"/>
      <c r="F34" s="41" t="n">
        <f aca="false">(A34/12)*C34</f>
        <v>13750</v>
      </c>
      <c r="G34" s="41"/>
      <c r="H34" s="47"/>
      <c r="I34" s="2"/>
      <c r="J34" s="2"/>
      <c r="K34" s="2"/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495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32</v>
      </c>
    </row>
    <row r="37" customFormat="false" ht="17.35" hidden="false" customHeight="false" outlineLevel="0" collapsed="false">
      <c r="A37" s="36" t="n">
        <f aca="false">H9+H10+H13+H14</f>
        <v>17780</v>
      </c>
      <c r="B37" s="32"/>
      <c r="C37" s="41" t="s">
        <v>45</v>
      </c>
      <c r="D37" s="41"/>
      <c r="E37" s="32"/>
      <c r="F37" s="43" t="n">
        <f aca="false">A37-C37</f>
        <v>16780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32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H11</f>
        <v>3488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str">
        <f aca="false">IF(F43="Yes", A46, 0)</f>
        <v>50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33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75.3939393939394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474.606060606061</v>
      </c>
      <c r="L45" s="2"/>
    </row>
    <row r="46" customFormat="false" ht="17.35" hidden="false" customHeight="false" outlineLevel="0" collapsed="false">
      <c r="A46" s="40" t="s">
        <v>233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0.363636363636364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0.606060606060606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475.575757575758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425.575757575758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382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1650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33</v>
      </c>
      <c r="B60" s="74" t="n">
        <f aca="false">K49</f>
        <v>475.575757575758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32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32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32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32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20928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20928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20928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20928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13424.0947932947</v>
      </c>
      <c r="C74" s="32"/>
      <c r="D74" s="32"/>
      <c r="E74" s="23"/>
      <c r="F74" s="23"/>
      <c r="G74" s="23"/>
      <c r="H74" s="33"/>
      <c r="J74" s="56" t="s">
        <v>90</v>
      </c>
      <c r="K74" s="65" t="n">
        <f aca="false">(K98*K68)-(K47*K29)</f>
        <v>48703.2190424278</v>
      </c>
      <c r="L74" s="32"/>
      <c r="M74" s="32"/>
      <c r="N74" s="23"/>
      <c r="O74" s="23"/>
      <c r="P74" s="23"/>
      <c r="Q74" s="33"/>
      <c r="S74" s="56" t="s">
        <v>90</v>
      </c>
      <c r="T74" s="65" t="n">
        <f aca="false">(T98*T68)-(K47*K29)</f>
        <v>20293.5917615192</v>
      </c>
      <c r="U74" s="32"/>
      <c r="V74" s="32"/>
      <c r="W74" s="23"/>
      <c r="X74" s="23"/>
      <c r="Y74" s="23"/>
      <c r="Z74" s="33"/>
      <c r="AB74" s="56" t="s">
        <v>90</v>
      </c>
      <c r="AC74" s="65" t="n">
        <f aca="false">(AC98*AC68)-(K47*K29)</f>
        <v>20293.5917615192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0.009375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0.071875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0.009375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0.009375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199.3875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1504.2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196.2</v>
      </c>
      <c r="U77" s="32"/>
      <c r="V77" s="32"/>
      <c r="W77" s="23"/>
      <c r="X77" s="23"/>
      <c r="Y77" s="23"/>
      <c r="Z77" s="33"/>
      <c r="AB77" s="56" t="s">
        <v>93</v>
      </c>
      <c r="AC77" s="65" t="n">
        <f aca="false">AH167*AC76</f>
        <v>161.5734375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475.575757575758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0.363636363636364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475.575757575758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475.575757575758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16780</v>
      </c>
      <c r="C90" s="32"/>
      <c r="D90" s="32"/>
      <c r="E90" s="23"/>
      <c r="F90" s="25" t="s">
        <v>105</v>
      </c>
      <c r="G90" s="27" t="n">
        <f aca="false">F37</f>
        <v>16780</v>
      </c>
      <c r="H90" s="33"/>
      <c r="J90" s="25" t="s">
        <v>105</v>
      </c>
      <c r="K90" s="27" t="n">
        <f aca="false">P167</f>
        <v>36519.004</v>
      </c>
      <c r="L90" s="32"/>
      <c r="M90" s="32"/>
      <c r="N90" s="23"/>
      <c r="O90" s="23"/>
      <c r="P90" s="23"/>
      <c r="Q90" s="33"/>
      <c r="S90" s="25" t="s">
        <v>105</v>
      </c>
      <c r="T90" s="27" t="n">
        <f aca="false">Y167</f>
        <v>17234.5</v>
      </c>
      <c r="U90" s="32"/>
      <c r="V90" s="32"/>
      <c r="W90" s="23"/>
      <c r="X90" s="23"/>
      <c r="Y90" s="23"/>
      <c r="Z90" s="33"/>
      <c r="AB90" s="25" t="s">
        <v>105</v>
      </c>
      <c r="AC90" s="27" t="n">
        <f aca="false">AH167</f>
        <v>17234.5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IF(A111="YES",A43,0)*1.2</f>
        <v>7200</v>
      </c>
      <c r="C91" s="32"/>
      <c r="D91" s="32"/>
      <c r="E91" s="23"/>
      <c r="F91" s="31" t="s">
        <v>106</v>
      </c>
      <c r="G91" s="33" t="n">
        <f aca="false">IF(A111="YES",A43,0)</f>
        <v>6000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0.115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0.00958333333333333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32</v>
      </c>
      <c r="C94" s="32"/>
      <c r="D94" s="32"/>
      <c r="E94" s="23"/>
      <c r="F94" s="31" t="s">
        <v>109</v>
      </c>
      <c r="G94" s="33" t="n">
        <f aca="false">IF(G91=0, (B68+B67), (B68))</f>
        <v>32</v>
      </c>
      <c r="H94" s="33"/>
      <c r="J94" s="31" t="s">
        <v>109</v>
      </c>
      <c r="K94" s="33" t="n">
        <f aca="false">IF(K91=0, (K68+K67), (K68))</f>
        <v>33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32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32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5255.82391109543</v>
      </c>
      <c r="C95" s="32"/>
      <c r="D95" s="32"/>
      <c r="E95" s="23"/>
      <c r="F95" s="31" t="s">
        <v>110</v>
      </c>
      <c r="G95" s="33" t="n">
        <f aca="false">(G91/((1+G93)^(G94+1)))</f>
        <v>5020.31079273804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8.55929138316766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8.55929138316766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27.4464895133802</v>
      </c>
      <c r="C96" s="32"/>
      <c r="D96" s="32"/>
      <c r="E96" s="23"/>
      <c r="F96" s="31" t="s">
        <v>111</v>
      </c>
      <c r="G96" s="33" t="n">
        <f aca="false">((1-(1/((1+G93)^G94)))/G93)</f>
        <v>29.3075648349115</v>
      </c>
      <c r="H96" s="33"/>
      <c r="J96" s="31" t="s">
        <v>111</v>
      </c>
      <c r="K96" s="33" t="n">
        <f aca="false">((1-(1/((1+K93)^K94)))/K93)</f>
        <v>23.9885635530494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27.1467145183312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27.1467145183312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11524.1760889046</v>
      </c>
      <c r="C97" s="32"/>
      <c r="D97" s="32"/>
      <c r="E97" s="23"/>
      <c r="F97" s="31" t="s">
        <v>112</v>
      </c>
      <c r="G97" s="33" t="n">
        <f aca="false">G90-G95</f>
        <v>11759.689207262</v>
      </c>
      <c r="H97" s="33"/>
      <c r="J97" s="31" t="s">
        <v>112</v>
      </c>
      <c r="K97" s="33" t="n">
        <f aca="false">K90-K95</f>
        <v>36519.004</v>
      </c>
      <c r="L97" s="32"/>
      <c r="M97" s="32"/>
      <c r="N97" s="23"/>
      <c r="O97" s="23"/>
      <c r="P97" s="23"/>
      <c r="Q97" s="33"/>
      <c r="S97" s="31" t="s">
        <v>112</v>
      </c>
      <c r="T97" s="33" t="n">
        <f aca="false">T90-T95</f>
        <v>17225.9407086168</v>
      </c>
      <c r="U97" s="32"/>
      <c r="V97" s="32"/>
      <c r="W97" s="23"/>
      <c r="X97" s="23"/>
      <c r="Y97" s="23"/>
      <c r="Z97" s="33"/>
      <c r="AB97" s="31" t="s">
        <v>112</v>
      </c>
      <c r="AC97" s="33" t="n">
        <f aca="false">AC90-AC95</f>
        <v>17225.9407086168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419.87796229046</v>
      </c>
      <c r="C98" s="32"/>
      <c r="D98" s="32"/>
      <c r="E98" s="23"/>
      <c r="F98" s="31" t="s">
        <v>113</v>
      </c>
      <c r="G98" s="33" t="n">
        <f aca="false">(G97/G96)</f>
        <v>401.250983270151</v>
      </c>
      <c r="H98" s="33"/>
      <c r="J98" s="31" t="s">
        <v>113</v>
      </c>
      <c r="K98" s="33" t="n">
        <f aca="false">(K97/K96)</f>
        <v>1522.35059507587</v>
      </c>
      <c r="L98" s="32"/>
      <c r="M98" s="32"/>
      <c r="N98" s="23"/>
      <c r="O98" s="23"/>
      <c r="P98" s="23"/>
      <c r="Q98" s="33"/>
      <c r="S98" s="31" t="s">
        <v>113</v>
      </c>
      <c r="T98" s="33" t="n">
        <f aca="false">(T97/T96)</f>
        <v>634.549742547474</v>
      </c>
      <c r="U98" s="32"/>
      <c r="V98" s="32"/>
      <c r="W98" s="23"/>
      <c r="X98" s="23"/>
      <c r="Y98" s="23"/>
      <c r="Z98" s="33"/>
      <c r="AB98" s="31" t="s">
        <v>113</v>
      </c>
      <c r="AC98" s="33" t="n">
        <f aca="false">(AC97/AC96)</f>
        <v>634.549742547474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13436.0947932947</v>
      </c>
      <c r="C99" s="32"/>
      <c r="D99" s="32"/>
      <c r="E99" s="23"/>
      <c r="F99" s="31" t="s">
        <v>114</v>
      </c>
      <c r="G99" s="33" t="n">
        <f aca="false">((G98*(G94))+G86)</f>
        <v>12840.0314646448</v>
      </c>
      <c r="H99" s="33"/>
      <c r="J99" s="31" t="s">
        <v>114</v>
      </c>
      <c r="K99" s="33" t="n">
        <f aca="false">((K98*(K94))+K86)</f>
        <v>50237.5696375037</v>
      </c>
      <c r="L99" s="32"/>
      <c r="M99" s="32"/>
      <c r="N99" s="23"/>
      <c r="O99" s="23"/>
      <c r="P99" s="23"/>
      <c r="Q99" s="33"/>
      <c r="S99" s="31" t="s">
        <v>114</v>
      </c>
      <c r="T99" s="33" t="n">
        <f aca="false">(T98*(T94))+T86</f>
        <v>20305.5917615192</v>
      </c>
      <c r="U99" s="32"/>
      <c r="V99" s="32"/>
      <c r="W99" s="23"/>
      <c r="X99" s="23"/>
      <c r="Y99" s="23"/>
      <c r="Z99" s="33"/>
      <c r="AB99" s="31" t="s">
        <v>114</v>
      </c>
      <c r="AC99" s="33" t="n">
        <f aca="false">(AC98*(AC68))+AC86</f>
        <v>20305.5917615192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n">
        <f aca="false">(K99/(1-K80))*K80</f>
        <v>0</v>
      </c>
      <c r="L100" s="32"/>
      <c r="M100" s="32"/>
      <c r="N100" s="23"/>
      <c r="O100" s="23"/>
      <c r="P100" s="23"/>
      <c r="Q100" s="33"/>
      <c r="S100" s="31" t="s">
        <v>115</v>
      </c>
      <c r="T100" s="33" t="n">
        <f aca="false">(T99/(1-T80))*T80</f>
        <v>0</v>
      </c>
      <c r="U100" s="32"/>
      <c r="V100" s="32"/>
      <c r="W100" s="23"/>
      <c r="X100" s="23"/>
      <c r="Y100" s="23"/>
      <c r="Z100" s="33"/>
      <c r="AB100" s="31" t="s">
        <v>115</v>
      </c>
      <c r="AC100" s="33" t="n">
        <f aca="false">(AC99/(1-AC80))*AC80</f>
        <v>0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13436.0947932947</v>
      </c>
      <c r="C101" s="32"/>
      <c r="D101" s="32"/>
      <c r="E101" s="23"/>
      <c r="F101" s="56" t="s">
        <v>116</v>
      </c>
      <c r="G101" s="65" t="n">
        <f aca="false">(G99+G100)</f>
        <v>12840.0314646448</v>
      </c>
      <c r="H101" s="33"/>
      <c r="J101" s="56" t="s">
        <v>116</v>
      </c>
      <c r="K101" s="65" t="n">
        <f aca="false">(K99+K100)</f>
        <v>50237.5696375037</v>
      </c>
      <c r="L101" s="32"/>
      <c r="M101" s="32"/>
      <c r="N101" s="23"/>
      <c r="O101" s="23"/>
      <c r="P101" s="23"/>
      <c r="Q101" s="33"/>
      <c r="S101" s="56" t="s">
        <v>116</v>
      </c>
      <c r="T101" s="65" t="n">
        <f aca="false">(T99+T100)</f>
        <v>20305.5917615192</v>
      </c>
      <c r="U101" s="32"/>
      <c r="V101" s="32"/>
      <c r="W101" s="23"/>
      <c r="X101" s="23"/>
      <c r="Y101" s="23"/>
      <c r="Z101" s="33"/>
      <c r="AB101" s="56" t="s">
        <v>116</v>
      </c>
      <c r="AC101" s="65" t="n">
        <f aca="false">(AC99+AC100)</f>
        <v>20305.5917615192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A34)*A117))/(B68)*1.2</f>
        <v>80.4375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419.87796229046</v>
      </c>
      <c r="C104" s="32"/>
      <c r="D104" s="32"/>
      <c r="E104" s="23"/>
      <c r="F104" s="95" t="s">
        <v>118</v>
      </c>
      <c r="G104" s="96" t="n">
        <f aca="false">G101/(G94)</f>
        <v>401.250983270151</v>
      </c>
      <c r="H104" s="33"/>
      <c r="J104" s="95" t="s">
        <v>118</v>
      </c>
      <c r="K104" s="96" t="n">
        <f aca="false">K101/(K94)</f>
        <v>1522.35059507587</v>
      </c>
      <c r="L104" s="32"/>
      <c r="M104" s="32"/>
      <c r="N104" s="23"/>
      <c r="O104" s="23"/>
      <c r="P104" s="23"/>
      <c r="Q104" s="33"/>
      <c r="S104" s="95" t="s">
        <v>118</v>
      </c>
      <c r="T104" s="96" t="n">
        <f aca="false">T101/(T94)</f>
        <v>634.549742547474</v>
      </c>
      <c r="U104" s="32"/>
      <c r="V104" s="32"/>
      <c r="W104" s="23"/>
      <c r="X104" s="23"/>
      <c r="Y104" s="23"/>
      <c r="Z104" s="33"/>
      <c r="AB104" s="95" t="s">
        <v>118</v>
      </c>
      <c r="AC104" s="96" t="n">
        <f aca="false">AC101/(AC68)</f>
        <v>634.549742547474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500.31546229046</v>
      </c>
      <c r="C105" s="32"/>
      <c r="D105" s="32"/>
      <c r="E105" s="23" t="s">
        <v>19</v>
      </c>
      <c r="F105" s="97" t="s">
        <v>119</v>
      </c>
      <c r="G105" s="98" t="n">
        <f aca="false">G103+G104</f>
        <v>401.250983270151</v>
      </c>
      <c r="H105" s="33"/>
      <c r="J105" s="97" t="s">
        <v>119</v>
      </c>
      <c r="K105" s="98" t="n">
        <f aca="false">(K103+K104)</f>
        <v>1522.35059507587</v>
      </c>
      <c r="L105" s="32"/>
      <c r="M105" s="32"/>
      <c r="N105" s="23"/>
      <c r="O105" s="23"/>
      <c r="P105" s="23"/>
      <c r="Q105" s="33"/>
      <c r="S105" s="97" t="s">
        <v>119</v>
      </c>
      <c r="T105" s="98" t="n">
        <f aca="false">T103+T104</f>
        <v>634.549742547474</v>
      </c>
      <c r="U105" s="32"/>
      <c r="V105" s="32"/>
      <c r="W105" s="23"/>
      <c r="X105" s="23"/>
      <c r="Y105" s="23"/>
      <c r="Z105" s="33"/>
      <c r="AB105" s="97" t="s">
        <v>119</v>
      </c>
      <c r="AC105" s="98" t="n">
        <f aca="false">AC103+AC104</f>
        <v>634.549742547474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 t="s">
        <v>128</v>
      </c>
      <c r="C114" s="103"/>
      <c r="D114" s="103"/>
      <c r="E114" s="104" t="s">
        <v>18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0.3</v>
      </c>
      <c r="B117" s="107" t="s">
        <v>132</v>
      </c>
      <c r="C117" s="107"/>
      <c r="D117" s="107"/>
      <c r="E117" s="108" t="n">
        <f aca="false">B92</f>
        <v>0.115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7" t="n">
        <v>0</v>
      </c>
      <c r="C120" s="107"/>
      <c r="D120" s="107"/>
      <c r="E120" s="107" t="n">
        <v>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141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23"/>
      <c r="C127" s="23"/>
      <c r="D127" s="23"/>
      <c r="E127" s="23"/>
      <c r="F127" s="23"/>
      <c r="G127" s="2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25" t="n">
        <f aca="false">B3</f>
        <v>16745</v>
      </c>
      <c r="C130" s="40" t="n">
        <f aca="false">B130</f>
        <v>16745</v>
      </c>
      <c r="D130" s="25" t="n">
        <f aca="false">D3</f>
        <v>0</v>
      </c>
      <c r="E130" s="40" t="n">
        <f aca="false">D130</f>
        <v>0</v>
      </c>
      <c r="F130" s="25" t="n">
        <f aca="false">F3</f>
        <v>0</v>
      </c>
      <c r="G130" s="40" t="n">
        <f aca="false">F130</f>
        <v>0</v>
      </c>
      <c r="H130" s="122" t="n">
        <f aca="false">H3</f>
        <v>0</v>
      </c>
      <c r="J130" s="25" t="s">
        <v>149</v>
      </c>
      <c r="K130" s="25" t="n">
        <f aca="false">B3</f>
        <v>16745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n">
        <f aca="false">F3</f>
        <v>0</v>
      </c>
      <c r="P130" s="40" t="n">
        <f aca="false">O130</f>
        <v>0</v>
      </c>
      <c r="Q130" s="122" t="n">
        <f aca="false">H3</f>
        <v>0</v>
      </c>
      <c r="S130" s="25" t="s">
        <v>149</v>
      </c>
      <c r="T130" s="25" t="n">
        <f aca="false">B3</f>
        <v>16745</v>
      </c>
      <c r="U130" s="40" t="n">
        <f aca="false">T130</f>
        <v>16745</v>
      </c>
      <c r="V130" s="25" t="n">
        <f aca="false">D3</f>
        <v>0</v>
      </c>
      <c r="W130" s="40" t="n">
        <f aca="false">V130</f>
        <v>0</v>
      </c>
      <c r="X130" s="25" t="n">
        <f aca="false">F3</f>
        <v>0</v>
      </c>
      <c r="Y130" s="40" t="n">
        <f aca="false">X130</f>
        <v>0</v>
      </c>
      <c r="Z130" s="122" t="n">
        <f aca="false">H3</f>
        <v>0</v>
      </c>
      <c r="AB130" s="25" t="s">
        <v>149</v>
      </c>
      <c r="AC130" s="25" t="n">
        <f aca="false">B3</f>
        <v>16745</v>
      </c>
      <c r="AD130" s="40" t="n">
        <f aca="false">AC130</f>
        <v>16745</v>
      </c>
      <c r="AE130" s="25" t="n">
        <f aca="false">D3</f>
        <v>0</v>
      </c>
      <c r="AF130" s="40" t="n">
        <f aca="false">AE130</f>
        <v>0</v>
      </c>
      <c r="AG130" s="25" t="n">
        <f aca="false">F3</f>
        <v>0</v>
      </c>
      <c r="AH130" s="40" t="n">
        <f aca="false">AG130</f>
        <v>0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7" t="n">
        <f aca="false">B4</f>
        <v>0</v>
      </c>
      <c r="C131" s="496" t="n">
        <f aca="false">B131</f>
        <v>0</v>
      </c>
      <c r="D131" s="127" t="n">
        <f aca="false">D4</f>
        <v>0</v>
      </c>
      <c r="E131" s="128" t="n">
        <f aca="false">D131</f>
        <v>0</v>
      </c>
      <c r="F131" s="127" t="n">
        <f aca="false">F4</f>
        <v>0</v>
      </c>
      <c r="G131" s="128" t="n">
        <f aca="false">F131</f>
        <v>0</v>
      </c>
      <c r="H131" s="129"/>
      <c r="J131" s="31" t="s">
        <v>150</v>
      </c>
      <c r="K131" s="127" t="n">
        <f aca="false">B4</f>
        <v>0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n">
        <f aca="false">F4</f>
        <v>0</v>
      </c>
      <c r="P131" s="128" t="n">
        <f aca="false">O131</f>
        <v>0</v>
      </c>
      <c r="Q131" s="129"/>
      <c r="S131" s="31" t="s">
        <v>150</v>
      </c>
      <c r="T131" s="127" t="n">
        <f aca="false">B4</f>
        <v>0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n">
        <f aca="false">F4</f>
        <v>0</v>
      </c>
      <c r="Y131" s="128" t="n">
        <f aca="false">X131</f>
        <v>0</v>
      </c>
      <c r="Z131" s="129"/>
      <c r="AB131" s="31" t="s">
        <v>150</v>
      </c>
      <c r="AC131" s="127" t="n">
        <f aca="false">B4</f>
        <v>0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n">
        <f aca="false">F4</f>
        <v>0</v>
      </c>
      <c r="AH131" s="128" t="n">
        <f aca="false">AG131</f>
        <v>0</v>
      </c>
      <c r="AI131" s="129"/>
    </row>
    <row r="132" customFormat="false" ht="17.35" hidden="false" customHeight="false" outlineLevel="0" collapsed="false">
      <c r="A132" s="31" t="s">
        <v>151</v>
      </c>
      <c r="B132" s="31" t="n">
        <f aca="false">B5</f>
        <v>0</v>
      </c>
      <c r="C132" s="40" t="n">
        <f aca="false">B132</f>
        <v>0</v>
      </c>
      <c r="D132" s="31" t="n">
        <f aca="false">D5</f>
        <v>0</v>
      </c>
      <c r="E132" s="40" t="n">
        <f aca="false">D132</f>
        <v>0</v>
      </c>
      <c r="F132" s="31" t="n">
        <f aca="false">F5</f>
        <v>0</v>
      </c>
      <c r="G132" s="40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n">
        <f aca="false">F5</f>
        <v>0</v>
      </c>
      <c r="P132" s="40" t="n">
        <f aca="false">O132</f>
        <v>0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n">
        <f aca="false">F5</f>
        <v>0</v>
      </c>
      <c r="Y132" s="40" t="n">
        <f aca="false">X132</f>
        <v>0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n">
        <f aca="false">F5</f>
        <v>0</v>
      </c>
      <c r="AH132" s="40" t="n">
        <f aca="false">AG132</f>
        <v>0</v>
      </c>
      <c r="AI132" s="33"/>
    </row>
    <row r="133" customFormat="false" ht="17.35" hidden="false" customHeight="false" outlineLevel="0" collapsed="false">
      <c r="A133" s="31" t="s">
        <v>152</v>
      </c>
      <c r="B133" s="31" t="n">
        <f aca="false">(B130*B131)+B132</f>
        <v>0</v>
      </c>
      <c r="C133" s="27" t="n">
        <f aca="false">(C130*C131/100)+C132</f>
        <v>0</v>
      </c>
      <c r="D133" s="31" t="n">
        <f aca="false">(D130*D131)+D132</f>
        <v>0</v>
      </c>
      <c r="E133" s="27" t="n">
        <f aca="false">(E130*E131/100)+E132</f>
        <v>0</v>
      </c>
      <c r="F133" s="31" t="n">
        <f aca="false">(F130*F131)+F132</f>
        <v>0</v>
      </c>
      <c r="G133" s="27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n">
        <f aca="false">(O130*O131)+O132</f>
        <v>0</v>
      </c>
      <c r="P133" s="27" t="n">
        <f aca="false">(P130*P131)+P132</f>
        <v>0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4186.25</v>
      </c>
      <c r="V133" s="31" t="n">
        <f aca="false">(V130*V131)+V132</f>
        <v>0</v>
      </c>
      <c r="W133" s="27" t="n">
        <f aca="false">(W130*W131)+W132</f>
        <v>0</v>
      </c>
      <c r="X133" s="31" t="n">
        <f aca="false">(X130*X131)+X132</f>
        <v>0</v>
      </c>
      <c r="Y133" s="27" t="n">
        <f aca="false">(Y130*Y131)+Y132</f>
        <v>0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4186.25</v>
      </c>
      <c r="AE133" s="31" t="n">
        <f aca="false">(AE130*AE131)+AE132</f>
        <v>0</v>
      </c>
      <c r="AF133" s="27" t="n">
        <f aca="false">(AF130*AF131)+AF132</f>
        <v>0</v>
      </c>
      <c r="AG133" s="31" t="n">
        <f aca="false">(AG130*AG131)+AG132</f>
        <v>0</v>
      </c>
      <c r="AH133" s="27" t="n">
        <f aca="false">(AH130*AH131)+AH132</f>
        <v>0</v>
      </c>
      <c r="AI133" s="33"/>
    </row>
    <row r="134" customFormat="false" ht="17.35" hidden="false" customHeight="false" outlineLevel="0" collapsed="false">
      <c r="A134" s="56" t="s">
        <v>153</v>
      </c>
      <c r="B134" s="56" t="n">
        <f aca="false">B130-B133</f>
        <v>16745</v>
      </c>
      <c r="C134" s="65" t="n">
        <f aca="false">C130-C133</f>
        <v>16745</v>
      </c>
      <c r="D134" s="56" t="n">
        <f aca="false">D130-D133</f>
        <v>0</v>
      </c>
      <c r="E134" s="65" t="n">
        <f aca="false">E130-E133</f>
        <v>0</v>
      </c>
      <c r="F134" s="56" t="n">
        <f aca="false">F130-F133</f>
        <v>0</v>
      </c>
      <c r="G134" s="65" t="n">
        <f aca="false">G130-G133</f>
        <v>0</v>
      </c>
      <c r="H134" s="65"/>
      <c r="J134" s="56" t="s">
        <v>153</v>
      </c>
      <c r="K134" s="56" t="n">
        <f aca="false">K130-K133</f>
        <v>16745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n">
        <f aca="false">O130-O133</f>
        <v>0</v>
      </c>
      <c r="P134" s="65" t="n">
        <f aca="false">P130-P133</f>
        <v>0</v>
      </c>
      <c r="Q134" s="65"/>
      <c r="S134" s="56" t="s">
        <v>153</v>
      </c>
      <c r="T134" s="56" t="n">
        <f aca="false">T130-T133</f>
        <v>16745</v>
      </c>
      <c r="U134" s="65" t="n">
        <f aca="false">U130-U133</f>
        <v>12558.75</v>
      </c>
      <c r="V134" s="56" t="n">
        <f aca="false">V130-V133</f>
        <v>0</v>
      </c>
      <c r="W134" s="65" t="n">
        <f aca="false">W130-W133</f>
        <v>0</v>
      </c>
      <c r="X134" s="56" t="n">
        <f aca="false">X130-X133</f>
        <v>0</v>
      </c>
      <c r="Y134" s="65" t="n">
        <f aca="false">Y130-Y133</f>
        <v>0</v>
      </c>
      <c r="Z134" s="65"/>
      <c r="AB134" s="56" t="s">
        <v>153</v>
      </c>
      <c r="AC134" s="56" t="n">
        <f aca="false">AC130-AC133</f>
        <v>16745</v>
      </c>
      <c r="AD134" s="65" t="n">
        <f aca="false">AD130-AD133</f>
        <v>12558.75</v>
      </c>
      <c r="AE134" s="56" t="n">
        <f aca="false">AE130-AE133</f>
        <v>0</v>
      </c>
      <c r="AF134" s="65" t="n">
        <f aca="false">AF130-AF133</f>
        <v>0</v>
      </c>
      <c r="AG134" s="56" t="n">
        <f aca="false">AG130-AG133</f>
        <v>0</v>
      </c>
      <c r="AH134" s="65" t="n">
        <f aca="false">AH130-AH133</f>
        <v>0</v>
      </c>
      <c r="AI134" s="65"/>
    </row>
    <row r="135" customFormat="false" ht="17.35" hidden="false" customHeight="false" outlineLevel="0" collapsed="false">
      <c r="A135" s="31"/>
      <c r="B135" s="32"/>
      <c r="C135" s="32"/>
      <c r="D135" s="32"/>
      <c r="E135" s="32"/>
      <c r="F135" s="32"/>
      <c r="G135" s="32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8"/>
      <c r="C136" s="138"/>
      <c r="D136" s="138"/>
      <c r="E136" s="138"/>
      <c r="F136" s="138"/>
      <c r="G136" s="139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32"/>
      <c r="C138" s="32"/>
      <c r="D138" s="32"/>
      <c r="E138" s="32"/>
      <c r="F138" s="32"/>
      <c r="G138" s="146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32"/>
      <c r="C143" s="32"/>
      <c r="D143" s="32"/>
      <c r="E143" s="32"/>
      <c r="F143" s="32"/>
      <c r="G143" s="146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9" t="n">
        <f aca="false">H9</f>
        <v>16745</v>
      </c>
      <c r="H144" s="153" t="n">
        <f aca="false">C134+E134+G134+H137</f>
        <v>16745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16745</v>
      </c>
      <c r="Q144" s="153" t="n">
        <f aca="false">L134+N134+P134+Q137</f>
        <v>28629.17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16745</v>
      </c>
      <c r="Z144" s="153" t="n">
        <f aca="false">U134+W134+Y134+Z137</f>
        <v>12558.75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16745</v>
      </c>
      <c r="AI144" s="153" t="n">
        <f aca="false">AD134+AF134+AH134+AI137</f>
        <v>12558.75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6" t="n">
        <f aca="false">H10</f>
        <v>695</v>
      </c>
      <c r="H145" s="33" t="n">
        <f aca="false">G145</f>
        <v>695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695</v>
      </c>
      <c r="Q145" s="33" t="n">
        <f aca="false">P145</f>
        <v>695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695</v>
      </c>
      <c r="Z145" s="33" t="n">
        <f aca="false">Y145</f>
        <v>695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695</v>
      </c>
      <c r="AI145" s="33" t="n">
        <f aca="false">AH145</f>
        <v>695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156" t="n">
        <f aca="false">H11</f>
        <v>3488</v>
      </c>
      <c r="H146" s="33" t="n">
        <f aca="false">(H144+H145)*20%</f>
        <v>3488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3488</v>
      </c>
      <c r="Q146" s="33" t="n">
        <f aca="false">(Q144+Q145)*20%</f>
        <v>5864.834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3488</v>
      </c>
      <c r="Z146" s="33" t="n">
        <f aca="false">(Z144+Z145)*20%</f>
        <v>2650.75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3488</v>
      </c>
      <c r="AI146" s="33" t="n">
        <f aca="false">(AI144+AI145)*20%</f>
        <v>2650.75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6" t="n">
        <f aca="false">H12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6" t="n">
        <f aca="false">H13</f>
        <v>275</v>
      </c>
      <c r="H148" s="33" t="n">
        <f aca="false">G148</f>
        <v>275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275</v>
      </c>
      <c r="Q148" s="33" t="n">
        <f aca="false">P148</f>
        <v>275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275</v>
      </c>
      <c r="Z148" s="33" t="n">
        <f aca="false">Y148</f>
        <v>275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275</v>
      </c>
      <c r="AI148" s="33" t="n">
        <f aca="false">AH148</f>
        <v>275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6" t="n">
        <f aca="false">H14</f>
        <v>65</v>
      </c>
      <c r="H149" s="33" t="n">
        <f aca="false">G149</f>
        <v>65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65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65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65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8" t="n">
        <f aca="false">H15</f>
        <v>21268</v>
      </c>
      <c r="H150" s="157" t="n">
        <f aca="false">(H144+H145+H148+H149+H146)-H147</f>
        <v>21268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21268</v>
      </c>
      <c r="Q150" s="157" t="n">
        <f aca="false">(Q144+Q145+Q148+Q149+Q146)-Q147</f>
        <v>35519.004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21268</v>
      </c>
      <c r="Z150" s="157" t="n">
        <f aca="false">(Z144+Z145+Z148+Z149+Z146)-Z147</f>
        <v>16234.5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21268</v>
      </c>
      <c r="AI150" s="157" t="n">
        <f aca="false">(AI144+AI145+AI148+AI149+AI146)-AI147</f>
        <v>16234.5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156" t="n">
        <f aca="false">H16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8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s">
        <v>170</v>
      </c>
      <c r="C153" s="161"/>
      <c r="D153" s="161"/>
      <c r="E153" s="161"/>
      <c r="F153" s="161"/>
      <c r="G153" s="156" t="n">
        <f aca="false">H18</f>
        <v>0</v>
      </c>
      <c r="H153" s="40" t="n">
        <f aca="false">G153</f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156" t="n">
        <f aca="false">H19</f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156" t="n">
        <f aca="false">H20</f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58" t="n">
        <f aca="false">G150-((G153*1.2)+(G154*1.2)+(G155*1.2)+(G151*1.2))</f>
        <v>21268</v>
      </c>
      <c r="H156" s="164" t="n">
        <f aca="false">H150-((H153*1.2)+(H154*1.2)+(H155*1.2)+(H151*1.2))</f>
        <v>21268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21268</v>
      </c>
      <c r="Q156" s="164" t="n">
        <f aca="false">Q150-((Q153*1.2)+(Q154*1.2)+(Q155*1.2)+(Q151*1.2))</f>
        <v>35519.004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21268</v>
      </c>
      <c r="Z156" s="164" t="n">
        <f aca="false">Z150-((Z153*1.2)+(Z154*1.2)+(Z155*1.2)+(Z151*1.2))</f>
        <v>16234.5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21268</v>
      </c>
      <c r="AI156" s="164" t="n">
        <f aca="false">AI150-((AI153*1.2)+(AI154*1.2)+(AI155*1.2)+(AI151*1.2))</f>
        <v>16234.5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6"/>
      <c r="H157" s="40" t="n">
        <f aca="false">((H156-G156)-(H146-G146))+((I155-I154)*0.2)</f>
        <v>0</v>
      </c>
      <c r="I157" s="1" t="n">
        <f aca="false">(H157-G90)/1.2</f>
        <v>-13983.3333333333</v>
      </c>
      <c r="J157" s="154" t="s">
        <v>172</v>
      </c>
      <c r="K157" s="154"/>
      <c r="L157" s="154"/>
      <c r="M157" s="154"/>
      <c r="N157" s="154"/>
      <c r="O157" s="154"/>
      <c r="P157" s="156"/>
      <c r="Q157" s="40" t="n">
        <f aca="false">Q156-P156</f>
        <v>14251.004</v>
      </c>
      <c r="S157" s="154" t="s">
        <v>172</v>
      </c>
      <c r="T157" s="154"/>
      <c r="U157" s="154"/>
      <c r="V157" s="154"/>
      <c r="W157" s="154"/>
      <c r="X157" s="154"/>
      <c r="Y157" s="156"/>
      <c r="Z157" s="40" t="n">
        <f aca="false">Z156-Y156</f>
        <v>-5033.5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n">
        <f aca="false">AI156-AH156</f>
        <v>-5033.5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</v>
      </c>
      <c r="F161" s="107"/>
      <c r="G161" s="107" t="n">
        <v>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21268</v>
      </c>
      <c r="H167" s="170"/>
      <c r="J167" s="169" t="s">
        <v>179</v>
      </c>
      <c r="K167" s="32"/>
      <c r="L167" s="32"/>
      <c r="M167" s="23"/>
      <c r="N167" s="32"/>
      <c r="O167" s="23"/>
      <c r="P167" s="170" t="n">
        <f aca="false">Q156-P163-P166</f>
        <v>36519.004</v>
      </c>
      <c r="Q167" s="170"/>
      <c r="S167" s="169" t="s">
        <v>179</v>
      </c>
      <c r="T167" s="32"/>
      <c r="U167" s="32"/>
      <c r="V167" s="23"/>
      <c r="W167" s="32"/>
      <c r="X167" s="23"/>
      <c r="Y167" s="170" t="n">
        <f aca="false">Z156-Y163-Y166</f>
        <v>17234.5</v>
      </c>
      <c r="Z167" s="170"/>
      <c r="AB167" s="169" t="s">
        <v>179</v>
      </c>
      <c r="AC167" s="32"/>
      <c r="AD167" s="32"/>
      <c r="AE167" s="23"/>
      <c r="AF167" s="32"/>
      <c r="AG167" s="23"/>
      <c r="AH167" s="170" t="n">
        <f aca="false">AI156-AH163-AH166</f>
        <v>17234.5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239.99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7200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419.87796229046</v>
      </c>
      <c r="B176" s="177" t="n">
        <f aca="false">B103</f>
        <v>80.4375</v>
      </c>
      <c r="C176" s="174"/>
      <c r="D176" s="174"/>
      <c r="E176" s="177" t="n">
        <f aca="false">B105</f>
        <v>500.31546229046</v>
      </c>
      <c r="F176" s="23"/>
      <c r="G176" s="23" t="n">
        <f aca="false">ROUND(G104, 2)</f>
        <v>401.25</v>
      </c>
      <c r="H176" s="33"/>
      <c r="J176" s="176" t="n">
        <f aca="false">K104</f>
        <v>1522.35059507587</v>
      </c>
      <c r="K176" s="178" t="n">
        <f aca="false">K103</f>
        <v>0</v>
      </c>
      <c r="L176" s="175"/>
      <c r="M176" s="175"/>
      <c r="N176" s="178" t="n">
        <f aca="false">K105</f>
        <v>1522.35059507587</v>
      </c>
      <c r="O176" s="23"/>
      <c r="P176" s="23"/>
      <c r="Q176" s="33"/>
      <c r="S176" s="176" t="n">
        <f aca="false">T104</f>
        <v>634.549742547474</v>
      </c>
      <c r="T176" s="178" t="n">
        <f aca="false">T103</f>
        <v>0</v>
      </c>
      <c r="U176" s="175"/>
      <c r="V176" s="175"/>
      <c r="W176" s="178" t="n">
        <f aca="false">T105</f>
        <v>634.549742547474</v>
      </c>
      <c r="X176" s="23"/>
      <c r="Y176" s="23"/>
      <c r="Z176" s="33"/>
      <c r="AB176" s="176" t="n">
        <f aca="false">AC104</f>
        <v>634.549742547474</v>
      </c>
      <c r="AC176" s="178" t="n">
        <f aca="false">AC103</f>
        <v>0</v>
      </c>
      <c r="AD176" s="175"/>
      <c r="AE176" s="175"/>
      <c r="AF176" s="178" t="n">
        <f aca="false">AC105</f>
        <v>634.549742547474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n">
        <f aca="false">B38</f>
        <v>0</v>
      </c>
      <c r="B179" s="180" t="n">
        <f aca="false">B39</f>
        <v>0</v>
      </c>
      <c r="C179" s="181"/>
      <c r="D179" s="23"/>
      <c r="E179" s="182" t="n">
        <f aca="false">B91</f>
        <v>7200</v>
      </c>
      <c r="F179" s="23"/>
      <c r="G179" s="23"/>
      <c r="H179" s="33"/>
      <c r="J179" s="179" t="str">
        <f aca="false">K29</f>
        <v>33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33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33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17440</v>
      </c>
      <c r="B182" s="103" t="n">
        <f aca="false">H146</f>
        <v>3488</v>
      </c>
      <c r="C182" s="186"/>
      <c r="D182" s="23"/>
      <c r="E182" s="182" t="n">
        <f aca="false">H148+H149</f>
        <v>340</v>
      </c>
      <c r="F182" s="23"/>
      <c r="G182" s="23"/>
      <c r="H182" s="33"/>
      <c r="J182" s="185" t="n">
        <f aca="false">Q150-Q146-Q148-Q149</f>
        <v>29324.17</v>
      </c>
      <c r="K182" s="38" t="n">
        <f aca="false">Q146</f>
        <v>5864.834</v>
      </c>
      <c r="L182" s="43"/>
      <c r="M182" s="23"/>
      <c r="N182" s="184" t="n">
        <f aca="false">Q148+Q149</f>
        <v>330</v>
      </c>
      <c r="O182" s="23"/>
      <c r="P182" s="23"/>
      <c r="Q182" s="33"/>
      <c r="S182" s="185" t="n">
        <f aca="false">Z150-Z146-Z148-Z149</f>
        <v>13253.75</v>
      </c>
      <c r="T182" s="38" t="n">
        <f aca="false">Z146</f>
        <v>2650.75</v>
      </c>
      <c r="U182" s="43"/>
      <c r="V182" s="23"/>
      <c r="W182" s="184" t="n">
        <f aca="false">Z148+Z149</f>
        <v>330</v>
      </c>
      <c r="X182" s="23"/>
      <c r="Y182" s="23"/>
      <c r="Z182" s="33"/>
      <c r="AB182" s="185" t="n">
        <f aca="false">AI150-AI146-AI148-AI149</f>
        <v>13253.75</v>
      </c>
      <c r="AC182" s="38" t="n">
        <f aca="false">AI146</f>
        <v>2650.75</v>
      </c>
      <c r="AD182" s="43"/>
      <c r="AE182" s="23"/>
      <c r="AF182" s="184" t="n">
        <f aca="false">AI148+AI149</f>
        <v>330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21268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n">
        <f aca="false">Q150</f>
        <v>35519.004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n">
        <f aca="false">Z150</f>
        <v>16234.5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n">
        <f aca="false">AI150</f>
        <v>16234.5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21268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n">
        <f aca="false">J185-J188-K188</f>
        <v>36519.004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n">
        <f aca="false">S185-S188-T188</f>
        <v>17234.5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n">
        <f aca="false">AB185-AB188-AC188</f>
        <v>17234.5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-631.905206705283</v>
      </c>
      <c r="B191" s="103" t="str">
        <f aca="false">B123</f>
        <v>239.99</v>
      </c>
      <c r="C191" s="103"/>
      <c r="D191" s="23"/>
      <c r="E191" s="103" t="n">
        <f aca="false">E188+A191+B191+A194</f>
        <v>20886.0847932947</v>
      </c>
      <c r="F191" s="23"/>
      <c r="G191" s="23"/>
      <c r="H191" s="105"/>
      <c r="J191" s="111" t="n">
        <f aca="false">(J176*K68)+N194-N188-J194</f>
        <v>12208.2150424278</v>
      </c>
      <c r="K191" s="38" t="n">
        <f aca="false">K123</f>
        <v>239.99</v>
      </c>
      <c r="L191" s="38"/>
      <c r="M191" s="23"/>
      <c r="N191" s="38" t="n">
        <f aca="false">N188+J191+K191+J194</f>
        <v>48987.2090424278</v>
      </c>
      <c r="O191" s="23"/>
      <c r="P191" s="23"/>
      <c r="Q191" s="105"/>
      <c r="S191" s="111" t="n">
        <f aca="false">(S176*T68)+W194-W188-S194</f>
        <v>3083.09176151916</v>
      </c>
      <c r="T191" s="38" t="n">
        <f aca="false">T123</f>
        <v>199.99</v>
      </c>
      <c r="U191" s="38"/>
      <c r="V191" s="23"/>
      <c r="W191" s="38" t="n">
        <f aca="false">W188+S191+T191+S194</f>
        <v>20527.5817615192</v>
      </c>
      <c r="X191" s="23"/>
      <c r="Y191" s="23"/>
      <c r="Z191" s="105"/>
      <c r="AB191" s="111" t="n">
        <f aca="false">(AB176*AC68)+AF194-AF188-AB194</f>
        <v>3083.09176151916</v>
      </c>
      <c r="AC191" s="38" t="n">
        <f aca="false">AC123</f>
        <v>239.99</v>
      </c>
      <c r="AD191" s="38"/>
      <c r="AE191" s="23"/>
      <c r="AF191" s="38" t="n">
        <f aca="false">AF188+AB191+AC191+AB194</f>
        <v>20567.5817615192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</f>
        <v>239.99</v>
      </c>
      <c r="C194" s="103"/>
      <c r="D194" s="23"/>
      <c r="E194" s="103" t="n">
        <f aca="false">E179+A194</f>
        <v>7210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J18*0.000002*100*1.2</f>
        <v>5.02272</v>
      </c>
      <c r="B197" s="103" t="n">
        <f aca="false">(G167*B76)/1.2</f>
        <v>166.15625</v>
      </c>
      <c r="C197" s="93"/>
      <c r="D197" s="93"/>
      <c r="E197" s="103" t="n">
        <f aca="false">IF(E114="YES",(K55*A117*0.1), 0)</f>
        <v>49.5</v>
      </c>
      <c r="F197" s="23"/>
      <c r="G197" s="23"/>
      <c r="H197" s="33"/>
      <c r="J197" s="111" t="n">
        <f aca="false">IF(N114="YES", H15*0.000002, 0)</f>
        <v>0.042536</v>
      </c>
      <c r="K197" s="38" t="n">
        <f aca="false">(P167*K76)/1.2</f>
        <v>2187.33617708333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n">
        <f aca="false">(Y167*T76)/1.2</f>
        <v>134.64453125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n">
        <f aca="false">(AH167*AC76)/1.2</f>
        <v>134.64453125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(B191/1.2)-100</f>
        <v>99.9916666666667</v>
      </c>
      <c r="B200" s="103" t="n">
        <f aca="false">B197+E197+A200</f>
        <v>315.647916666667</v>
      </c>
      <c r="C200" s="93"/>
      <c r="D200" s="93"/>
      <c r="E200" s="103" t="n">
        <f aca="false">H157</f>
        <v>0</v>
      </c>
      <c r="F200" s="23"/>
      <c r="G200" s="23"/>
      <c r="H200" s="33"/>
      <c r="J200" s="111" t="n">
        <f aca="false">K194-100</f>
        <v>1139.99</v>
      </c>
      <c r="K200" s="38" t="n">
        <f aca="false">K197+N197+J200</f>
        <v>3327.32617708333</v>
      </c>
      <c r="L200" s="32"/>
      <c r="M200" s="32"/>
      <c r="N200" s="38" t="n">
        <f aca="false">Q157</f>
        <v>14251.004</v>
      </c>
      <c r="O200" s="23"/>
      <c r="P200" s="23"/>
      <c r="Q200" s="33"/>
      <c r="S200" s="111" t="n">
        <f aca="false">T194-100</f>
        <v>1099.99</v>
      </c>
      <c r="T200" s="38" t="n">
        <f aca="false">T197+W197+S200</f>
        <v>1234.63453125</v>
      </c>
      <c r="U200" s="32"/>
      <c r="V200" s="32"/>
      <c r="W200" s="38" t="n">
        <f aca="false">Z157</f>
        <v>-5033.5</v>
      </c>
      <c r="X200" s="32"/>
      <c r="Y200" s="32"/>
      <c r="Z200" s="33"/>
      <c r="AB200" s="111" t="n">
        <f aca="false">AC194-100</f>
        <v>1139.99</v>
      </c>
      <c r="AC200" s="38" t="n">
        <f aca="false">AC197+AF197+AB200</f>
        <v>1274.63453125</v>
      </c>
      <c r="AD200" s="32"/>
      <c r="AE200" s="32"/>
      <c r="AF200" s="38" t="n">
        <f aca="false">AI157</f>
        <v>-5033.5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33</v>
      </c>
      <c r="B206" s="74" t="n">
        <f aca="false">B105</f>
        <v>500.31546229046</v>
      </c>
      <c r="C206" s="74"/>
      <c r="D206" s="74"/>
      <c r="E206" s="23"/>
      <c r="F206" s="23"/>
      <c r="G206" s="23"/>
      <c r="H206" s="33"/>
      <c r="J206" s="73" t="str">
        <f aca="false">K29</f>
        <v>33</v>
      </c>
      <c r="K206" s="74" t="n">
        <f aca="false">K105</f>
        <v>1522.35059507587</v>
      </c>
      <c r="L206" s="74"/>
      <c r="M206" s="74"/>
      <c r="N206" s="23"/>
      <c r="O206" s="23"/>
      <c r="P206" s="23"/>
      <c r="Q206" s="33"/>
      <c r="S206" s="73" t="str">
        <f aca="false">K29</f>
        <v>33</v>
      </c>
      <c r="T206" s="74" t="n">
        <f aca="false">T105</f>
        <v>634.549742547474</v>
      </c>
      <c r="U206" s="74"/>
      <c r="V206" s="74"/>
      <c r="W206" s="23"/>
      <c r="X206" s="23"/>
      <c r="Y206" s="23"/>
      <c r="Z206" s="33"/>
      <c r="AB206" s="73" t="str">
        <f aca="false">K29</f>
        <v>33</v>
      </c>
      <c r="AC206" s="74" t="n">
        <f aca="false">AC105</f>
        <v>634.549742547474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-1228</v>
      </c>
      <c r="B210" s="186" t="n">
        <f aca="false">E188+A210+B191+A194</f>
        <v>20289.99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33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419.87796229046</v>
      </c>
      <c r="B221" s="177" t="n">
        <f aca="false">B176</f>
        <v>80.4375</v>
      </c>
      <c r="C221" s="174"/>
      <c r="D221" s="174"/>
      <c r="E221" s="177" t="n">
        <f aca="false">E176</f>
        <v>500.31546229046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17440</v>
      </c>
      <c r="B224" s="103" t="n">
        <f aca="false">B182</f>
        <v>3488</v>
      </c>
      <c r="C224" s="186"/>
      <c r="D224" s="113"/>
      <c r="E224" s="182" t="n">
        <f aca="false">E182</f>
        <v>340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21268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21268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-631.905206705283</v>
      </c>
      <c r="B233" s="103" t="str">
        <f aca="false">B191</f>
        <v>239.99</v>
      </c>
      <c r="C233" s="103"/>
      <c r="D233" s="113"/>
      <c r="E233" s="103" t="n">
        <f aca="false">E191</f>
        <v>20886.0847932947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239.99</v>
      </c>
      <c r="C236" s="103"/>
      <c r="D236" s="113"/>
      <c r="E236" s="103" t="n">
        <f aca="false">B68</f>
        <v>32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419.87796229046</v>
      </c>
      <c r="B239" s="103" t="n">
        <f aca="false">B176</f>
        <v>80.4375</v>
      </c>
      <c r="C239" s="186"/>
      <c r="D239" s="186"/>
      <c r="E239" s="103" t="n">
        <f aca="false">E176</f>
        <v>500.31546229046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7200</v>
      </c>
      <c r="B242" s="103" t="n">
        <f aca="false">E194</f>
        <v>7210</v>
      </c>
      <c r="C242" s="93"/>
      <c r="D242" s="93"/>
      <c r="E242" s="103" t="n">
        <f aca="false">J18*0.000006*100*1.2</f>
        <v>15.06816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5.02272</v>
      </c>
      <c r="B245" s="103" t="n">
        <f aca="false">E242+A245</f>
        <v>20.09088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0</v>
      </c>
      <c r="B249" s="103" t="n">
        <f aca="false">B197</f>
        <v>166.15625</v>
      </c>
      <c r="C249" s="93"/>
      <c r="D249" s="93"/>
      <c r="E249" s="103" t="n">
        <f aca="false">E197</f>
        <v>49.5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99.9916666666667</v>
      </c>
      <c r="B252" s="103" t="n">
        <f aca="false">B249+E249+A252+A249</f>
        <v>315.647916666667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0.115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199" t="n">
        <f aca="false">(E191-B191)-(B210-B191-A194)</f>
        <v>606.094793294717</v>
      </c>
      <c r="C263" s="197"/>
      <c r="D263" s="198" t="s">
        <v>216</v>
      </c>
      <c r="E263" s="198"/>
      <c r="F263" s="200" t="n">
        <f aca="false">F270+F276+F278+B279+B280</f>
        <v>199.3875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594.991666666667</v>
      </c>
      <c r="C264" s="197"/>
      <c r="D264" s="198" t="s">
        <v>218</v>
      </c>
      <c r="E264" s="198"/>
      <c r="F264" s="200" t="n">
        <f aca="false">(B263-F263)+B264</f>
        <v>1001.69895996138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0.05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0.115</v>
      </c>
      <c r="C269" s="43"/>
      <c r="D269" s="166" t="s">
        <v>215</v>
      </c>
      <c r="E269" s="166"/>
      <c r="F269" s="146" t="n">
        <f aca="false">B263</f>
        <v>606.094793294717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0.009375</v>
      </c>
      <c r="C270" s="32"/>
      <c r="D270" s="166" t="s">
        <v>221</v>
      </c>
      <c r="E270" s="166"/>
      <c r="F270" s="151" t="n">
        <f aca="false">B77</f>
        <v>199.3875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0.3</v>
      </c>
      <c r="C271" s="32"/>
      <c r="D271" s="166" t="s">
        <v>222</v>
      </c>
      <c r="E271" s="166"/>
      <c r="F271" s="146" t="n">
        <f aca="false">E249*10</f>
        <v>495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99.9916666666667</v>
      </c>
      <c r="C272" s="32"/>
      <c r="D272" s="39" t="s">
        <v>218</v>
      </c>
      <c r="E272" s="39"/>
      <c r="F272" s="146" t="n">
        <f aca="false">(B263-F263)+B264</f>
        <v>1001.69895996138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94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8">
    <dataValidation allowBlank="true" operator="between" showDropDown="false" showErrorMessage="true" showInputMessage="true" sqref="A18:A20 J153:J155 S153:S155 AB153:AB155" type="list">
      <formula1>$AB$16:$AB$18</formula1>
      <formula2>0</formula2>
    </dataValidation>
    <dataValidation allowBlank="true" operator="between" showDropDown="false" showErrorMessage="true" showInputMessage="true" sqref="N114 W114 AF114 J120 S120 AB120" type="list">
      <formula1>$Z$19:$Z$20</formula1>
      <formula2>0</formula2>
    </dataValidation>
    <dataValidation allowBlank="true" operator="between" showDropDown="false" showErrorMessage="true" showInputMessage="true" sqref="K114 T114 AC114" type="list">
      <formula1>$Y$136:$Y$145</formula1>
      <formula2>0</formula2>
    </dataValidation>
    <dataValidation allowBlank="true" operator="between" showDropDown="false" showErrorMessage="true" showInputMessage="true" sqref="K117:M117 T117:V117 AC117:AE117" type="list">
      <formula1>$AP$117:$AP$118</formula1>
      <formula2>0</formula2>
    </dataValidation>
    <dataValidation allowBlank="true" operator="between" showDropDown="false" showErrorMessage="true" showInputMessage="true" sqref="E114 A120" type="list">
      <formula1>$Z$19:$Z$20</formula1>
      <formula2>0</formula2>
    </dataValidation>
    <dataValidation allowBlank="true" operator="between" showDropDown="false" showErrorMessage="true" showInputMessage="true" sqref="A153:A155" type="list">
      <formula1>$AB$16:$AB$18</formula1>
      <formula2>0</formula2>
    </dataValidation>
    <dataValidation allowBlank="true" operator="between" showDropDown="false" showErrorMessage="true" showInputMessage="true" sqref="B114" type="list">
      <formula1>$Y$136:$Y$145</formula1>
      <formula2>0</formula2>
    </dataValidation>
    <dataValidation allowBlank="true" operator="between" showDropDown="false" showErrorMessage="true" showInputMessage="true" sqref="B117:D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46" colorId="64" zoomScale="85" zoomScaleNormal="8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25149.996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19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36</v>
      </c>
      <c r="I29" s="387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349</v>
      </c>
      <c r="C30" s="172"/>
      <c r="D30" s="215"/>
      <c r="E30" s="216"/>
      <c r="F30" s="63"/>
      <c r="G30" s="218" t="s">
        <v>32</v>
      </c>
      <c r="H30" s="457" t="n">
        <v>10000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20000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36</v>
      </c>
      <c r="B33" s="229" t="n">
        <v>10000</v>
      </c>
      <c r="C33" s="230"/>
      <c r="D33" s="459" t="n">
        <f aca="false">H48</f>
        <v>224.078626612779</v>
      </c>
      <c r="E33" s="216"/>
      <c r="F33" s="63"/>
      <c r="G33" s="219" t="s">
        <v>356</v>
      </c>
      <c r="H33" s="460" t="n">
        <f aca="false">E21-E11</f>
        <v>20958.33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36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224.078626612779</v>
      </c>
      <c r="B36" s="103" t="str">
        <f aca="false">IF(B26="YES", H42, "")</f>
        <v/>
      </c>
      <c r="C36" s="221"/>
      <c r="D36" s="184" t="n">
        <f aca="false">H31</f>
        <v>20000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20958.33</v>
      </c>
      <c r="I39" s="238" t="n">
        <f aca="false">(I48*H46)+H44</f>
        <v>59325.6915133649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20000</v>
      </c>
      <c r="B40" s="107" t="str">
        <f aca="false">IF(B26="YES",H42,"0")</f>
        <v>0</v>
      </c>
      <c r="C40" s="107"/>
      <c r="D40" s="184" t="n">
        <f aca="false">I32</f>
        <v>0</v>
      </c>
      <c r="E40" s="216"/>
      <c r="F40" s="63"/>
      <c r="G40" s="63" t="s">
        <v>106</v>
      </c>
      <c r="H40" s="238" t="n">
        <f aca="false">A40/1.2</f>
        <v>16666.6666666667</v>
      </c>
      <c r="I40" s="238" t="n">
        <f aca="false">H39-I39</f>
        <v>-38367.3615133649</v>
      </c>
      <c r="J40" s="63" t="n">
        <v>0</v>
      </c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0.00541666666666667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13647.2071058677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</v>
      </c>
      <c r="B45" s="215"/>
      <c r="C45" s="463" t="n">
        <v>100</v>
      </c>
      <c r="D45" s="463"/>
      <c r="E45" s="216"/>
      <c r="F45" s="63"/>
      <c r="G45" s="63" t="s">
        <v>374</v>
      </c>
      <c r="H45" s="238" t="n">
        <f aca="false">(H39-H44)</f>
        <v>7311.1228941323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32.627488862498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224.078626612779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224.078626612779</v>
      </c>
      <c r="I48" s="238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10000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36</v>
      </c>
      <c r="B52" s="74" t="n">
        <f aca="false">H48</f>
        <v>224.078626612779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35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35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35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376</v>
      </c>
      <c r="B60" s="215" t="n">
        <f aca="false">E19</f>
        <v>25149.996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37405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292" t="s">
        <v>278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B62+(B62*0.25*((H29/12)-1))</f>
        <v>0.105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0.105</v>
      </c>
      <c r="I63" s="215"/>
      <c r="J63" s="215"/>
      <c r="K63" s="216"/>
      <c r="L63" s="63"/>
      <c r="M63" s="214" t="s">
        <v>279</v>
      </c>
      <c r="N63" s="294" t="n">
        <f aca="false">N62+(N62*0.25*(H29/12-1))</f>
        <v>0.105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C64</f>
        <v>10000</v>
      </c>
      <c r="C64" s="465" t="n">
        <v>10000</v>
      </c>
      <c r="D64" s="291" t="n">
        <f aca="false">B64</f>
        <v>10000</v>
      </c>
      <c r="E64" s="466" t="n">
        <f aca="false">D64/(B58+B57)</f>
        <v>277.777777777778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0.02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0.02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0.02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502.99992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180</v>
      </c>
      <c r="C73" s="215"/>
      <c r="D73" s="472" t="n">
        <f aca="false">B73+B71</f>
        <v>380</v>
      </c>
      <c r="E73" s="216" t="s">
        <v>227</v>
      </c>
      <c r="F73" s="63"/>
      <c r="G73" s="285" t="s">
        <v>99</v>
      </c>
      <c r="H73" s="133" t="n">
        <f aca="false">H72*H29</f>
        <v>162</v>
      </c>
      <c r="I73" s="215"/>
      <c r="J73" s="291" t="n">
        <f aca="false">H73+H71</f>
        <v>322</v>
      </c>
      <c r="K73" s="216"/>
      <c r="L73" s="63"/>
      <c r="M73" s="285" t="s">
        <v>99</v>
      </c>
      <c r="N73" s="133" t="n">
        <f aca="false">N72*H29</f>
        <v>162</v>
      </c>
      <c r="O73" s="215"/>
      <c r="P73" s="291" t="n">
        <f aca="false">N73+N71</f>
        <v>322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165</v>
      </c>
      <c r="C74" s="215"/>
      <c r="D74" s="215"/>
      <c r="E74" s="216"/>
      <c r="F74" s="63"/>
      <c r="G74" s="292" t="s">
        <v>280</v>
      </c>
      <c r="H74" s="298" t="n">
        <v>165</v>
      </c>
      <c r="I74" s="215"/>
      <c r="J74" s="215"/>
      <c r="K74" s="216"/>
      <c r="L74" s="63"/>
      <c r="M74" s="431" t="s">
        <v>280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</v>
      </c>
      <c r="C75" s="215"/>
      <c r="D75" s="215"/>
      <c r="E75" s="216"/>
      <c r="F75" s="63"/>
      <c r="G75" s="295" t="s">
        <v>281</v>
      </c>
      <c r="H75" s="299" t="n">
        <v>0</v>
      </c>
      <c r="I75" s="215"/>
      <c r="J75" s="215"/>
      <c r="K75" s="216"/>
      <c r="L75" s="63"/>
      <c r="M75" s="433" t="s">
        <v>281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((B74+B75)/12)*(H29+1)</f>
        <v>508.75</v>
      </c>
      <c r="C76" s="215"/>
      <c r="D76" s="291" t="n">
        <f aca="false">B76</f>
        <v>508.75</v>
      </c>
      <c r="E76" s="216"/>
      <c r="F76" s="63"/>
      <c r="G76" s="285" t="s">
        <v>282</v>
      </c>
      <c r="H76" s="133" t="n">
        <f aca="false">((H74+H75)/12)*(H29-11)</f>
        <v>343.75</v>
      </c>
      <c r="I76" s="215"/>
      <c r="J76" s="291" t="n">
        <f aca="false">H76</f>
        <v>343.75</v>
      </c>
      <c r="K76" s="216"/>
      <c r="L76" s="63"/>
      <c r="M76" s="435" t="s">
        <v>282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283</v>
      </c>
      <c r="B77" s="131" t="n">
        <f aca="false">B102/(1-0.1)</f>
        <v>0</v>
      </c>
      <c r="C77" s="473"/>
      <c r="D77" s="291" t="n">
        <f aca="false">B77</f>
        <v>0</v>
      </c>
      <c r="E77" s="466" t="n">
        <f aca="false">D77/(B58+B57)</f>
        <v>0</v>
      </c>
      <c r="F77" s="63"/>
      <c r="G77" s="292" t="s">
        <v>283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283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0</v>
      </c>
      <c r="C78" s="473"/>
      <c r="D78" s="291" t="n">
        <f aca="false">B78</f>
        <v>0</v>
      </c>
      <c r="E78" s="466"/>
      <c r="F78" s="63"/>
      <c r="G78" s="214" t="s">
        <v>284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284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473"/>
      <c r="D79" s="291" t="n">
        <f aca="false">B79</f>
        <v>200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473"/>
      <c r="D80" s="291" t="n">
        <f aca="false">B80</f>
        <v>200</v>
      </c>
      <c r="E80" s="466" t="n">
        <f aca="false">(D73+D76+D79+D80)/(B58+B57)</f>
        <v>35.7986111111111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11288.75</v>
      </c>
      <c r="C81" s="473"/>
      <c r="D81" s="474"/>
      <c r="E81" s="466"/>
      <c r="F81" s="63"/>
      <c r="G81" s="303" t="s">
        <v>102</v>
      </c>
      <c r="H81" s="304" t="n">
        <f aca="false">SUM(J64:J80)</f>
        <v>1065.75</v>
      </c>
      <c r="I81" s="215"/>
      <c r="J81" s="215"/>
      <c r="K81" s="216"/>
      <c r="L81" s="63"/>
      <c r="M81" s="303" t="s">
        <v>102</v>
      </c>
      <c r="N81" s="304" t="n">
        <f aca="false">SUM(P64:P80)</f>
        <v>722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313.576388888889</v>
      </c>
      <c r="C82" s="473"/>
      <c r="D82" s="215"/>
      <c r="E82" s="466"/>
      <c r="F82" s="63"/>
      <c r="G82" s="214" t="s">
        <v>103</v>
      </c>
      <c r="H82" s="300" t="n">
        <f aca="false">H81/H29</f>
        <v>29.6041666666667</v>
      </c>
      <c r="I82" s="215"/>
      <c r="J82" s="215"/>
      <c r="K82" s="216"/>
      <c r="L82" s="63"/>
      <c r="M82" s="214" t="s">
        <v>103</v>
      </c>
      <c r="N82" s="300" t="n">
        <f aca="false">N81/H29</f>
        <v>20.0555555555556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224.078626612779</v>
      </c>
      <c r="C83" s="473"/>
      <c r="D83" s="215"/>
      <c r="E83" s="466" t="n">
        <f aca="false">B83+E80+E77+E64</f>
        <v>537.655015501668</v>
      </c>
      <c r="F83" s="63"/>
      <c r="G83" s="305" t="s">
        <v>104</v>
      </c>
      <c r="H83" s="306" t="n">
        <f aca="false">H47</f>
        <v>224.078626612779</v>
      </c>
      <c r="I83" s="215"/>
      <c r="J83" s="215"/>
      <c r="K83" s="216"/>
      <c r="L83" s="63"/>
      <c r="M83" s="305" t="s">
        <v>104</v>
      </c>
      <c r="N83" s="306" t="n">
        <f aca="false">H47</f>
        <v>224.078626612779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19355.58055806</v>
      </c>
      <c r="C85" s="473"/>
      <c r="D85" s="473"/>
      <c r="E85" s="466" t="n">
        <f aca="false">B85/(B58+B57)</f>
        <v>537.655015501668</v>
      </c>
      <c r="F85" s="63"/>
      <c r="G85" s="288" t="s">
        <v>114</v>
      </c>
      <c r="H85" s="131" t="n">
        <f aca="false">((H83*H29)+H81)*1.2</f>
        <v>10959.0966696721</v>
      </c>
      <c r="I85" s="215"/>
      <c r="J85" s="215"/>
      <c r="K85" s="216"/>
      <c r="L85" s="63"/>
      <c r="M85" s="288" t="s">
        <v>114</v>
      </c>
      <c r="N85" s="131" t="n">
        <f aca="false">((N83*H29)+N81)</f>
        <v>8788.83055806005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163.964175764123</v>
      </c>
      <c r="C86" s="473" t="s">
        <v>230</v>
      </c>
      <c r="D86" s="215"/>
      <c r="E86" s="466" t="n">
        <f aca="false">B86/(B58+B57)</f>
        <v>4.55456043789231</v>
      </c>
      <c r="F86" s="63"/>
      <c r="G86" s="214" t="s">
        <v>115</v>
      </c>
      <c r="H86" s="300" t="n">
        <f aca="false">((((H83*H29)+H81))/(1-H70))*H70</f>
        <v>77.3635303425821</v>
      </c>
      <c r="I86" s="215"/>
      <c r="J86" s="215"/>
      <c r="K86" s="216"/>
      <c r="L86" s="63"/>
      <c r="M86" s="214" t="s">
        <v>115</v>
      </c>
      <c r="N86" s="300" t="n">
        <f aca="false">(N85/(1-N70))*N70</f>
        <v>74.4515698746515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19519.5447338242</v>
      </c>
      <c r="C87" s="473"/>
      <c r="D87" s="475"/>
      <c r="E87" s="466" t="n">
        <f aca="false">E86+E85</f>
        <v>542.20957593956</v>
      </c>
      <c r="F87" s="63"/>
      <c r="G87" s="285" t="s">
        <v>116</v>
      </c>
      <c r="H87" s="133" t="n">
        <f aca="false">IF(H110="YES",((H85+H86)-K114),(H85+H86))</f>
        <v>11036.4602000146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8863.2821279347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</f>
        <v>0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0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0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542.20957593956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269.181956097918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216.177612876456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542.20957593956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269.181956097918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216.177612876456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213" t="s">
        <v>343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214" t="s">
        <v>125</v>
      </c>
      <c r="N98" s="215" t="s">
        <v>23</v>
      </c>
      <c r="O98" s="215"/>
      <c r="P98" s="215" t="s">
        <v>286</v>
      </c>
      <c r="Q98" s="216"/>
      <c r="R98" s="63"/>
      <c r="S98" s="63"/>
      <c r="T98" s="63"/>
      <c r="U98" s="63"/>
      <c r="V98" s="63"/>
      <c r="W98" s="63"/>
      <c r="X98" s="63"/>
      <c r="Y98" s="63" t="s">
        <v>264</v>
      </c>
      <c r="Z98" s="63"/>
    </row>
    <row r="99" customFormat="false" ht="18.75" hidden="false" customHeight="true" outlineLevel="0" collapsed="false">
      <c r="A99" s="220" t="s">
        <v>287</v>
      </c>
      <c r="B99" s="312" t="s">
        <v>128</v>
      </c>
      <c r="C99" s="312"/>
      <c r="D99" s="107" t="n">
        <v>1000</v>
      </c>
      <c r="E99" s="107"/>
      <c r="F99" s="63"/>
      <c r="G99" s="220" t="s">
        <v>287</v>
      </c>
      <c r="H99" s="312" t="s">
        <v>266</v>
      </c>
      <c r="I99" s="312"/>
      <c r="J99" s="107" t="n">
        <v>0</v>
      </c>
      <c r="K99" s="107"/>
      <c r="L99" s="63"/>
      <c r="M99" s="220" t="s">
        <v>287</v>
      </c>
      <c r="N99" s="312" t="s">
        <v>266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265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266</v>
      </c>
      <c r="Z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378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214" t="s">
        <v>289</v>
      </c>
      <c r="N101" s="215" t="s">
        <v>290</v>
      </c>
      <c r="O101" s="215"/>
      <c r="P101" s="215" t="s">
        <v>291</v>
      </c>
      <c r="Q101" s="216"/>
      <c r="R101" s="63"/>
      <c r="S101" s="63"/>
      <c r="T101" s="63"/>
      <c r="U101" s="63"/>
      <c r="V101" s="63"/>
      <c r="W101" s="63"/>
      <c r="X101" s="63"/>
      <c r="Y101" s="63" t="s">
        <v>267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0</v>
      </c>
      <c r="C102" s="107"/>
      <c r="D102" s="107" t="n">
        <v>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268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269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270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0.3</v>
      </c>
      <c r="C105" s="314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271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344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217" t="s">
        <v>293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294</v>
      </c>
      <c r="B110" s="222" t="s">
        <v>19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214" t="s">
        <v>294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((E118*1.2)+E117)-E114</f>
        <v>-2760.012</v>
      </c>
      <c r="F119" s="63"/>
      <c r="G119" s="315" t="s">
        <v>295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295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217" t="s">
        <v>296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36</v>
      </c>
      <c r="C125" s="325"/>
      <c r="D125" s="324" t="n">
        <f aca="false">B160</f>
        <v>10000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299</v>
      </c>
      <c r="H126" s="328" t="s">
        <v>300</v>
      </c>
      <c r="I126" s="328"/>
      <c r="J126" s="328" t="s">
        <v>301</v>
      </c>
      <c r="K126" s="216"/>
      <c r="L126" s="63"/>
      <c r="M126" s="327" t="s">
        <v>345</v>
      </c>
      <c r="N126" s="328" t="s">
        <v>253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333" t="n">
        <f aca="false">H90</f>
        <v>269.181956097918</v>
      </c>
      <c r="H127" s="177" t="n">
        <f aca="false">IF(G105="YES", H89*H57, 0)</f>
        <v>0</v>
      </c>
      <c r="I127" s="177"/>
      <c r="J127" s="334" t="n">
        <f aca="false">H91</f>
        <v>269.181956097918</v>
      </c>
      <c r="K127" s="216"/>
      <c r="L127" s="63"/>
      <c r="M127" s="333" t="n">
        <f aca="false">N90</f>
        <v>216.177612876456</v>
      </c>
      <c r="N127" s="177" t="n">
        <f aca="false">IF(M105="YES", N89*N57, 0)</f>
        <v>0</v>
      </c>
      <c r="O127" s="177"/>
      <c r="P127" s="177" t="n">
        <f aca="false">N91</f>
        <v>216.177612876456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542.20957593956</v>
      </c>
      <c r="B128" s="321" t="n">
        <f aca="false">IF(A105="YES", B89, 0)</f>
        <v>0</v>
      </c>
      <c r="C128" s="325"/>
      <c r="D128" s="321" t="n">
        <f aca="false">B91</f>
        <v>542.20957593956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228" t="n">
        <f aca="false">G152</f>
        <v>36</v>
      </c>
      <c r="H130" s="229" t="n">
        <f aca="false">B151</f>
        <v>0</v>
      </c>
      <c r="I130" s="230"/>
      <c r="J130" s="229" t="n">
        <f aca="false">B58</f>
        <v>35</v>
      </c>
      <c r="K130" s="216"/>
      <c r="L130" s="63"/>
      <c r="M130" s="228" t="n">
        <f aca="false">M155</f>
        <v>36</v>
      </c>
      <c r="N130" s="229" t="n">
        <f aca="false">B151</f>
        <v>0</v>
      </c>
      <c r="O130" s="230"/>
      <c r="P130" s="229" t="n">
        <f aca="false">B58</f>
        <v>35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542.20957593956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214" t="s">
        <v>346</v>
      </c>
      <c r="N132" s="215" t="s">
        <v>242</v>
      </c>
      <c r="O132" s="215"/>
      <c r="P132" s="215" t="s">
        <v>246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1615.09173658751</v>
      </c>
      <c r="H133" s="103" t="n">
        <f aca="false">IF(G105="YES", H89*H57, 0)</f>
        <v>0</v>
      </c>
      <c r="I133" s="221"/>
      <c r="J133" s="184" t="n">
        <f aca="false">H91*H57</f>
        <v>1615.09173658751</v>
      </c>
      <c r="K133" s="216"/>
      <c r="L133" s="63"/>
      <c r="M133" s="185" t="n">
        <f aca="false">N90*N57</f>
        <v>1297.06567725874</v>
      </c>
      <c r="N133" s="103" t="n">
        <f aca="false">IF(M105="YES", N89*N57, 0)</f>
        <v>0</v>
      </c>
      <c r="O133" s="221"/>
      <c r="P133" s="184" t="n">
        <f aca="false">N91*N57</f>
        <v>1297.06567725874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542.20957593956</v>
      </c>
      <c r="B134" s="38" t="n">
        <f aca="false">E114</f>
        <v>4000</v>
      </c>
      <c r="C134" s="317"/>
      <c r="D134" s="337" t="n">
        <f aca="false">B58</f>
        <v>35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214" t="s">
        <v>255</v>
      </c>
      <c r="N135" s="215" t="s">
        <v>256</v>
      </c>
      <c r="O135" s="215"/>
      <c r="P135" s="215" t="s">
        <v>260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542.20957593956</v>
      </c>
      <c r="B137" s="38" t="n">
        <f aca="false">IF(A105="YES", B89, 0)</f>
        <v>0</v>
      </c>
      <c r="C137" s="317"/>
      <c r="D137" s="38" t="n">
        <f aca="false">B91</f>
        <v>542.20957593956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214" t="s">
        <v>139</v>
      </c>
      <c r="N138" s="215" t="s">
        <v>313</v>
      </c>
      <c r="O138" s="215"/>
      <c r="P138" s="215" t="s">
        <v>314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26.9316</v>
      </c>
      <c r="B140" s="343" t="n">
        <f aca="false">IF(A105="YES", B61*0.000002, 0)*1.2*100</f>
        <v>8.9772</v>
      </c>
      <c r="C140" s="317"/>
      <c r="D140" s="343" t="n">
        <f aca="false">A140+B140</f>
        <v>35.9088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214" t="s">
        <v>316</v>
      </c>
      <c r="N141" s="215" t="s">
        <v>317</v>
      </c>
      <c r="O141" s="215"/>
      <c r="P141" s="215" t="s">
        <v>318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e">
        <f aca="false">IF(G105="YES", ((B36*H105)*0.1)*(G130), 0)</f>
        <v>#VALUE!</v>
      </c>
      <c r="H142" s="103" t="n">
        <f aca="false">G102-100</f>
        <v>99.99</v>
      </c>
      <c r="I142" s="103"/>
      <c r="J142" s="103" t="e">
        <f aca="false">(H139+J139+G142+H142)-H145</f>
        <v>#VALUE!</v>
      </c>
      <c r="K142" s="105"/>
      <c r="L142" s="63"/>
      <c r="M142" s="111" t="e">
        <f aca="false">IF(M105="YES", ((B36*N105)*0.1)*(M130), 0)</f>
        <v>#VALUE!</v>
      </c>
      <c r="N142" s="103" t="n">
        <f aca="false">M102-100</f>
        <v>99.99</v>
      </c>
      <c r="O142" s="103"/>
      <c r="P142" s="103" t="e">
        <f aca="false">(N139+P139+M142+N142)-N145</f>
        <v>#VALUE!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214" t="s">
        <v>320</v>
      </c>
      <c r="N144" s="215" t="s">
        <v>321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#VALUE!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#VALUE!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347</v>
      </c>
      <c r="N147" s="166" t="s">
        <v>348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502.99992</v>
      </c>
      <c r="B148" s="103" t="n">
        <f aca="false">B102</f>
        <v>0</v>
      </c>
      <c r="C148" s="38"/>
      <c r="D148" s="38" t="n">
        <f aca="false">IF(A105="YES", (B40*B105)*B125, 0)*0.1</f>
        <v>0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602.98992</v>
      </c>
      <c r="E151" s="105"/>
      <c r="F151" s="63"/>
      <c r="G151" s="250"/>
      <c r="H151" s="252" t="n">
        <f aca="false">B51</f>
        <v>10000</v>
      </c>
      <c r="I151" s="252"/>
      <c r="J151" s="215"/>
      <c r="K151" s="216"/>
      <c r="L151" s="63"/>
      <c r="M151" s="281" t="s">
        <v>326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36</v>
      </c>
      <c r="H152" s="74" t="n">
        <f aca="false">H91</f>
        <v>269.181956097918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10000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36</v>
      </c>
      <c r="N155" s="74" t="n">
        <f aca="false">N91</f>
        <v>216.177612876456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10000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36</v>
      </c>
      <c r="B161" s="74" t="n">
        <f aca="false">B91</f>
        <v>542.20957593956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24" t="n">
        <f aca="false">A161</f>
        <v>36</v>
      </c>
      <c r="C174" s="357"/>
      <c r="D174" s="324" t="n">
        <f aca="false">D125</f>
        <v>10000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542.20957593956</v>
      </c>
      <c r="B177" s="355" t="n">
        <f aca="false">IF(A105="YES", B89, 0)</f>
        <v>0</v>
      </c>
      <c r="C177" s="357"/>
      <c r="D177" s="355" t="n">
        <f aca="false">B91</f>
        <v>542.20957593956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542.20957593956</v>
      </c>
      <c r="C180" s="353"/>
      <c r="D180" s="103" t="n">
        <f aca="false">IF(A105="YES", B89*B57,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542.20957593956</v>
      </c>
      <c r="B183" s="103" t="n">
        <f aca="false">E114</f>
        <v>4000</v>
      </c>
      <c r="C183" s="353"/>
      <c r="D183" s="361" t="n">
        <f aca="false">B58</f>
        <v>35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542.20957593956</v>
      </c>
      <c r="B186" s="103" t="n">
        <f aca="false">IF(A105="YES", B89, 0)</f>
        <v>0</v>
      </c>
      <c r="C186" s="353"/>
      <c r="D186" s="103" t="n">
        <f aca="false">B91</f>
        <v>542.20957593956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26.9316</v>
      </c>
      <c r="B189" s="365" t="n">
        <f aca="false">B140</f>
        <v>8.9772</v>
      </c>
      <c r="C189" s="353"/>
      <c r="D189" s="365" t="n">
        <f aca="false">A189+B189</f>
        <v>35.9088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502.99992</v>
      </c>
      <c r="B197" s="103" t="n">
        <f aca="false">B102</f>
        <v>0</v>
      </c>
      <c r="C197" s="103"/>
      <c r="D197" s="103" t="n">
        <f aca="false">IF(A105="YES", (B40*B105)*B125,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602.98992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D64</f>
        <v>10000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502.99992</v>
      </c>
      <c r="C211" s="320" t="s">
        <v>217</v>
      </c>
      <c r="D211" s="370" t="n">
        <f aca="false">B225+E221+B221+B223</f>
        <v>99.99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9596.99008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10000</v>
      </c>
      <c r="C217" s="375" t="s">
        <v>221</v>
      </c>
      <c r="D217" s="317"/>
      <c r="E217" s="376" t="n">
        <f aca="false">B66</f>
        <v>0.02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502.99992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(B77-(B77*(E219*100)))*0.1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B78-(B78*(E219*100))</f>
        <v>0</v>
      </c>
      <c r="C223" s="336" t="s">
        <v>218</v>
      </c>
      <c r="D223" s="317"/>
      <c r="E223" s="33" t="n">
        <f aca="false">(B217-B211+D211)</f>
        <v>9596.99008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200</v>
      </c>
      <c r="C229" s="336" t="s">
        <v>226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380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163.964175764123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200</v>
      </c>
      <c r="C233" s="382" t="s">
        <v>333</v>
      </c>
      <c r="D233" s="383"/>
      <c r="E233" s="149" t="n">
        <f aca="false">B74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200</v>
      </c>
      <c r="C235" s="386" t="s">
        <v>334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44" colorId="64" zoomScale="85" zoomScaleNormal="85" zoomScalePageLayoutView="100" workbookViewId="0">
      <selection pane="topLeft" activeCell="F260" activeCellId="0" sqref="F260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16745</v>
      </c>
      <c r="C3" s="441" t="n">
        <v>0</v>
      </c>
      <c r="D3" s="441" t="n">
        <v>0</v>
      </c>
      <c r="E3" s="441"/>
      <c r="F3" s="441" t="n">
        <v>0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</v>
      </c>
      <c r="C4" s="124" t="n">
        <v>0</v>
      </c>
      <c r="D4" s="124" t="n">
        <v>0</v>
      </c>
      <c r="E4" s="124"/>
      <c r="F4" s="124" t="n">
        <v>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</v>
      </c>
      <c r="C5" s="441" t="n">
        <v>0</v>
      </c>
      <c r="D5" s="441" t="n">
        <v>0</v>
      </c>
      <c r="E5" s="441"/>
      <c r="F5" s="441" t="n">
        <v>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16745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0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340</v>
      </c>
    </row>
    <row r="9" customFormat="false" ht="19.7" hidden="false" customHeight="false" outlineLevel="0" collapsed="false">
      <c r="A9" s="152" t="s">
        <v>161</v>
      </c>
      <c r="B9" s="152" t="n">
        <v>23125</v>
      </c>
      <c r="C9" s="152"/>
      <c r="D9" s="152"/>
      <c r="E9" s="152" t="n">
        <f aca="false">(B7+C7+D7+E3)</f>
        <v>16745</v>
      </c>
      <c r="F9" s="152"/>
      <c r="G9" s="136"/>
      <c r="H9" s="443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695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4" t="s">
        <v>163</v>
      </c>
      <c r="B11" s="154" t="n">
        <v>0</v>
      </c>
      <c r="C11" s="154"/>
      <c r="D11" s="154"/>
      <c r="E11" s="154"/>
      <c r="F11" s="154"/>
      <c r="G11" s="155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 t="n">
        <v>0</v>
      </c>
      <c r="C13" s="154"/>
      <c r="D13" s="154"/>
      <c r="E13" s="154" t="n">
        <v>585</v>
      </c>
      <c r="F13" s="154"/>
      <c r="G13" s="155"/>
      <c r="H13" s="442" t="n">
        <v>275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21268</v>
      </c>
      <c r="I15" s="2"/>
      <c r="J15" s="17" t="n">
        <f aca="false">H15</f>
        <v>21268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21268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45295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8.96969696969697</v>
      </c>
      <c r="E32" s="226"/>
      <c r="F32" s="63"/>
      <c r="G32" s="227" t="s">
        <v>244</v>
      </c>
      <c r="H32" s="225" t="n">
        <f aca="false">A41</f>
        <v>8.96969696969697</v>
      </c>
      <c r="I32" s="0"/>
      <c r="J32" s="44" t="s">
        <v>37</v>
      </c>
      <c r="K32" s="45" t="s">
        <v>383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508.969696969697</v>
      </c>
      <c r="B35" s="223" t="s">
        <v>249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s">
        <v>382</v>
      </c>
      <c r="I36" s="0"/>
      <c r="J36" s="44" t="s">
        <v>51</v>
      </c>
      <c r="K36" s="52" t="n">
        <f aca="false">K32-K34</f>
        <v>16780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8.96969696969697</v>
      </c>
      <c r="B41" s="241" t="n">
        <f aca="false">IF(B38="YES", D38+A41, D38)</f>
        <v>508.969696969697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8.96969696969697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509.333333333333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53" t="s">
        <v>4</v>
      </c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509.333333333333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20928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0.072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13679.0984055199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199.3875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16780</v>
      </c>
      <c r="C81" s="93"/>
      <c r="D81" s="93"/>
      <c r="E81" s="113"/>
      <c r="F81" s="25" t="s">
        <v>105</v>
      </c>
      <c r="G81" s="27" t="n">
        <f aca="false">B81</f>
        <v>16780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0.137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0.0114166666666667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4950.38529500718</v>
      </c>
      <c r="C86" s="93" t="n">
        <f aca="false">(B82/((1+B84)^(B85+1)))</f>
        <v>4950.38529500718</v>
      </c>
      <c r="D86" s="93"/>
      <c r="E86" s="113"/>
      <c r="F86" s="31" t="s">
        <v>110</v>
      </c>
      <c r="G86" s="33" t="n">
        <f aca="false">(G82/((1+G84)^(G85+1)))</f>
        <v>5020.31079273804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26.6800219733353</v>
      </c>
      <c r="C87" s="93" t="n">
        <f aca="false">((1-(1/((1+B84)^B85)))/B84)</f>
        <v>26.6800219733353</v>
      </c>
      <c r="D87" s="93"/>
      <c r="E87" s="113"/>
      <c r="F87" s="31" t="s">
        <v>111</v>
      </c>
      <c r="G87" s="33" t="n">
        <f aca="false">((1-(1/((1+G84)^G85)))/G84)</f>
        <v>29.3075648349115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11829.6147049928</v>
      </c>
      <c r="C88" s="93" t="n">
        <f aca="false">B81-B86</f>
        <v>11829.6147049928</v>
      </c>
      <c r="D88" s="93"/>
      <c r="E88" s="113"/>
      <c r="F88" s="31" t="s">
        <v>112</v>
      </c>
      <c r="G88" s="33" t="n">
        <f aca="false">G81-G86</f>
        <v>11759.689207262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443.388491839162</v>
      </c>
      <c r="C89" s="93" t="n">
        <f aca="false">(B88/B87)</f>
        <v>443.388491839162</v>
      </c>
      <c r="D89" s="93"/>
      <c r="E89" s="113"/>
      <c r="F89" s="31" t="s">
        <v>113</v>
      </c>
      <c r="G89" s="33" t="n">
        <f aca="false">(G88/G87)</f>
        <v>401.250983270151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14188.4317388532</v>
      </c>
      <c r="C90" s="93"/>
      <c r="D90" s="93"/>
      <c r="E90" s="113"/>
      <c r="F90" s="31" t="s">
        <v>114</v>
      </c>
      <c r="G90" s="33" t="n">
        <f aca="false">((G89*(G85))+G77)</f>
        <v>12840.0314646448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14188.4317388532</v>
      </c>
      <c r="C92" s="93"/>
      <c r="D92" s="93"/>
      <c r="E92" s="113"/>
      <c r="F92" s="56" t="s">
        <v>116</v>
      </c>
      <c r="G92" s="65" t="n">
        <f aca="false">(G90+G91)</f>
        <v>12840.0314646448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n">
        <f aca="false">IF(B38="YES",((H36/B85)*(1+A108)*1.2),"0")</f>
        <v>13.32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443.388491839162</v>
      </c>
      <c r="C95" s="93"/>
      <c r="D95" s="93"/>
      <c r="E95" s="113"/>
      <c r="F95" s="95" t="s">
        <v>118</v>
      </c>
      <c r="G95" s="96" t="n">
        <f aca="false">G92/(G85)</f>
        <v>401.250983270151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456.708491839162</v>
      </c>
      <c r="C96" s="93"/>
      <c r="D96" s="93"/>
      <c r="E96" s="113"/>
      <c r="F96" s="97" t="s">
        <v>119</v>
      </c>
      <c r="G96" s="98" t="n">
        <f aca="false">G94+G95</f>
        <v>401.250983270151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18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235</v>
      </c>
      <c r="C108" s="107"/>
      <c r="D108" s="107" t="n">
        <v>0</v>
      </c>
      <c r="E108" s="108" t="n">
        <f aca="false">B83</f>
        <v>0.137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B3</f>
        <v>16745</v>
      </c>
      <c r="C121" s="121" t="n">
        <f aca="false">B121</f>
        <v>16745</v>
      </c>
      <c r="D121" s="120" t="n">
        <f aca="false">D3</f>
        <v>0</v>
      </c>
      <c r="E121" s="121" t="n">
        <f aca="false">D121</f>
        <v>0</v>
      </c>
      <c r="F121" s="120" t="n">
        <f aca="false">F3</f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f aca="false">B122</f>
        <v>0</v>
      </c>
      <c r="D122" s="123" t="n">
        <f aca="false">D4</f>
        <v>0</v>
      </c>
      <c r="E122" s="124" t="n">
        <f aca="false">D122</f>
        <v>0</v>
      </c>
      <c r="F122" s="123" t="n">
        <f aca="false">F4</f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f aca="false">B123</f>
        <v>0</v>
      </c>
      <c r="D123" s="130" t="n">
        <f aca="false">D5</f>
        <v>0</v>
      </c>
      <c r="E123" s="121" t="n">
        <f aca="false">D123</f>
        <v>0</v>
      </c>
      <c r="F123" s="130" t="n">
        <f aca="false">F5</f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16745</v>
      </c>
      <c r="C125" s="133" t="n">
        <f aca="false">C121-C124</f>
        <v>16745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16745</v>
      </c>
      <c r="H135" s="153" t="n">
        <f aca="false">C125+E125+G125+H128</f>
        <v>16745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695</v>
      </c>
      <c r="H136" s="33" t="n">
        <f aca="false">G136</f>
        <v>695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3488</v>
      </c>
      <c r="H137" s="33" t="n">
        <f aca="false">(H135+H136)*20%</f>
        <v>3488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275</v>
      </c>
      <c r="H139" s="33" t="n">
        <f aca="false">G139</f>
        <v>275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65</v>
      </c>
      <c r="H140" s="33" t="n">
        <f aca="false">G140</f>
        <v>65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21268</v>
      </c>
      <c r="H141" s="157" t="n">
        <f aca="false">(H135+H136+H139+H140+H137)-H138</f>
        <v>21268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21268</v>
      </c>
      <c r="H147" s="164" t="n">
        <f aca="false">H141-((H144*1.2)+(H145*1.2)+(H146*1.2)+(H142*1.2))</f>
        <v>21268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-13983.3333333333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21268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443.388491839162</v>
      </c>
      <c r="B167" s="177" t="n">
        <f aca="false">B94</f>
        <v>13.32</v>
      </c>
      <c r="C167" s="174"/>
      <c r="D167" s="174"/>
      <c r="E167" s="177" t="n">
        <f aca="false">B96</f>
        <v>456.708491839162</v>
      </c>
      <c r="F167" s="23"/>
      <c r="G167" s="23" t="n">
        <f aca="false">ROUND(G95, 2)</f>
        <v>401.25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n">
        <f aca="false">B29</f>
        <v>12345</v>
      </c>
      <c r="B170" s="180" t="n">
        <f aca="false">B30</f>
        <v>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17440</v>
      </c>
      <c r="B173" s="103" t="n">
        <f aca="false">H137</f>
        <v>3488</v>
      </c>
      <c r="C173" s="186"/>
      <c r="D173" s="23"/>
      <c r="E173" s="182" t="n">
        <f aca="false">H139+H140</f>
        <v>340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21268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21268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120.431738853185</v>
      </c>
      <c r="B182" s="103" t="str">
        <f aca="false">B114</f>
        <v>239.99</v>
      </c>
      <c r="C182" s="103"/>
      <c r="D182" s="23"/>
      <c r="E182" s="103" t="n">
        <f aca="false">E179+A182+B182+A185</f>
        <v>21638.4217388532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5.02272</v>
      </c>
      <c r="B188" s="103" t="n">
        <f aca="false">(G158*B67)/1.2</f>
        <v>166.15625</v>
      </c>
      <c r="C188" s="93"/>
      <c r="D188" s="93"/>
      <c r="E188" s="103" t="n">
        <f aca="false">IF(E105 = "YES" , (H36*A108)*0.1 , 0)</f>
        <v>5.92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272.067916666667</v>
      </c>
      <c r="C191" s="93"/>
      <c r="D191" s="93"/>
      <c r="E191" s="103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456.708491839162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-1228</v>
      </c>
      <c r="B201" s="186" t="n">
        <f aca="false">E179+A201+B182+A185</f>
        <v>20289.99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443.388491839162</v>
      </c>
      <c r="B212" s="177" t="n">
        <f aca="false">B167</f>
        <v>13.32</v>
      </c>
      <c r="C212" s="174"/>
      <c r="D212" s="174"/>
      <c r="E212" s="177" t="n">
        <f aca="false">E167</f>
        <v>456.708491839162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17440</v>
      </c>
      <c r="B215" s="103" t="n">
        <f aca="false">B173</f>
        <v>3488</v>
      </c>
      <c r="C215" s="186"/>
      <c r="D215" s="113"/>
      <c r="E215" s="182" t="n">
        <f aca="false">E173</f>
        <v>340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21268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21268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120.431738853185</v>
      </c>
      <c r="B224" s="103" t="str">
        <f aca="false">B182</f>
        <v>239.99</v>
      </c>
      <c r="C224" s="103"/>
      <c r="D224" s="113"/>
      <c r="E224" s="103" t="n">
        <f aca="false">E182</f>
        <v>21638.4217388532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443.388491839162</v>
      </c>
      <c r="B230" s="103" t="n">
        <f aca="false">B167</f>
        <v>13.32</v>
      </c>
      <c r="C230" s="186"/>
      <c r="D230" s="186"/>
      <c r="E230" s="103" t="n">
        <f aca="false">E167</f>
        <v>456.708491839162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J18*0.000006*100*1.2</f>
        <v>15.06816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5.02272</v>
      </c>
      <c r="B236" s="103" t="n">
        <f aca="false">E233+A236</f>
        <v>20.09088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B188</f>
        <v>166.15625</v>
      </c>
      <c r="C240" s="93"/>
      <c r="D240" s="93"/>
      <c r="E240" s="103" t="n">
        <f aca="false">IF(E105 = "YES" , (H36*A108)*0.1 , 0)</f>
        <v>5.92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272.067916666667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0.137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1358.43173885319</v>
      </c>
      <c r="C254" s="197"/>
      <c r="D254" s="198" t="s">
        <v>216</v>
      </c>
      <c r="E254" s="198"/>
      <c r="F254" s="200" t="n">
        <f aca="false">F261+F267+F269+B270+B271</f>
        <v>199.3875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159.191666666667</v>
      </c>
      <c r="C255" s="197"/>
      <c r="D255" s="198" t="s">
        <v>218</v>
      </c>
      <c r="E255" s="198"/>
      <c r="F255" s="200" t="n">
        <f aca="false">(B254-F254)+B255</f>
        <v>1318.23590551985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0.072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0.137</v>
      </c>
      <c r="C260" s="43"/>
      <c r="D260" s="166" t="s">
        <v>215</v>
      </c>
      <c r="E260" s="166"/>
      <c r="F260" s="146" t="n">
        <f aca="false">B254</f>
        <v>1358.43173885319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199.3875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59.2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1318.23590551985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2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16745</v>
      </c>
      <c r="C3" s="441" t="n">
        <v>0</v>
      </c>
      <c r="D3" s="441" t="n">
        <v>0</v>
      </c>
      <c r="E3" s="441"/>
      <c r="F3" s="441" t="n">
        <v>0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</v>
      </c>
      <c r="C4" s="124" t="n">
        <v>0</v>
      </c>
      <c r="D4" s="124" t="n">
        <v>0</v>
      </c>
      <c r="E4" s="124"/>
      <c r="F4" s="124" t="n">
        <v>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</v>
      </c>
      <c r="C5" s="441" t="n">
        <v>0</v>
      </c>
      <c r="D5" s="441" t="n">
        <v>0</v>
      </c>
      <c r="E5" s="441"/>
      <c r="F5" s="441" t="n">
        <v>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16745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0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340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16745</v>
      </c>
      <c r="F9" s="152"/>
      <c r="G9" s="136"/>
      <c r="H9" s="443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695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275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21268</v>
      </c>
      <c r="I15" s="2"/>
      <c r="J15" s="17" t="n">
        <f aca="false">H15</f>
        <v>21268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21268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45295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8.96969696969697</v>
      </c>
      <c r="E32" s="226"/>
      <c r="F32" s="63"/>
      <c r="G32" s="227" t="s">
        <v>244</v>
      </c>
      <c r="H32" s="225" t="n">
        <f aca="false">A41</f>
        <v>8.96969696969697</v>
      </c>
      <c r="I32" s="0"/>
      <c r="J32" s="44" t="s">
        <v>37</v>
      </c>
      <c r="K32" s="45" t="s">
        <v>383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508.969696969697</v>
      </c>
      <c r="B35" s="223" t="s">
        <v>249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s">
        <v>382</v>
      </c>
      <c r="I36" s="0"/>
      <c r="J36" s="44" t="s">
        <v>51</v>
      </c>
      <c r="K36" s="52" t="n">
        <f aca="false">K32-K34</f>
        <v>16780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8.96969696969697</v>
      </c>
      <c r="B41" s="241" t="n">
        <f aca="false">IF(B38="YES", D38+A41, D38)</f>
        <v>508.969696969697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8.96969696969697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509.333333333333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509.333333333333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20928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0.072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13679.0984055199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199.3875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16780</v>
      </c>
      <c r="C81" s="93"/>
      <c r="D81" s="93"/>
      <c r="E81" s="113"/>
      <c r="F81" s="25" t="s">
        <v>105</v>
      </c>
      <c r="G81" s="27" t="n">
        <f aca="false">B81</f>
        <v>16780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93"/>
      <c r="D82" s="93"/>
      <c r="E82" s="113"/>
      <c r="F82" s="31" t="s">
        <v>106</v>
      </c>
      <c r="G82" s="33" t="n">
        <f aca="false">IF(A111="YES",D41,0)*1.2</f>
        <v>7200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0.137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0.0114166666666667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4950.38529500718</v>
      </c>
      <c r="C86" s="93" t="n">
        <f aca="false">(B82/((1+B84)^(B85+1)))</f>
        <v>4950.38529500718</v>
      </c>
      <c r="D86" s="93"/>
      <c r="E86" s="113"/>
      <c r="F86" s="31" t="s">
        <v>110</v>
      </c>
      <c r="G86" s="33" t="n">
        <f aca="false">(G82/((1+G84)^(G85+1)))</f>
        <v>6024.37295128565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26.6800219733353</v>
      </c>
      <c r="C87" s="93" t="n">
        <f aca="false">((1-(1/((1+B84)^B85)))/B84)</f>
        <v>26.6800219733353</v>
      </c>
      <c r="D87" s="93"/>
      <c r="E87" s="113"/>
      <c r="F87" s="31" t="s">
        <v>111</v>
      </c>
      <c r="G87" s="33" t="n">
        <f aca="false">((1-(1/((1+G84)^G85)))/G84)</f>
        <v>29.3075648349115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11829.6147049928</v>
      </c>
      <c r="C88" s="93" t="n">
        <f aca="false">B81-B86</f>
        <v>11829.6147049928</v>
      </c>
      <c r="D88" s="93"/>
      <c r="E88" s="113"/>
      <c r="F88" s="31" t="s">
        <v>112</v>
      </c>
      <c r="G88" s="33" t="n">
        <f aca="false">G81-G86</f>
        <v>10755.6270487144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443.388491839162</v>
      </c>
      <c r="C89" s="93" t="n">
        <f aca="false">(B88/B87)</f>
        <v>443.388491839162</v>
      </c>
      <c r="D89" s="93"/>
      <c r="E89" s="113"/>
      <c r="F89" s="31" t="s">
        <v>113</v>
      </c>
      <c r="G89" s="33" t="n">
        <f aca="false">(G88/G87)</f>
        <v>366.991495516615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14188.4317388532</v>
      </c>
      <c r="C90" s="93"/>
      <c r="D90" s="93"/>
      <c r="E90" s="113"/>
      <c r="F90" s="31" t="s">
        <v>114</v>
      </c>
      <c r="G90" s="33" t="n">
        <f aca="false">((G89*(G85))+G77)</f>
        <v>11743.7278565317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14188.4317388532</v>
      </c>
      <c r="C92" s="93"/>
      <c r="D92" s="93"/>
      <c r="E92" s="113"/>
      <c r="F92" s="56" t="s">
        <v>116</v>
      </c>
      <c r="G92" s="65" t="n">
        <f aca="false">(G90+G91)</f>
        <v>11743.7278565317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n">
        <f aca="false">IF(B38="YES",((H36/B85)*(1+A108)),"0")</f>
        <v>11.1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443.388491839162</v>
      </c>
      <c r="C95" s="93"/>
      <c r="D95" s="93"/>
      <c r="E95" s="113"/>
      <c r="F95" s="95" t="s">
        <v>118</v>
      </c>
      <c r="G95" s="96" t="n">
        <f aca="false">G92/(G85)</f>
        <v>366.991495516615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454.488491839162</v>
      </c>
      <c r="C96" s="93"/>
      <c r="D96" s="93"/>
      <c r="E96" s="113"/>
      <c r="F96" s="97" t="s">
        <v>119</v>
      </c>
      <c r="G96" s="98" t="n">
        <f aca="false">G94+G95</f>
        <v>366.991495516615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18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235</v>
      </c>
      <c r="C108" s="107"/>
      <c r="D108" s="107"/>
      <c r="E108" s="108" t="n">
        <f aca="false">B83</f>
        <v>0.137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236</v>
      </c>
      <c r="C114" s="107"/>
      <c r="D114" s="107"/>
      <c r="E114" s="107" t="s">
        <v>18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 t="s">
        <v>18</v>
      </c>
      <c r="B120" s="116" t="n">
        <v>0</v>
      </c>
      <c r="C120" s="117" t="s">
        <v>148</v>
      </c>
      <c r="D120" s="116" t="s">
        <v>147</v>
      </c>
      <c r="E120" s="118" t="n">
        <v>0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B3</f>
        <v>16745</v>
      </c>
      <c r="C121" s="121" t="n">
        <f aca="false">B121</f>
        <v>16745</v>
      </c>
      <c r="D121" s="120" t="n">
        <f aca="false">D3</f>
        <v>0</v>
      </c>
      <c r="E121" s="121" t="n">
        <f aca="false">D121</f>
        <v>0</v>
      </c>
      <c r="F121" s="120" t="n">
        <f aca="false">F3</f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f aca="false">B122</f>
        <v>0</v>
      </c>
      <c r="D122" s="123" t="n">
        <f aca="false">D4</f>
        <v>0</v>
      </c>
      <c r="E122" s="124" t="n">
        <f aca="false">D122</f>
        <v>0</v>
      </c>
      <c r="F122" s="123" t="n">
        <f aca="false">F4</f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f aca="false">B123</f>
        <v>0</v>
      </c>
      <c r="D123" s="130" t="n">
        <f aca="false">D5</f>
        <v>0</v>
      </c>
      <c r="E123" s="121" t="n">
        <f aca="false">D123</f>
        <v>0</v>
      </c>
      <c r="F123" s="130" t="n">
        <f aca="false">F5</f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16745</v>
      </c>
      <c r="C125" s="133" t="n">
        <f aca="false">C121-C124</f>
        <v>16745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16745</v>
      </c>
      <c r="H135" s="153" t="n">
        <f aca="false">C125+E125+G125+H128</f>
        <v>16745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695</v>
      </c>
      <c r="H136" s="33" t="n">
        <f aca="false">G136</f>
        <v>695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3488</v>
      </c>
      <c r="H137" s="33" t="n">
        <f aca="false">(H135+H136)*20%</f>
        <v>3488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275</v>
      </c>
      <c r="H139" s="33" t="n">
        <f aca="false">G139</f>
        <v>275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65</v>
      </c>
      <c r="H140" s="33" t="n">
        <f aca="false">G140</f>
        <v>65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21268</v>
      </c>
      <c r="H141" s="157" t="n">
        <f aca="false">(H135+H136+H139+H140+H137)-H138</f>
        <v>21268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21268</v>
      </c>
      <c r="H147" s="164" t="n">
        <f aca="false">H141-((H144*1.2)+(H145*1.2)+(H146*1.2)+(H142*1.2))</f>
        <v>21268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-13983.3333333333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21268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 t="n">
        <v>0</v>
      </c>
      <c r="F161" s="23"/>
      <c r="G161" s="23" t="n">
        <v>0</v>
      </c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 t="n">
        <v>0</v>
      </c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443.388491839162</v>
      </c>
      <c r="B167" s="177" t="n">
        <f aca="false">B94</f>
        <v>11.1</v>
      </c>
      <c r="C167" s="174"/>
      <c r="D167" s="174"/>
      <c r="E167" s="177" t="n">
        <f aca="false">B96</f>
        <v>454.488491839162</v>
      </c>
      <c r="F167" s="23"/>
      <c r="G167" s="23" t="n">
        <f aca="false">ROUND(G95, 2)</f>
        <v>366.99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33</v>
      </c>
      <c r="B170" s="180" t="str">
        <f aca="false">H30</f>
        <v>5000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17440</v>
      </c>
      <c r="B173" s="103" t="n">
        <f aca="false">H137</f>
        <v>3488</v>
      </c>
      <c r="C173" s="186"/>
      <c r="D173" s="23"/>
      <c r="E173" s="182" t="n">
        <f aca="false">H139+H140</f>
        <v>340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21268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21268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120.431738853185</v>
      </c>
      <c r="B182" s="103" t="str">
        <f aca="false">B114</f>
        <v>199.99</v>
      </c>
      <c r="C182" s="103"/>
      <c r="D182" s="23"/>
      <c r="E182" s="103" t="n">
        <f aca="false">E179+A182+(B182*1.2)+A185</f>
        <v>21638.4197388532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239.988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4.1856</v>
      </c>
      <c r="B188" s="103" t="n">
        <f aca="false">(G158*B67)/1.2</f>
        <v>166.15625</v>
      </c>
      <c r="C188" s="93"/>
      <c r="D188" s="93"/>
      <c r="E188" s="103" t="n">
        <f aca="false">IF(E105 = "YES" , (H36*A108)*0.1 , 0)</f>
        <v>5.92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272.06625</v>
      </c>
      <c r="C191" s="93"/>
      <c r="D191" s="93"/>
      <c r="E191" s="103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454.488491839162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-2324.32</v>
      </c>
      <c r="B201" s="186" t="n">
        <f aca="false">E179+A201+(B182*1.2)+A185</f>
        <v>19193.668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443.388491839162</v>
      </c>
      <c r="B212" s="177" t="n">
        <f aca="false">B167</f>
        <v>11.1</v>
      </c>
      <c r="C212" s="174"/>
      <c r="D212" s="174"/>
      <c r="E212" s="177" t="n">
        <f aca="false">E167</f>
        <v>454.488491839162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17440</v>
      </c>
      <c r="B215" s="103" t="n">
        <f aca="false">B173</f>
        <v>3488</v>
      </c>
      <c r="C215" s="186"/>
      <c r="D215" s="113"/>
      <c r="E215" s="182" t="n">
        <f aca="false">E173</f>
        <v>340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21268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21268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120.431738853185</v>
      </c>
      <c r="B224" s="103" t="str">
        <f aca="false">B182</f>
        <v>199.99</v>
      </c>
      <c r="C224" s="103"/>
      <c r="D224" s="113"/>
      <c r="E224" s="103" t="n">
        <f aca="false">E182</f>
        <v>21638.4197388532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443.388491839162</v>
      </c>
      <c r="B230" s="103" t="n">
        <f aca="false">B167</f>
        <v>11.1</v>
      </c>
      <c r="C230" s="186"/>
      <c r="D230" s="186"/>
      <c r="E230" s="103" t="n">
        <f aca="false">E167</f>
        <v>454.488491839162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J18*0.000006*100</f>
        <v>12.5568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4.1856</v>
      </c>
      <c r="B236" s="103" t="n">
        <f aca="false">E233+A236</f>
        <v>16.7424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B188</f>
        <v>166.15625</v>
      </c>
      <c r="C240" s="93"/>
      <c r="D240" s="93"/>
      <c r="E240" s="103" t="n">
        <f aca="false">IF(E105 = "YES" , (H36*A108)*0.1 , 0)</f>
        <v>5.92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272.06625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0.137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2454.75173885319</v>
      </c>
      <c r="C254" s="197"/>
      <c r="D254" s="198" t="s">
        <v>216</v>
      </c>
      <c r="E254" s="198"/>
      <c r="F254" s="200" t="n">
        <f aca="false">F261+F267+F269+B270+B271</f>
        <v>199.3875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159.19</v>
      </c>
      <c r="C255" s="197"/>
      <c r="D255" s="198" t="s">
        <v>218</v>
      </c>
      <c r="E255" s="198"/>
      <c r="F255" s="200" t="n">
        <f aca="false">(B254-F254)+B255</f>
        <v>2414.55423885319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0.072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0.137</v>
      </c>
      <c r="C260" s="43"/>
      <c r="D260" s="166" t="s">
        <v>215</v>
      </c>
      <c r="E260" s="166"/>
      <c r="F260" s="146" t="n">
        <f aca="false">B254</f>
        <v>2454.75173885319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199.3875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59.2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2414.55423885319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1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16745</v>
      </c>
      <c r="C3" s="441" t="n">
        <v>0</v>
      </c>
      <c r="D3" s="441" t="n">
        <v>0</v>
      </c>
      <c r="E3" s="441"/>
      <c r="F3" s="441" t="n">
        <v>0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</v>
      </c>
      <c r="C4" s="124" t="n">
        <v>0</v>
      </c>
      <c r="D4" s="124" t="n">
        <v>0</v>
      </c>
      <c r="E4" s="124"/>
      <c r="F4" s="124" t="n">
        <v>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</v>
      </c>
      <c r="C5" s="441" t="n">
        <v>0</v>
      </c>
      <c r="D5" s="441" t="n">
        <v>0</v>
      </c>
      <c r="E5" s="441"/>
      <c r="F5" s="441" t="n">
        <v>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16745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0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340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16745</v>
      </c>
      <c r="F9" s="152"/>
      <c r="G9" s="136"/>
      <c r="H9" s="443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695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275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21268</v>
      </c>
      <c r="I15" s="2"/>
      <c r="J15" s="17" t="n">
        <f aca="false">H15</f>
        <v>21268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21268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45295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8.96969696969697</v>
      </c>
      <c r="E32" s="226"/>
      <c r="F32" s="63"/>
      <c r="G32" s="227" t="s">
        <v>244</v>
      </c>
      <c r="H32" s="225" t="n">
        <f aca="false">A41</f>
        <v>8.96969696969697</v>
      </c>
      <c r="I32" s="0"/>
      <c r="J32" s="44" t="s">
        <v>37</v>
      </c>
      <c r="K32" s="45" t="s">
        <v>383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508.969696969697</v>
      </c>
      <c r="B35" s="223" t="s">
        <v>249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s">
        <v>382</v>
      </c>
      <c r="I36" s="0"/>
      <c r="J36" s="44" t="s">
        <v>51</v>
      </c>
      <c r="K36" s="52" t="n">
        <f aca="false">K32-K34</f>
        <v>16780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8.96969696969697</v>
      </c>
      <c r="B41" s="241" t="n">
        <f aca="false">IF(B38="YES", D38+A41, D38)</f>
        <v>508.969696969697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8.96969696969697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509.333333333333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509.333333333333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20928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12926.7614599614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199.3875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16780</v>
      </c>
      <c r="C81" s="93"/>
      <c r="D81" s="93"/>
      <c r="E81" s="113"/>
      <c r="F81" s="25" t="s">
        <v>105</v>
      </c>
      <c r="G81" s="27" t="n">
        <f aca="false">B81</f>
        <v>16780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0.115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0.00958333333333333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5255.82391109543</v>
      </c>
      <c r="C86" s="93" t="n">
        <f aca="false">(B82/((1+B84)^(B85+1)))</f>
        <v>5255.82391109543</v>
      </c>
      <c r="D86" s="93"/>
      <c r="E86" s="113"/>
      <c r="F86" s="31" t="s">
        <v>110</v>
      </c>
      <c r="G86" s="33" t="n">
        <f aca="false">(G82/((1+G84)^(G85+1)))</f>
        <v>5020.31079273804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27.4464895133802</v>
      </c>
      <c r="C87" s="93" t="n">
        <f aca="false">((1-(1/((1+B84)^B85)))/B84)</f>
        <v>27.4464895133802</v>
      </c>
      <c r="D87" s="93"/>
      <c r="E87" s="113"/>
      <c r="F87" s="31" t="s">
        <v>111</v>
      </c>
      <c r="G87" s="33" t="n">
        <f aca="false">((1-(1/((1+G84)^G85)))/G84)</f>
        <v>29.3075648349115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11524.1760889046</v>
      </c>
      <c r="C88" s="93" t="n">
        <f aca="false">B81-B86</f>
        <v>11524.1760889046</v>
      </c>
      <c r="D88" s="93"/>
      <c r="E88" s="113"/>
      <c r="F88" s="31" t="s">
        <v>112</v>
      </c>
      <c r="G88" s="33" t="n">
        <f aca="false">G81-G86</f>
        <v>11759.689207262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419.87796229046</v>
      </c>
      <c r="C89" s="93" t="n">
        <f aca="false">(B88/B87)</f>
        <v>419.87796229046</v>
      </c>
      <c r="D89" s="93"/>
      <c r="E89" s="113"/>
      <c r="F89" s="31" t="s">
        <v>113</v>
      </c>
      <c r="G89" s="33" t="n">
        <f aca="false">(G88/G87)</f>
        <v>401.250983270151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13436.0947932947</v>
      </c>
      <c r="C90" s="93"/>
      <c r="D90" s="93"/>
      <c r="E90" s="113"/>
      <c r="F90" s="31" t="s">
        <v>114</v>
      </c>
      <c r="G90" s="33" t="n">
        <f aca="false">((G89*(G85))+G77)</f>
        <v>12840.0314646448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13436.0947932947</v>
      </c>
      <c r="C92" s="93"/>
      <c r="D92" s="93"/>
      <c r="E92" s="113"/>
      <c r="F92" s="56" t="s">
        <v>116</v>
      </c>
      <c r="G92" s="65" t="n">
        <f aca="false">(G90+G91)</f>
        <v>12840.0314646448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n">
        <f aca="false">IF(B38="YES",((H36/B85)*(1+A108)*1.2),"0")</f>
        <v>14.43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419.87796229046</v>
      </c>
      <c r="C95" s="93"/>
      <c r="D95" s="93"/>
      <c r="E95" s="113"/>
      <c r="F95" s="95" t="s">
        <v>118</v>
      </c>
      <c r="G95" s="96" t="n">
        <f aca="false">G92/(G85)</f>
        <v>401.250983270151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434.30796229046</v>
      </c>
      <c r="C96" s="93"/>
      <c r="D96" s="93"/>
      <c r="E96" s="113"/>
      <c r="F96" s="97" t="s">
        <v>119</v>
      </c>
      <c r="G96" s="98" t="n">
        <f aca="false">G94+G95</f>
        <v>401.250983270151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272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18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0.3</v>
      </c>
      <c r="B108" s="107" t="s">
        <v>235</v>
      </c>
      <c r="C108" s="107"/>
      <c r="D108" s="107"/>
      <c r="E108" s="108" t="n">
        <f aca="false">B83</f>
        <v>0.115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B3</f>
        <v>16745</v>
      </c>
      <c r="C121" s="121" t="n">
        <f aca="false">B121</f>
        <v>16745</v>
      </c>
      <c r="D121" s="120" t="n">
        <f aca="false">D3</f>
        <v>0</v>
      </c>
      <c r="E121" s="121" t="n">
        <f aca="false">D121</f>
        <v>0</v>
      </c>
      <c r="F121" s="120" t="n">
        <f aca="false">F3</f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f aca="false">B122</f>
        <v>0</v>
      </c>
      <c r="D122" s="123" t="n">
        <f aca="false">D4</f>
        <v>0</v>
      </c>
      <c r="E122" s="124" t="n">
        <f aca="false">D122</f>
        <v>0</v>
      </c>
      <c r="F122" s="123" t="n">
        <f aca="false">F4</f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f aca="false">B123</f>
        <v>0</v>
      </c>
      <c r="D123" s="130" t="n">
        <f aca="false">D5</f>
        <v>0</v>
      </c>
      <c r="E123" s="121" t="n">
        <f aca="false">D123</f>
        <v>0</v>
      </c>
      <c r="F123" s="130" t="n">
        <f aca="false">F5</f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16745</v>
      </c>
      <c r="C125" s="133" t="n">
        <f aca="false">C121-C124</f>
        <v>16745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16745</v>
      </c>
      <c r="H135" s="153" t="n">
        <f aca="false">C125+E125+G125+H128</f>
        <v>16745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695</v>
      </c>
      <c r="H136" s="33" t="n">
        <f aca="false">G136</f>
        <v>695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3488</v>
      </c>
      <c r="H137" s="33" t="n">
        <f aca="false">(H135+H136)*20%</f>
        <v>3488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275</v>
      </c>
      <c r="H139" s="33" t="n">
        <f aca="false">G139</f>
        <v>275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65</v>
      </c>
      <c r="H140" s="33" t="n">
        <f aca="false">G140</f>
        <v>65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21268</v>
      </c>
      <c r="H141" s="157" t="n">
        <f aca="false">(H135+H136+H139+H140+H137)-H138</f>
        <v>21268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21268</v>
      </c>
      <c r="H147" s="164" t="n">
        <f aca="false">H141-((H144*1.2)+(H145*1.2)+(H146*1.2)+(H142*1.2))</f>
        <v>21268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-13983.3333333333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21268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419.87796229046</v>
      </c>
      <c r="B167" s="177" t="n">
        <f aca="false">B94</f>
        <v>14.43</v>
      </c>
      <c r="C167" s="174"/>
      <c r="D167" s="174"/>
      <c r="E167" s="177" t="n">
        <f aca="false">B96</f>
        <v>434.30796229046</v>
      </c>
      <c r="F167" s="23"/>
      <c r="G167" s="23" t="n">
        <f aca="false">ROUND(G95, 2)</f>
        <v>401.25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33</v>
      </c>
      <c r="B170" s="229" t="str">
        <f aca="false">H30</f>
        <v>5000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17440</v>
      </c>
      <c r="B173" s="103" t="n">
        <f aca="false">H137</f>
        <v>3488</v>
      </c>
      <c r="C173" s="186"/>
      <c r="D173" s="23"/>
      <c r="E173" s="182" t="n">
        <f aca="false">H139+H140</f>
        <v>340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21268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21268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-631.905206705283</v>
      </c>
      <c r="B182" s="103" t="str">
        <f aca="false">B114</f>
        <v>239.99</v>
      </c>
      <c r="C182" s="103"/>
      <c r="D182" s="23"/>
      <c r="E182" s="103" t="n">
        <f aca="false">E179+A182+B182+A185</f>
        <v>20886.0847932947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5.02272</v>
      </c>
      <c r="B188" s="103" t="n">
        <f aca="false">(G158*B67)/1.2</f>
        <v>166.15625</v>
      </c>
      <c r="C188" s="93"/>
      <c r="D188" s="93"/>
      <c r="E188" s="103" t="n">
        <f aca="false">IF(E105 = "YES" , (H36*A108)*0.1 , 0)</f>
        <v>8.88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275.027916666667</v>
      </c>
      <c r="C191" s="93"/>
      <c r="D191" s="93"/>
      <c r="E191" s="103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434.30796229046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-1228</v>
      </c>
      <c r="B201" s="186" t="n">
        <f aca="false">E179+A201+B182+A185</f>
        <v>20289.99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419.87796229046</v>
      </c>
      <c r="B212" s="177" t="n">
        <f aca="false">B167</f>
        <v>14.43</v>
      </c>
      <c r="C212" s="174"/>
      <c r="D212" s="174"/>
      <c r="E212" s="177" t="n">
        <f aca="false">E167</f>
        <v>434.30796229046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17440</v>
      </c>
      <c r="B215" s="103" t="n">
        <f aca="false">B173</f>
        <v>3488</v>
      </c>
      <c r="C215" s="186"/>
      <c r="D215" s="113"/>
      <c r="E215" s="182" t="n">
        <f aca="false">E173</f>
        <v>340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21268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21268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-631.905206705283</v>
      </c>
      <c r="B224" s="103" t="str">
        <f aca="false">B182</f>
        <v>239.99</v>
      </c>
      <c r="C224" s="103"/>
      <c r="D224" s="113"/>
      <c r="E224" s="103" t="n">
        <f aca="false">E182</f>
        <v>20886.0847932947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419.87796229046</v>
      </c>
      <c r="B230" s="103" t="n">
        <f aca="false">B167</f>
        <v>14.43</v>
      </c>
      <c r="C230" s="186"/>
      <c r="D230" s="186"/>
      <c r="E230" s="103" t="n">
        <f aca="false">E167</f>
        <v>434.30796229046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A188</f>
        <v>5.02272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B188</f>
        <v>166.15625</v>
      </c>
      <c r="C240" s="93"/>
      <c r="D240" s="93"/>
      <c r="E240" s="103" t="n">
        <f aca="false">E188</f>
        <v>8.88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275.027916666667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606.094793294717</v>
      </c>
      <c r="C254" s="197"/>
      <c r="D254" s="198" t="s">
        <v>216</v>
      </c>
      <c r="E254" s="198"/>
      <c r="F254" s="200" t="n">
        <f aca="false">F261+F267+F269+B270+B271</f>
        <v>199.3875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188.791666666667</v>
      </c>
      <c r="C255" s="197"/>
      <c r="D255" s="198" t="s">
        <v>218</v>
      </c>
      <c r="E255" s="198"/>
      <c r="F255" s="200" t="n">
        <f aca="false">(B254-F254)+B255</f>
        <v>595.498959961383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0.115</v>
      </c>
      <c r="C260" s="43"/>
      <c r="D260" s="166" t="s">
        <v>215</v>
      </c>
      <c r="E260" s="166"/>
      <c r="F260" s="146" t="n">
        <f aca="false">B254</f>
        <v>606.094793294717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199.3875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0.3</v>
      </c>
      <c r="C262" s="32"/>
      <c r="D262" s="166" t="s">
        <v>222</v>
      </c>
      <c r="E262" s="166"/>
      <c r="F262" s="146" t="n">
        <f aca="false">E240*10</f>
        <v>88.8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595.498959961383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9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16745</v>
      </c>
      <c r="C3" s="498" t="n">
        <v>0</v>
      </c>
      <c r="D3" s="498" t="n">
        <v>0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</v>
      </c>
      <c r="C4" s="500" t="n">
        <v>0</v>
      </c>
      <c r="D4" s="50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16745</v>
      </c>
      <c r="C7" s="291" t="n">
        <f aca="false">C3-C6</f>
        <v>0</v>
      </c>
      <c r="D7" s="291" t="n">
        <f aca="false">D3-D6</f>
        <v>0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340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16745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695</v>
      </c>
      <c r="F10" s="63"/>
      <c r="G10" s="63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3488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275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21268</v>
      </c>
      <c r="F15" s="63"/>
      <c r="G15" s="274" t="n">
        <f aca="false">E15</f>
        <v>21268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21268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45295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0.00</v>
      </c>
      <c r="E32" s="226"/>
      <c r="F32" s="63"/>
      <c r="G32" s="227" t="s">
        <v>244</v>
      </c>
      <c r="H32" s="225" t="str">
        <f aca="false">A41</f>
        <v>0.00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250</v>
      </c>
      <c r="B41" s="241" t="n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str">
        <f aca="false">H32</f>
        <v>0.00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n">
        <v>0.07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0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0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 t="n">
        <v>0.01</v>
      </c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B61*B66</f>
        <v>0</v>
      </c>
      <c r="C67" s="215"/>
      <c r="D67" s="215"/>
      <c r="E67" s="216"/>
      <c r="F67" s="63"/>
      <c r="G67" s="214" t="s">
        <v>14</v>
      </c>
      <c r="H67" s="291" t="n">
        <f aca="false">G18</f>
        <v>20928</v>
      </c>
      <c r="I67" s="215"/>
      <c r="J67" s="215"/>
      <c r="K67" s="216"/>
      <c r="L67" s="63"/>
      <c r="M67" s="214" t="s">
        <v>14</v>
      </c>
      <c r="N67" s="291" t="n">
        <f aca="false">G18</f>
        <v>20928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0.0075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0.0075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0</v>
      </c>
      <c r="C70" s="215" t="n">
        <v>10000</v>
      </c>
      <c r="D70" s="291" t="n">
        <f aca="false">B70-A149</f>
        <v>0</v>
      </c>
      <c r="E70" s="216" t="n">
        <f aca="false">D70/12</f>
        <v>0</v>
      </c>
      <c r="F70" s="63"/>
      <c r="G70" s="285" t="s">
        <v>90</v>
      </c>
      <c r="H70" s="133" t="n">
        <f aca="false">H67*H69</f>
        <v>1464.96</v>
      </c>
      <c r="I70" s="215"/>
      <c r="J70" s="291" t="n">
        <f aca="false">H70-G151</f>
        <v>1464.96</v>
      </c>
      <c r="K70" s="216"/>
      <c r="L70" s="63"/>
      <c r="M70" s="285" t="s">
        <v>90</v>
      </c>
      <c r="N70" s="133" t="n">
        <f aca="false">N67*N69</f>
        <v>1464.96</v>
      </c>
      <c r="O70" s="215"/>
      <c r="P70" s="291" t="n">
        <f aca="false">N70-M151</f>
        <v>1464.96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200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200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0</v>
      </c>
      <c r="C73" s="215"/>
      <c r="D73" s="291"/>
      <c r="E73" s="216"/>
      <c r="F73" s="63"/>
      <c r="G73" s="285" t="s">
        <v>93</v>
      </c>
      <c r="H73" s="133" t="n">
        <f aca="false">H67*H72</f>
        <v>104.64</v>
      </c>
      <c r="I73" s="215"/>
      <c r="J73" s="291"/>
      <c r="K73" s="216"/>
      <c r="L73" s="63"/>
      <c r="M73" s="285" t="s">
        <v>93</v>
      </c>
      <c r="N73" s="133" t="n">
        <f aca="false">N67*N72</f>
        <v>104.64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280</v>
      </c>
      <c r="B80" s="432" t="n">
        <v>200</v>
      </c>
      <c r="C80" s="215"/>
      <c r="D80" s="215"/>
      <c r="E80" s="430" t="n">
        <f aca="false">E79+D82</f>
        <v>676.666666666667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281</v>
      </c>
      <c r="B81" s="434" t="n">
        <v>0</v>
      </c>
      <c r="C81" s="215"/>
      <c r="D81" s="215"/>
      <c r="E81" s="216" t="n">
        <f aca="false">E80/12</f>
        <v>56.3888888888889</v>
      </c>
      <c r="F81" s="63"/>
      <c r="G81" s="295" t="s">
        <v>281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((B80+B81)/12)*(H29-11)</f>
        <v>16.6666666666667</v>
      </c>
      <c r="C82" s="215"/>
      <c r="D82" s="291" t="n">
        <f aca="false">IF(A50="YES", 0, B82)</f>
        <v>16.6666666666667</v>
      </c>
      <c r="E82" s="216"/>
      <c r="F82" s="63"/>
      <c r="G82" s="285" t="s">
        <v>282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0</v>
      </c>
      <c r="C83" s="215"/>
      <c r="D83" s="291" t="n">
        <f aca="false">B83</f>
        <v>0</v>
      </c>
      <c r="E83" s="216" t="n">
        <f aca="false">D83/12</f>
        <v>0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0</v>
      </c>
      <c r="C84" s="215"/>
      <c r="D84" s="291" t="n">
        <f aca="false">B84</f>
        <v>0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676.666666666667</v>
      </c>
      <c r="C87" s="215"/>
      <c r="D87" s="215"/>
      <c r="E87" s="216"/>
      <c r="F87" s="63"/>
      <c r="G87" s="303" t="s">
        <v>102</v>
      </c>
      <c r="H87" s="304" t="n">
        <f aca="false">SUM(J70:J86)</f>
        <v>4591.46</v>
      </c>
      <c r="I87" s="215"/>
      <c r="J87" s="215"/>
      <c r="K87" s="216"/>
      <c r="L87" s="63"/>
      <c r="M87" s="303" t="s">
        <v>102</v>
      </c>
      <c r="N87" s="304" t="n">
        <f aca="false">SUM(P70:P86)</f>
        <v>4578.96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56.3888888888889</v>
      </c>
      <c r="C88" s="215"/>
      <c r="D88" s="215"/>
      <c r="E88" s="216"/>
      <c r="F88" s="63"/>
      <c r="G88" s="214" t="s">
        <v>103</v>
      </c>
      <c r="H88" s="300" t="n">
        <f aca="false">H87/H29</f>
        <v>382.621666666667</v>
      </c>
      <c r="I88" s="215"/>
      <c r="J88" s="215"/>
      <c r="K88" s="216"/>
      <c r="L88" s="63"/>
      <c r="M88" s="214" t="s">
        <v>103</v>
      </c>
      <c r="N88" s="300" t="n">
        <f aca="false">N87/H29</f>
        <v>381.58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6688.66666666667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12724.152</v>
      </c>
      <c r="I91" s="215"/>
      <c r="J91" s="215"/>
      <c r="K91" s="216"/>
      <c r="L91" s="63"/>
      <c r="M91" s="288" t="s">
        <v>114</v>
      </c>
      <c r="N91" s="131" t="n">
        <f aca="false">((N89*H29)+N87)</f>
        <v>10590.96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0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89.8235820895522</v>
      </c>
      <c r="I92" s="215"/>
      <c r="J92" s="215"/>
      <c r="K92" s="216"/>
      <c r="L92" s="63"/>
      <c r="M92" s="214" t="s">
        <v>115</v>
      </c>
      <c r="N92" s="300" t="n">
        <f aca="false">(N91/(1-N76))*N76</f>
        <v>89.7176926179911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6688.66666666667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14813.9755820896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12680.677692618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e">
        <f aca="false">IF(B105=Z104,(((H44*B35)+(H44*B35)*(B111/100))/(B64)),(((H44*B35)+(H44*B35)*(B111/100))/(B63+B64)))</f>
        <v>#DIV/0!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e">
        <f aca="false">IF(B105=Z104, (B93-D111)/(B64), B93/(B63+B64))</f>
        <v>#DIV/0!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e">
        <f aca="false">IF(A111="YES", B96+B95, B96)</f>
        <v>#DIV/0!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 t="s">
        <v>128</v>
      </c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343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n">
        <v>199.99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 t="s">
        <v>18</v>
      </c>
      <c r="B105" s="312" t="n">
        <v>20</v>
      </c>
      <c r="C105" s="312"/>
      <c r="D105" s="421" t="n">
        <v>200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0</v>
      </c>
      <c r="C108" s="107"/>
      <c r="D108" s="107" t="n">
        <v>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18</v>
      </c>
      <c r="B111" s="312" t="n">
        <v>20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200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 t="n">
        <v>0</v>
      </c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-3560.012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e">
        <f aca="false">B157</f>
        <v>#DIV/0!</v>
      </c>
      <c r="I133" s="230"/>
      <c r="J133" s="229" t="n">
        <f aca="false">B64</f>
        <v>0</v>
      </c>
      <c r="K133" s="216"/>
      <c r="L133" s="63"/>
      <c r="M133" s="228" t="n">
        <f aca="false">M161</f>
        <v>12</v>
      </c>
      <c r="N133" s="229" t="e">
        <f aca="false">B157</f>
        <v>#DIV/0!</v>
      </c>
      <c r="O133" s="230"/>
      <c r="P133" s="229" t="n">
        <f aca="false">B64</f>
        <v>0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e">
        <f aca="false">B96</f>
        <v>#DIV/0!</v>
      </c>
      <c r="B134" s="321" t="e">
        <f aca="false">IF(A111="YES", B95, 0)</f>
        <v>#DIV/0!</v>
      </c>
      <c r="C134" s="326"/>
      <c r="D134" s="321" t="e">
        <f aca="false">B97</f>
        <v>#DIV/0!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n">
        <f aca="false">B105</f>
        <v>20</v>
      </c>
      <c r="B137" s="38" t="e">
        <f aca="false">B96*B63</f>
        <v>#DIV/0!</v>
      </c>
      <c r="C137" s="317"/>
      <c r="D137" s="38" t="e">
        <f aca="false">IF(A111="YES", B95*B63, 0)</f>
        <v>#DIV/0!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e">
        <f aca="false">B97*B63</f>
        <v>#DIV/0!</v>
      </c>
      <c r="B140" s="38" t="n">
        <f aca="false">E120</f>
        <v>4000</v>
      </c>
      <c r="C140" s="317"/>
      <c r="D140" s="337" t="n">
        <f aca="false">B64</f>
        <v>0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0.127608</v>
      </c>
      <c r="H142" s="103" t="n">
        <f aca="false">IF(G111="YES", E15*0.000002, 0)</f>
        <v>0.042536</v>
      </c>
      <c r="I142" s="103"/>
      <c r="J142" s="103" t="n">
        <f aca="false">G142+H142</f>
        <v>0.170144</v>
      </c>
      <c r="K142" s="105"/>
      <c r="L142" s="63"/>
      <c r="M142" s="111" t="n">
        <f aca="false">E15*0.000006</f>
        <v>0.127608</v>
      </c>
      <c r="N142" s="103" t="n">
        <f aca="false">IF(M111="YES", E15*0.000002, 0)</f>
        <v>0.042536</v>
      </c>
      <c r="O142" s="103"/>
      <c r="P142" s="103" t="n">
        <f aca="false">M142+N142</f>
        <v>0.170144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e">
        <f aca="false">B96</f>
        <v>#DIV/0!</v>
      </c>
      <c r="B143" s="38" t="e">
        <f aca="false">IF(A111="YES", B95, 0)</f>
        <v>#DIV/0!</v>
      </c>
      <c r="C143" s="317"/>
      <c r="D143" s="38" t="e">
        <f aca="false">B97</f>
        <v>#DIV/0!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87.2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87.2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15.06816</v>
      </c>
      <c r="B146" s="343" t="n">
        <f aca="false">G18*0.000002 *1.2*100</f>
        <v>5.02272</v>
      </c>
      <c r="C146" s="317"/>
      <c r="D146" s="343" t="n">
        <f aca="false">A146+B146</f>
        <v>20.09088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1307.188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1267.19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0</v>
      </c>
      <c r="B154" s="38" t="n">
        <f aca="false">B108</f>
        <v>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e">
        <f aca="false">(A154+B154+D154+A157)*(A149/B70)</f>
        <v>#DIV/0!</v>
      </c>
      <c r="C157" s="38"/>
      <c r="D157" s="38" t="e">
        <f aca="false">(A154+B154+D154+A157)-B157</f>
        <v>#DIV/0!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e">
        <f aca="false">B97</f>
        <v>#DIV/0!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e">
        <f aca="false">B96</f>
        <v>#DIV/0!</v>
      </c>
      <c r="B177" s="355" t="e">
        <f aca="false">IF(A111="YES", B95, 0)</f>
        <v>#DIV/0!</v>
      </c>
      <c r="C177" s="358"/>
      <c r="D177" s="355" t="n">
        <f aca="false">B91</f>
        <v>6688.66666666667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n">
        <f aca="false">B105</f>
        <v>20</v>
      </c>
      <c r="B180" s="103" t="e">
        <f aca="false">B96*B63</f>
        <v>#DIV/0!</v>
      </c>
      <c r="C180" s="353"/>
      <c r="D180" s="103" t="e">
        <f aca="false">IF(A111="YES", B95*B63, 0)</f>
        <v>#DIV/0!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e">
        <f aca="false">B97*B63</f>
        <v>#DIV/0!</v>
      </c>
      <c r="B183" s="103" t="n">
        <f aca="false">E120</f>
        <v>4000</v>
      </c>
      <c r="C183" s="353"/>
      <c r="D183" s="361" t="n">
        <f aca="false">B64</f>
        <v>0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e">
        <f aca="false">B96</f>
        <v>#DIV/0!</v>
      </c>
      <c r="B186" s="103" t="e">
        <f aca="false">IF(A111="YES", B95, 0)</f>
        <v>#DIV/0!</v>
      </c>
      <c r="C186" s="353"/>
      <c r="D186" s="103" t="e">
        <f aca="false">B97</f>
        <v>#DIV/0!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15.06816</v>
      </c>
      <c r="B189" s="365" t="n">
        <f aca="false">G18*0.000002 *1.2*100</f>
        <v>5.02272</v>
      </c>
      <c r="C189" s="353"/>
      <c r="D189" s="365" t="n">
        <f aca="false">A189+B189</f>
        <v>20.09088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0</v>
      </c>
      <c r="B197" s="103" t="n">
        <f aca="false">B108</f>
        <v>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e">
        <f aca="false">(A154+B154+D154+A157)*(A149/B70)</f>
        <v>#DIV/0!</v>
      </c>
      <c r="C200" s="103"/>
      <c r="D200" s="103" t="e">
        <f aca="false">(A154+B154+D154+A157)-B157</f>
        <v>#DIV/0!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0</v>
      </c>
      <c r="C211" s="320" t="s">
        <v>217</v>
      </c>
      <c r="D211" s="370" t="n">
        <f aca="false">B225+E221+B221+B223</f>
        <v>99.99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99.99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0</v>
      </c>
      <c r="C217" s="375" t="s">
        <v>221</v>
      </c>
      <c r="D217" s="317"/>
      <c r="E217" s="376" t="n">
        <f aca="false">B72</f>
        <v>200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0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0</v>
      </c>
      <c r="C223" s="336" t="s">
        <v>218</v>
      </c>
      <c r="D223" s="317"/>
      <c r="E223" s="33" t="n">
        <f aca="false">(B217-B211+D211)</f>
        <v>99.99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</v>
      </c>
      <c r="C231" s="336" t="s">
        <v>229</v>
      </c>
      <c r="D231" s="343"/>
      <c r="E231" s="376" t="n">
        <f aca="false">B75</f>
        <v>0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0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200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9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16745</v>
      </c>
      <c r="C3" s="498" t="n">
        <v>0</v>
      </c>
      <c r="D3" s="498" t="n">
        <v>0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</v>
      </c>
      <c r="C4" s="500" t="n">
        <v>0</v>
      </c>
      <c r="D4" s="50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16745</v>
      </c>
      <c r="C7" s="291" t="n">
        <f aca="false">C3-C6</f>
        <v>0</v>
      </c>
      <c r="D7" s="291" t="n">
        <f aca="false">D3-D6</f>
        <v>0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340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16745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695</v>
      </c>
      <c r="F10" s="63"/>
      <c r="G10" s="63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3488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275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21268</v>
      </c>
      <c r="F15" s="63"/>
      <c r="G15" s="274" t="n">
        <f aca="false">E15</f>
        <v>21268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21268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45295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</v>
      </c>
      <c r="B41" s="241" t="str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20928</v>
      </c>
      <c r="C67" s="215"/>
      <c r="D67" s="215"/>
      <c r="E67" s="216"/>
      <c r="F67" s="63"/>
      <c r="G67" s="214" t="s">
        <v>14</v>
      </c>
      <c r="H67" s="291" t="n">
        <f aca="false">G18</f>
        <v>20928</v>
      </c>
      <c r="I67" s="215"/>
      <c r="J67" s="215"/>
      <c r="K67" s="216"/>
      <c r="L67" s="63"/>
      <c r="M67" s="214" t="s">
        <v>14</v>
      </c>
      <c r="N67" s="291" t="n">
        <f aca="false">G18</f>
        <v>20928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1464.96</v>
      </c>
      <c r="C70" s="215" t="n">
        <v>10000</v>
      </c>
      <c r="D70" s="291" t="n">
        <f aca="false">B70-A149</f>
        <v>1464.96</v>
      </c>
      <c r="E70" s="216" t="n">
        <f aca="false">D70/12</f>
        <v>122.08</v>
      </c>
      <c r="F70" s="63"/>
      <c r="G70" s="285" t="s">
        <v>90</v>
      </c>
      <c r="H70" s="133" t="n">
        <f aca="false">H67*H69</f>
        <v>1464.96</v>
      </c>
      <c r="I70" s="215"/>
      <c r="J70" s="291" t="n">
        <f aca="false">H70-G151</f>
        <v>1464.96</v>
      </c>
      <c r="K70" s="216"/>
      <c r="L70" s="63"/>
      <c r="M70" s="285" t="s">
        <v>90</v>
      </c>
      <c r="N70" s="133" t="n">
        <f aca="false">N67*N69</f>
        <v>1464.96</v>
      </c>
      <c r="O70" s="215"/>
      <c r="P70" s="291" t="n">
        <f aca="false">N70-M151</f>
        <v>1464.96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209.28</v>
      </c>
      <c r="C73" s="215"/>
      <c r="D73" s="291"/>
      <c r="E73" s="216"/>
      <c r="F73" s="63"/>
      <c r="G73" s="285" t="s">
        <v>93</v>
      </c>
      <c r="H73" s="133" t="n">
        <f aca="false">H67*H72</f>
        <v>104.64</v>
      </c>
      <c r="I73" s="215"/>
      <c r="J73" s="291"/>
      <c r="K73" s="216"/>
      <c r="L73" s="63"/>
      <c r="M73" s="285" t="s">
        <v>93</v>
      </c>
      <c r="N73" s="133" t="n">
        <f aca="false">N67*N72</f>
        <v>104.64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0</v>
      </c>
      <c r="C80" s="215"/>
      <c r="D80" s="215"/>
      <c r="E80" s="430" t="n">
        <f aca="false">E79+D82</f>
        <v>660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0</v>
      </c>
      <c r="C81" s="215"/>
      <c r="D81" s="215"/>
      <c r="E81" s="216" t="n">
        <f aca="false">E80/12</f>
        <v>55</v>
      </c>
      <c r="F81" s="63"/>
      <c r="G81" s="295" t="s">
        <v>281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282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2791.62666666667</v>
      </c>
      <c r="C87" s="215"/>
      <c r="D87" s="215"/>
      <c r="E87" s="216"/>
      <c r="F87" s="63"/>
      <c r="G87" s="303" t="s">
        <v>102</v>
      </c>
      <c r="H87" s="304" t="n">
        <f aca="false">SUM(J70:J86)</f>
        <v>4591.46</v>
      </c>
      <c r="I87" s="215"/>
      <c r="J87" s="215"/>
      <c r="K87" s="216"/>
      <c r="L87" s="63"/>
      <c r="M87" s="303" t="s">
        <v>102</v>
      </c>
      <c r="N87" s="304" t="n">
        <f aca="false">SUM(P70:P86)</f>
        <v>4578.96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232.635555555556</v>
      </c>
      <c r="C88" s="215"/>
      <c r="D88" s="215"/>
      <c r="E88" s="216"/>
      <c r="F88" s="63"/>
      <c r="G88" s="214" t="s">
        <v>103</v>
      </c>
      <c r="H88" s="300" t="n">
        <f aca="false">H87/H29</f>
        <v>382.621666666667</v>
      </c>
      <c r="I88" s="215"/>
      <c r="J88" s="215"/>
      <c r="K88" s="216"/>
      <c r="L88" s="63"/>
      <c r="M88" s="214" t="s">
        <v>103</v>
      </c>
      <c r="N88" s="300" t="n">
        <f aca="false">N87/H29</f>
        <v>381.58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10564.352</v>
      </c>
      <c r="C91" s="215"/>
      <c r="D91" s="215"/>
      <c r="E91" s="216"/>
      <c r="F91" s="63"/>
      <c r="G91" s="288" t="s">
        <v>114</v>
      </c>
      <c r="H91" s="131" t="n">
        <f aca="false">((H89*H29)+H87)*1.2</f>
        <v>12724.152</v>
      </c>
      <c r="I91" s="215"/>
      <c r="J91" s="215"/>
      <c r="K91" s="216"/>
      <c r="L91" s="63"/>
      <c r="M91" s="288" t="s">
        <v>114</v>
      </c>
      <c r="N91" s="131" t="n">
        <f aca="false">((N89*H29)+N87)</f>
        <v>10590.96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74.5769100443727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89.8235820895522</v>
      </c>
      <c r="I92" s="215"/>
      <c r="J92" s="215"/>
      <c r="K92" s="216"/>
      <c r="L92" s="63"/>
      <c r="M92" s="214" t="s">
        <v>115</v>
      </c>
      <c r="N92" s="300" t="n">
        <f aca="false">(N91/(1-N76))*N76</f>
        <v>89.7176926179911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10638.9289100444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14813.9755820896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12680.677692618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886.577409170364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886.577409170364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 t="s">
        <v>128</v>
      </c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n">
        <v>239.99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 t="s">
        <v>18</v>
      </c>
      <c r="B105" s="312" t="s">
        <v>128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239.99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19</v>
      </c>
      <c r="B111" s="312" t="n">
        <v>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 t="n">
        <v>0</v>
      </c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886.577409170364</v>
      </c>
      <c r="B134" s="321" t="n">
        <f aca="false">IF(A111="YES", B95, 0)</f>
        <v>0</v>
      </c>
      <c r="C134" s="326"/>
      <c r="D134" s="321" t="n">
        <f aca="false">B97</f>
        <v>886.577409170364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886.577409170364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886.577409170364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0.127608</v>
      </c>
      <c r="H142" s="103" t="n">
        <f aca="false">IF(G111="YES", E15*0.000002, 0)</f>
        <v>0.042536</v>
      </c>
      <c r="I142" s="103"/>
      <c r="J142" s="103" t="n">
        <f aca="false">G142+H142</f>
        <v>0.170144</v>
      </c>
      <c r="K142" s="105"/>
      <c r="L142" s="63"/>
      <c r="M142" s="111" t="n">
        <f aca="false">E15*0.000006</f>
        <v>0.127608</v>
      </c>
      <c r="N142" s="103" t="n">
        <f aca="false">IF(M111="YES", E15*0.000002, 0)</f>
        <v>0.042536</v>
      </c>
      <c r="O142" s="103"/>
      <c r="P142" s="103" t="n">
        <f aca="false">M142+N142</f>
        <v>0.170144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886.577409170364</v>
      </c>
      <c r="B143" s="38" t="n">
        <f aca="false">IF(A111="YES", B95, 0)</f>
        <v>0</v>
      </c>
      <c r="C143" s="317"/>
      <c r="D143" s="38" t="n">
        <f aca="false">B97</f>
        <v>886.577409170364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87.2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87.2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15.06816</v>
      </c>
      <c r="B146" s="343" t="n">
        <f aca="false">G18*0.000002 *1.2*100</f>
        <v>5.02272</v>
      </c>
      <c r="C146" s="317"/>
      <c r="D146" s="343" t="n">
        <f aca="false">A146+B146</f>
        <v>20.09088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1307.188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1267.19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209.28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709.271666666667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886.577409170364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886.577409170364</v>
      </c>
      <c r="B177" s="355" t="n">
        <f aca="false">IF(A111="YES", B95, 0)</f>
        <v>0</v>
      </c>
      <c r="C177" s="358"/>
      <c r="D177" s="355" t="n">
        <f aca="false">B91</f>
        <v>10564.352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886.577409170364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886.577409170364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886.577409170364</v>
      </c>
      <c r="B186" s="103" t="n">
        <f aca="false">IF(A111="YES", B95, 0)</f>
        <v>0</v>
      </c>
      <c r="C186" s="353"/>
      <c r="D186" s="103" t="n">
        <f aca="false">B97</f>
        <v>886.577409170364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15.06816</v>
      </c>
      <c r="B189" s="365" t="n">
        <f aca="false">G18*0.000002 *1.2*100</f>
        <v>5.02272</v>
      </c>
      <c r="C189" s="353"/>
      <c r="D189" s="365" t="n">
        <f aca="false">A189+B189</f>
        <v>20.09088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209.28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709.271666666667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1464.96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209.28</v>
      </c>
      <c r="C211" s="320" t="s">
        <v>217</v>
      </c>
      <c r="D211" s="370" t="n">
        <f aca="false">B225+E221+B221+B223</f>
        <v>339.991666666667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1595.67166666667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1464.96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209.28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1595.67166666667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74.5769100443727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61" colorId="64" zoomScale="85" zoomScaleNormal="85" zoomScalePageLayoutView="100" workbookViewId="0">
      <selection pane="topLeft" activeCell="B75" activeCellId="0" sqref="B75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0.0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0.0</v>
      </c>
      <c r="C4" s="500" t="n">
        <v>0.0</v>
      </c>
      <c r="D4" s="50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650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 t="n">
        <v>23125</v>
      </c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 t="n">
        <v>0</v>
      </c>
      <c r="C11" s="488"/>
      <c r="D11" s="488"/>
      <c r="E11" s="300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 t="n">
        <v>0</v>
      </c>
      <c r="C13" s="488"/>
      <c r="D13" s="488"/>
      <c r="E13" s="499" t="n">
        <v>585.0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58535</v>
      </c>
      <c r="F15" s="63"/>
      <c r="G15" s="274" t="n">
        <f aca="false">E15</f>
        <v>58535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58535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45295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5.28</v>
      </c>
      <c r="E32" s="226"/>
      <c r="F32" s="63"/>
      <c r="G32" s="227" t="s">
        <v>244</v>
      </c>
      <c r="H32" s="225" t="str">
        <f aca="false">A41</f>
        <v>5.28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505.28</v>
      </c>
      <c r="B35" s="223" t="n">
        <v>33.0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406</v>
      </c>
      <c r="C38" s="223"/>
      <c r="D38" s="104" t="s">
        <v>393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14.24</v>
      </c>
      <c r="B41" s="241" t="n">
        <f aca="false">IF(B38="YES", D38+A41, D38)</f>
        <v>505.28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392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str">
        <f aca="false">H32</f>
        <v>5.28</v>
      </c>
      <c r="I44" s="394" t="n">
        <f aca="false">((A41*(B35-1))+D32)/B35</f>
        <v>5.28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506.28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506.28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57885</v>
      </c>
      <c r="C67" s="215"/>
      <c r="D67" s="215"/>
      <c r="E67" s="216"/>
      <c r="F67" s="63"/>
      <c r="G67" s="214" t="s">
        <v>14</v>
      </c>
      <c r="H67" s="291" t="n">
        <f aca="false">G18</f>
        <v>57885</v>
      </c>
      <c r="I67" s="215"/>
      <c r="J67" s="215"/>
      <c r="K67" s="216"/>
      <c r="L67" s="63"/>
      <c r="M67" s="214" t="s">
        <v>14</v>
      </c>
      <c r="N67" s="291" t="n">
        <f aca="false">G18</f>
        <v>57885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C70</f>
        <v>4051.95</v>
      </c>
      <c r="C70" s="215" t="n">
        <v>10000.0</v>
      </c>
      <c r="D70" s="291" t="n">
        <f aca="false">B70-A149</f>
        <v>4051.95</v>
      </c>
      <c r="E70" s="216" t="n">
        <f aca="false">D70/12</f>
        <v>337.6625</v>
      </c>
      <c r="F70" s="63"/>
      <c r="G70" s="285" t="s">
        <v>90</v>
      </c>
      <c r="H70" s="133" t="n">
        <f aca="false">H67*H69</f>
        <v>4051.95</v>
      </c>
      <c r="I70" s="215"/>
      <c r="J70" s="291" t="n">
        <f aca="false">H70-G151</f>
        <v>4051.95</v>
      </c>
      <c r="K70" s="216"/>
      <c r="L70" s="63"/>
      <c r="M70" s="285" t="s">
        <v>90</v>
      </c>
      <c r="N70" s="133" t="n">
        <f aca="false">N67*N69</f>
        <v>4051.95</v>
      </c>
      <c r="O70" s="215"/>
      <c r="P70" s="291" t="n">
        <f aca="false">N70-M151</f>
        <v>4051.95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578.85</v>
      </c>
      <c r="C73" s="215"/>
      <c r="D73" s="291"/>
      <c r="E73" s="216"/>
      <c r="F73" s="63"/>
      <c r="G73" s="285" t="s">
        <v>93</v>
      </c>
      <c r="H73" s="133" t="n">
        <f aca="false">H67*H72</f>
        <v>289.425</v>
      </c>
      <c r="I73" s="215"/>
      <c r="J73" s="291"/>
      <c r="K73" s="216"/>
      <c r="L73" s="63"/>
      <c r="M73" s="285" t="s">
        <v>93</v>
      </c>
      <c r="N73" s="133" t="n">
        <f aca="false">N67*N72</f>
        <v>289.425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5.0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165.0</v>
      </c>
      <c r="C80" s="215"/>
      <c r="D80" s="215"/>
      <c r="E80" s="430" t="n">
        <f aca="false">E79+D82</f>
        <v>703.333333333333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355.0</v>
      </c>
      <c r="C81" s="215"/>
      <c r="D81" s="215"/>
      <c r="E81" s="216" t="n">
        <f aca="false">E80/12</f>
        <v>58.6111111111111</v>
      </c>
      <c r="F81" s="63"/>
      <c r="G81" s="295" t="s">
        <v>281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((B80+B81)/12)*(H29-11)</f>
        <v>43.3333333333333</v>
      </c>
      <c r="C82" s="215"/>
      <c r="D82" s="291" t="n">
        <f aca="false">IF(A50="YES", 0, B82)</f>
        <v>43.3333333333333</v>
      </c>
      <c r="E82" s="216"/>
      <c r="F82" s="63"/>
      <c r="G82" s="285" t="s">
        <v>282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200.0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200.0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5421.95</v>
      </c>
      <c r="C87" s="215"/>
      <c r="D87" s="215"/>
      <c r="E87" s="216"/>
      <c r="F87" s="63"/>
      <c r="G87" s="303" t="s">
        <v>102</v>
      </c>
      <c r="H87" s="304" t="n">
        <f aca="false">SUM(J70:J86)</f>
        <v>7205.53333333333</v>
      </c>
      <c r="I87" s="215"/>
      <c r="J87" s="215"/>
      <c r="K87" s="216"/>
      <c r="L87" s="63"/>
      <c r="M87" s="303" t="s">
        <v>102</v>
      </c>
      <c r="N87" s="304" t="n">
        <f aca="false">SUM(P70:P86)</f>
        <v>7165.95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451.829166666667</v>
      </c>
      <c r="C88" s="215"/>
      <c r="D88" s="215"/>
      <c r="E88" s="216"/>
      <c r="F88" s="63"/>
      <c r="G88" s="214" t="s">
        <v>103</v>
      </c>
      <c r="H88" s="300" t="n">
        <f aca="false">H87/H29</f>
        <v>600.461111111111</v>
      </c>
      <c r="I88" s="215"/>
      <c r="J88" s="215"/>
      <c r="K88" s="216"/>
      <c r="L88" s="63"/>
      <c r="M88" s="214" t="s">
        <v>103</v>
      </c>
      <c r="N88" s="300" t="n">
        <f aca="false">N87/H29</f>
        <v>597.1625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11433.95</v>
      </c>
      <c r="C91" s="215"/>
      <c r="D91" s="215"/>
      <c r="E91" s="216"/>
      <c r="F91" s="63"/>
      <c r="G91" s="288" t="s">
        <v>114</v>
      </c>
      <c r="H91" s="131" t="n">
        <f aca="false">((H89*H29)+H87)*1.2</f>
        <v>15861.04</v>
      </c>
      <c r="I91" s="215"/>
      <c r="J91" s="215"/>
      <c r="K91" s="216"/>
      <c r="L91" s="63"/>
      <c r="M91" s="288" t="s">
        <v>114</v>
      </c>
      <c r="N91" s="131" t="n">
        <f aca="false">((N89*H29)+N87)</f>
        <v>13177.95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96.8587938684954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111.967809600645</v>
      </c>
      <c r="I92" s="215"/>
      <c r="J92" s="215"/>
      <c r="K92" s="216"/>
      <c r="L92" s="63"/>
      <c r="M92" s="214" t="s">
        <v>115</v>
      </c>
      <c r="N92" s="300" t="n">
        <f aca="false">(N91/(1-N76))*N76</f>
        <v>111.632492940702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11530.8087938685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17973.0078096006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15289.5824929407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6.336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960.900732822375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967.236732822375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264</v>
      </c>
      <c r="C105" s="312"/>
      <c r="D105" s="421" t="n">
        <v>6300.0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406</v>
      </c>
      <c r="B111" s="312" t="n">
        <v>20.0</v>
      </c>
      <c r="C111" s="312"/>
      <c r="D111" s="107" t="n">
        <v>440.0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399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960.900732822375</v>
      </c>
      <c r="B134" s="321" t="n">
        <f aca="false">IF(A111="YES", B95, 0)</f>
        <v>6.336</v>
      </c>
      <c r="C134" s="326"/>
      <c r="D134" s="321" t="n">
        <f aca="false">B97</f>
        <v>967.236732822375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960.900732822375</v>
      </c>
      <c r="C137" s="317"/>
      <c r="D137" s="38" t="n">
        <f aca="false">IF(A111="YES", B95*B63, 0)</f>
        <v>6.336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967.236732822375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0.35121</v>
      </c>
      <c r="H142" s="103" t="n">
        <f aca="false">IF(G111="YES", E15*0.000002, 0)</f>
        <v>0.11707</v>
      </c>
      <c r="I142" s="103"/>
      <c r="J142" s="103" t="n">
        <f aca="false">G142+H142</f>
        <v>0.46828</v>
      </c>
      <c r="K142" s="105"/>
      <c r="L142" s="63"/>
      <c r="M142" s="111" t="n">
        <f aca="false">E15*0.000006</f>
        <v>0.35121</v>
      </c>
      <c r="N142" s="103" t="n">
        <f aca="false">IF(M111="YES", E15*0.000002, 0)</f>
        <v>0.11707</v>
      </c>
      <c r="O142" s="103"/>
      <c r="P142" s="103" t="n">
        <f aca="false">M142+N142</f>
        <v>0.46828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960.900732822375</v>
      </c>
      <c r="B143" s="38" t="n">
        <f aca="false">IF(A111="YES", B95, 0)</f>
        <v>6.336</v>
      </c>
      <c r="C143" s="317"/>
      <c r="D143" s="38" t="n">
        <f aca="false">B97</f>
        <v>967.236732822375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241.1875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241.1875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41.6772</v>
      </c>
      <c r="B146" s="343" t="n">
        <f aca="false">G18*0.000002 *1.2*100</f>
        <v>13.8924</v>
      </c>
      <c r="C146" s="317"/>
      <c r="D146" s="343" t="n">
        <f aca="false">A146+B146</f>
        <v>55.5696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1.2672</v>
      </c>
      <c r="H148" s="103" t="n">
        <f aca="false">G108-100</f>
        <v>139.988</v>
      </c>
      <c r="I148" s="103"/>
      <c r="J148" s="103" t="n">
        <f aca="false">(H145+J145+G148+H148)-H151</f>
        <v>1462.4427</v>
      </c>
      <c r="K148" s="105"/>
      <c r="L148" s="63"/>
      <c r="M148" s="111" t="n">
        <f aca="false">IF(M111="YES", ((A41*N111)*0.1)*(M133), 0)</f>
        <v>1.2672</v>
      </c>
      <c r="N148" s="103" t="n">
        <f aca="false">M108-100</f>
        <v>99.99</v>
      </c>
      <c r="O148" s="103"/>
      <c r="P148" s="103" t="n">
        <f aca="false">(N145+P145+M148+N148)-N151</f>
        <v>1422.4447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578.85</v>
      </c>
      <c r="B154" s="38" t="n">
        <f aca="false">B108</f>
        <v>400</v>
      </c>
      <c r="C154" s="38"/>
      <c r="D154" s="38" t="n">
        <f aca="false">IF(A111="YES", (A41/100*B111)*B131, 0)*0.1</f>
        <v>1.2672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1080.1072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967.236732822375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960.900732822375</v>
      </c>
      <c r="B177" s="355" t="n">
        <f aca="false">IF(A111="YES", B95, 0)</f>
        <v>6.336</v>
      </c>
      <c r="C177" s="358"/>
      <c r="D177" s="355" t="n">
        <f aca="false">B91</f>
        <v>11433.95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960.900732822375</v>
      </c>
      <c r="C180" s="353"/>
      <c r="D180" s="103" t="n">
        <f aca="false">IF(A111="YES", B95*B63, 0)</f>
        <v>6.336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967.236732822375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960.900732822375</v>
      </c>
      <c r="B186" s="103" t="n">
        <f aca="false">IF(A111="YES", B95, 0)</f>
        <v>6.336</v>
      </c>
      <c r="C186" s="353"/>
      <c r="D186" s="103" t="n">
        <f aca="false">B97</f>
        <v>967.236732822375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G18*0.000002 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578.85</v>
      </c>
      <c r="B197" s="103" t="n">
        <f aca="false">B108</f>
        <v>400</v>
      </c>
      <c r="C197" s="103"/>
      <c r="D197" s="103" t="n">
        <f aca="false">IF(A111="YES", (A41/100*B111)*B131, 0)*0.1</f>
        <v>1.2672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1080.1072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4051.95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578.85</v>
      </c>
      <c r="C211" s="320" t="s">
        <v>217</v>
      </c>
      <c r="D211" s="370" t="n">
        <f aca="false">B225+E221+B221+B223</f>
        <v>352.662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3825.762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4051.95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578.85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3825.762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12.672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96.8587938684954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355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9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</v>
      </c>
      <c r="C4" s="500" t="n">
        <v>0</v>
      </c>
      <c r="D4" s="50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650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58535</v>
      </c>
      <c r="F15" s="63"/>
      <c r="G15" s="274" t="n">
        <f aca="false">E15</f>
        <v>58535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58535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45295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60</v>
      </c>
      <c r="E32" s="226"/>
      <c r="F32" s="63"/>
      <c r="G32" s="227" t="s">
        <v>244</v>
      </c>
      <c r="H32" s="225" t="str">
        <f aca="false">A41</f>
        <v>60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560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385</v>
      </c>
      <c r="B41" s="241" t="n">
        <f aca="false">IF(B38="YES", D38+A41, D38)</f>
        <v>560</v>
      </c>
      <c r="C41" s="241"/>
      <c r="D41" s="104" t="s">
        <v>336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338</v>
      </c>
      <c r="C44" s="104"/>
      <c r="D44" s="104" t="s">
        <v>386</v>
      </c>
      <c r="E44" s="104"/>
      <c r="F44" s="63"/>
      <c r="G44" s="63" t="s">
        <v>258</v>
      </c>
      <c r="H44" s="238" t="str">
        <f aca="false">H32</f>
        <v>60</v>
      </c>
      <c r="I44" s="394" t="n">
        <f aca="false">((A41*(B35-1))+D32)/B35</f>
        <v>60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561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561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340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57885</v>
      </c>
      <c r="C67" s="215"/>
      <c r="D67" s="215"/>
      <c r="E67" s="216"/>
      <c r="F67" s="63"/>
      <c r="G67" s="214" t="s">
        <v>14</v>
      </c>
      <c r="H67" s="291" t="n">
        <f aca="false">G18</f>
        <v>57885</v>
      </c>
      <c r="I67" s="215"/>
      <c r="J67" s="215"/>
      <c r="K67" s="216"/>
      <c r="L67" s="63"/>
      <c r="M67" s="214" t="s">
        <v>14</v>
      </c>
      <c r="N67" s="291" t="n">
        <f aca="false">G18</f>
        <v>57885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4051.95</v>
      </c>
      <c r="C70" s="215" t="n">
        <v>10000</v>
      </c>
      <c r="D70" s="291" t="n">
        <f aca="false">B70-A149</f>
        <v>4051.95</v>
      </c>
      <c r="E70" s="216" t="n">
        <f aca="false">D70/12</f>
        <v>337.6625</v>
      </c>
      <c r="F70" s="63"/>
      <c r="G70" s="285" t="s">
        <v>90</v>
      </c>
      <c r="H70" s="133" t="n">
        <f aca="false">H67*H69</f>
        <v>4051.95</v>
      </c>
      <c r="I70" s="215"/>
      <c r="J70" s="291" t="n">
        <f aca="false">H70-G151</f>
        <v>4051.95</v>
      </c>
      <c r="K70" s="216"/>
      <c r="L70" s="63"/>
      <c r="M70" s="285" t="s">
        <v>90</v>
      </c>
      <c r="N70" s="133" t="n">
        <f aca="false">N67*N69</f>
        <v>4051.95</v>
      </c>
      <c r="O70" s="215"/>
      <c r="P70" s="291" t="n">
        <f aca="false">N70-M151</f>
        <v>4051.95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578.85</v>
      </c>
      <c r="C73" s="215"/>
      <c r="D73" s="291"/>
      <c r="E73" s="216"/>
      <c r="F73" s="63"/>
      <c r="G73" s="285" t="s">
        <v>93</v>
      </c>
      <c r="H73" s="133" t="n">
        <f aca="false">H67*H72</f>
        <v>289.425</v>
      </c>
      <c r="I73" s="215"/>
      <c r="J73" s="291"/>
      <c r="K73" s="216"/>
      <c r="L73" s="63"/>
      <c r="M73" s="285" t="s">
        <v>93</v>
      </c>
      <c r="N73" s="133" t="n">
        <f aca="false">N67*N72</f>
        <v>289.425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280</v>
      </c>
      <c r="B80" s="432" t="n">
        <v>0</v>
      </c>
      <c r="C80" s="215"/>
      <c r="D80" s="215"/>
      <c r="E80" s="430" t="n">
        <f aca="false">E79+D82</f>
        <v>660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281</v>
      </c>
      <c r="B81" s="434" t="n">
        <v>0</v>
      </c>
      <c r="C81" s="215"/>
      <c r="D81" s="215"/>
      <c r="E81" s="216" t="n">
        <f aca="false">E80/12</f>
        <v>55</v>
      </c>
      <c r="F81" s="63"/>
      <c r="G81" s="295" t="s">
        <v>281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282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5378.61666666667</v>
      </c>
      <c r="C87" s="215"/>
      <c r="D87" s="215"/>
      <c r="E87" s="216"/>
      <c r="F87" s="63"/>
      <c r="G87" s="303" t="s">
        <v>102</v>
      </c>
      <c r="H87" s="304" t="n">
        <f aca="false">SUM(J70:J86)</f>
        <v>7205.53333333333</v>
      </c>
      <c r="I87" s="215"/>
      <c r="J87" s="215"/>
      <c r="K87" s="216"/>
      <c r="L87" s="63"/>
      <c r="M87" s="303" t="s">
        <v>102</v>
      </c>
      <c r="N87" s="304" t="n">
        <f aca="false">SUM(P70:P86)</f>
        <v>7165.95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448.218055555556</v>
      </c>
      <c r="C88" s="215"/>
      <c r="D88" s="215"/>
      <c r="E88" s="216"/>
      <c r="F88" s="63"/>
      <c r="G88" s="214" t="s">
        <v>103</v>
      </c>
      <c r="H88" s="300" t="n">
        <f aca="false">H87/H29</f>
        <v>600.461111111111</v>
      </c>
      <c r="I88" s="215"/>
      <c r="J88" s="215"/>
      <c r="K88" s="216"/>
      <c r="L88" s="63"/>
      <c r="M88" s="214" t="s">
        <v>103</v>
      </c>
      <c r="N88" s="300" t="n">
        <f aca="false">N87/H29</f>
        <v>597.1625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11390.6166666667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15861.04</v>
      </c>
      <c r="I91" s="215"/>
      <c r="J91" s="215"/>
      <c r="K91" s="216"/>
      <c r="L91" s="63"/>
      <c r="M91" s="288" t="s">
        <v>114</v>
      </c>
      <c r="N91" s="131" t="n">
        <f aca="false">((N89*H29)+N87)</f>
        <v>13177.95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96.4917103670835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111.967809600645</v>
      </c>
      <c r="I92" s="215"/>
      <c r="J92" s="215"/>
      <c r="K92" s="216"/>
      <c r="L92" s="63"/>
      <c r="M92" s="214" t="s">
        <v>115</v>
      </c>
      <c r="N92" s="300" t="n">
        <f aca="false">(N91/(1-N76))*N76</f>
        <v>111.632492940702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11487.1083770338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17973.0078096006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15289.5824929407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78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957.259031419479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1035.25903141948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351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18</v>
      </c>
      <c r="B111" s="314" t="n">
        <v>30</v>
      </c>
      <c r="C111" s="314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957.259031419479</v>
      </c>
      <c r="B134" s="321" t="n">
        <f aca="false">IF(A111="YES", B95, 0)</f>
        <v>78</v>
      </c>
      <c r="C134" s="326"/>
      <c r="D134" s="321" t="n">
        <f aca="false">B97</f>
        <v>1035.25903141948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957.259031419479</v>
      </c>
      <c r="C137" s="317"/>
      <c r="D137" s="38" t="n">
        <f aca="false">IF(A111="YES", B95*B63, 0)</f>
        <v>78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1035.25903141948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0.35121</v>
      </c>
      <c r="H142" s="103" t="n">
        <f aca="false">IF(G111="YES", E15*0.000002, 0)</f>
        <v>0.11707</v>
      </c>
      <c r="I142" s="103"/>
      <c r="J142" s="103" t="n">
        <f aca="false">G142+H142</f>
        <v>0.46828</v>
      </c>
      <c r="K142" s="105"/>
      <c r="L142" s="63"/>
      <c r="M142" s="111" t="n">
        <f aca="false">E15*0.000006</f>
        <v>0.35121</v>
      </c>
      <c r="N142" s="103" t="n">
        <f aca="false">IF(M111="YES", E15*0.000002, 0)</f>
        <v>0.11707</v>
      </c>
      <c r="O142" s="103"/>
      <c r="P142" s="103" t="n">
        <f aca="false">M142+N142</f>
        <v>0.46828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957.259031419479</v>
      </c>
      <c r="B143" s="38" t="n">
        <f aca="false">IF(A111="YES", B95, 0)</f>
        <v>78</v>
      </c>
      <c r="C143" s="317"/>
      <c r="D143" s="38" t="n">
        <f aca="false">B97</f>
        <v>1035.25903141948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241.1875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241.1875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41.6772</v>
      </c>
      <c r="B146" s="343" t="n">
        <f aca="false">G18*0.000002 *1.2*100</f>
        <v>13.8924</v>
      </c>
      <c r="C146" s="317"/>
      <c r="D146" s="343" t="n">
        <f aca="false">A146+B146</f>
        <v>55.5696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14.4</v>
      </c>
      <c r="H148" s="103" t="n">
        <f aca="false">G108-100</f>
        <v>139.988</v>
      </c>
      <c r="I148" s="103"/>
      <c r="J148" s="103" t="n">
        <f aca="false">(H145+J145+G148+H148)-H151</f>
        <v>1475.5755</v>
      </c>
      <c r="K148" s="105"/>
      <c r="L148" s="63"/>
      <c r="M148" s="111" t="n">
        <f aca="false">IF(M111="YES", ((A41*N111)*0.1)*(M133), 0)</f>
        <v>14.4</v>
      </c>
      <c r="N148" s="103" t="n">
        <f aca="false">M108-100</f>
        <v>99.99</v>
      </c>
      <c r="O148" s="103"/>
      <c r="P148" s="103" t="n">
        <f aca="false">(N145+P145+M148+N148)-N151</f>
        <v>1435.5775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578.85</v>
      </c>
      <c r="B154" s="103" t="n">
        <f aca="false">B108</f>
        <v>400</v>
      </c>
      <c r="C154" s="38"/>
      <c r="D154" s="38" t="n">
        <f aca="false">IF(A111="YES", (A41/100*B111)*B131, 0)*0.1</f>
        <v>21.6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1100.44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1035.25903141948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957.259031419479</v>
      </c>
      <c r="B177" s="355" t="n">
        <f aca="false">IF(A111="YES", B95, 0)</f>
        <v>78</v>
      </c>
      <c r="C177" s="358"/>
      <c r="D177" s="355" t="n">
        <f aca="false">B91</f>
        <v>11390.6166666667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957.259031419479</v>
      </c>
      <c r="C180" s="353"/>
      <c r="D180" s="103" t="n">
        <f aca="false">IF(A111="YES", B95*B63, 0)</f>
        <v>78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1035.25903141948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957.259031419479</v>
      </c>
      <c r="B186" s="103" t="n">
        <f aca="false">IF(A111="YES", B95, 0)</f>
        <v>78</v>
      </c>
      <c r="C186" s="353"/>
      <c r="D186" s="103" t="n">
        <f aca="false">B97</f>
        <v>1035.25903141948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G18*0.000002 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578.85</v>
      </c>
      <c r="B197" s="103" t="n">
        <f aca="false">B108</f>
        <v>400</v>
      </c>
      <c r="C197" s="103"/>
      <c r="D197" s="103" t="n">
        <f aca="false">IF(A111="YES", (A41/100*B111)*B131, 0)*0.1</f>
        <v>21.6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1100.44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4051.95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578.85</v>
      </c>
      <c r="C211" s="320" t="s">
        <v>217</v>
      </c>
      <c r="D211" s="370" t="n">
        <f aca="false">B225+E221+B221+B223</f>
        <v>555.99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4029.09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4051.95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578.85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4029.09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216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96.4917103670835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12" colorId="64" zoomScale="85" zoomScaleNormal="85" zoomScalePageLayoutView="100" workbookViewId="0">
      <selection pane="topLeft" activeCell="B221" activeCellId="0" sqref="B221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0.0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0.0</v>
      </c>
      <c r="C4" s="500" t="n">
        <v>0.0</v>
      </c>
      <c r="D4" s="50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650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58535</v>
      </c>
      <c r="F15" s="63"/>
      <c r="G15" s="274" t="n">
        <f aca="false">E15</f>
        <v>58535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58535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45295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60</v>
      </c>
      <c r="E32" s="226"/>
      <c r="F32" s="63"/>
      <c r="G32" s="227" t="s">
        <v>244</v>
      </c>
      <c r="H32" s="225" t="str">
        <f aca="false">A41</f>
        <v>60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560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398</v>
      </c>
      <c r="C38" s="223"/>
      <c r="D38" s="104" t="s">
        <v>393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402</v>
      </c>
      <c r="B41" s="241" t="n">
        <f aca="false">IF(B38="YES", D38+A41, D38)</f>
        <v>560</v>
      </c>
      <c r="C41" s="241"/>
      <c r="D41" s="104" t="s">
        <v>394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392</v>
      </c>
      <c r="B44" s="104" t="s">
        <v>397</v>
      </c>
      <c r="C44" s="104"/>
      <c r="D44" s="104" t="s">
        <v>397</v>
      </c>
      <c r="E44" s="104"/>
      <c r="F44" s="63"/>
      <c r="G44" s="63" t="s">
        <v>258</v>
      </c>
      <c r="H44" s="238" t="str">
        <f aca="false">H32</f>
        <v>60</v>
      </c>
      <c r="I44" s="394" t="n">
        <f aca="false">((A41*(B35-1))+D32)/B35</f>
        <v>60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561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400</v>
      </c>
      <c r="C47" s="429"/>
      <c r="D47" s="104" t="s">
        <v>400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561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4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57885</v>
      </c>
      <c r="C67" s="215"/>
      <c r="D67" s="215"/>
      <c r="E67" s="216"/>
      <c r="F67" s="63"/>
      <c r="G67" s="214" t="s">
        <v>14</v>
      </c>
      <c r="H67" s="291" t="n">
        <f aca="false">G18</f>
        <v>57885</v>
      </c>
      <c r="I67" s="215"/>
      <c r="J67" s="215"/>
      <c r="K67" s="216"/>
      <c r="L67" s="63"/>
      <c r="M67" s="214" t="s">
        <v>14</v>
      </c>
      <c r="N67" s="291" t="n">
        <f aca="false">G18</f>
        <v>57885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4051.95</v>
      </c>
      <c r="C70" s="215" t="n">
        <v>10000</v>
      </c>
      <c r="D70" s="291" t="n">
        <f aca="false">B70-A149</f>
        <v>4051.95</v>
      </c>
      <c r="E70" s="216" t="n">
        <f aca="false">D70/12</f>
        <v>337.6625</v>
      </c>
      <c r="F70" s="63"/>
      <c r="G70" s="285" t="s">
        <v>90</v>
      </c>
      <c r="H70" s="133" t="n">
        <f aca="false">H67*H69</f>
        <v>4051.95</v>
      </c>
      <c r="I70" s="215"/>
      <c r="J70" s="291" t="n">
        <f aca="false">H70-G151</f>
        <v>4051.95</v>
      </c>
      <c r="K70" s="216"/>
      <c r="L70" s="63"/>
      <c r="M70" s="285" t="s">
        <v>90</v>
      </c>
      <c r="N70" s="133" t="n">
        <f aca="false">N67*N69</f>
        <v>4051.95</v>
      </c>
      <c r="O70" s="215"/>
      <c r="P70" s="291" t="n">
        <f aca="false">N70-M151</f>
        <v>4051.95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578.85</v>
      </c>
      <c r="C73" s="215"/>
      <c r="D73" s="291"/>
      <c r="E73" s="216"/>
      <c r="F73" s="63"/>
      <c r="G73" s="285" t="s">
        <v>93</v>
      </c>
      <c r="H73" s="133" t="n">
        <f aca="false">H67*H72</f>
        <v>289.425</v>
      </c>
      <c r="I73" s="215"/>
      <c r="J73" s="291"/>
      <c r="K73" s="216"/>
      <c r="L73" s="63"/>
      <c r="M73" s="285" t="s">
        <v>93</v>
      </c>
      <c r="N73" s="133" t="n">
        <f aca="false">N67*N72</f>
        <v>289.425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5.0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165.0</v>
      </c>
      <c r="C80" s="215"/>
      <c r="D80" s="215"/>
      <c r="E80" s="430" t="n">
        <f aca="false">E79+D82</f>
        <v>703.333333333333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355.0</v>
      </c>
      <c r="C81" s="215"/>
      <c r="D81" s="215"/>
      <c r="E81" s="216" t="n">
        <f aca="false">E80/12</f>
        <v>58.6111111111111</v>
      </c>
      <c r="F81" s="63"/>
      <c r="G81" s="295" t="s">
        <v>281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((B80+B81)/12)*(H29-11)</f>
        <v>43.3333333333333</v>
      </c>
      <c r="C82" s="215"/>
      <c r="D82" s="291" t="n">
        <f aca="false">IF(A50="YES", 0, B82)</f>
        <v>43.3333333333333</v>
      </c>
      <c r="E82" s="216"/>
      <c r="F82" s="63"/>
      <c r="G82" s="285" t="s">
        <v>282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200.0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200.0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5421.95</v>
      </c>
      <c r="C87" s="215"/>
      <c r="D87" s="215"/>
      <c r="E87" s="216"/>
      <c r="F87" s="63"/>
      <c r="G87" s="303" t="s">
        <v>102</v>
      </c>
      <c r="H87" s="304" t="n">
        <f aca="false">SUM(J70:J86)</f>
        <v>7205.53333333333</v>
      </c>
      <c r="I87" s="215"/>
      <c r="J87" s="215"/>
      <c r="K87" s="216"/>
      <c r="L87" s="63"/>
      <c r="M87" s="303" t="s">
        <v>102</v>
      </c>
      <c r="N87" s="304" t="n">
        <f aca="false">SUM(P70:P86)</f>
        <v>7165.95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451.829166666667</v>
      </c>
      <c r="C88" s="215"/>
      <c r="D88" s="215"/>
      <c r="E88" s="216"/>
      <c r="F88" s="63"/>
      <c r="G88" s="214" t="s">
        <v>103</v>
      </c>
      <c r="H88" s="300" t="n">
        <f aca="false">H87/H29</f>
        <v>600.461111111111</v>
      </c>
      <c r="I88" s="215"/>
      <c r="J88" s="215"/>
      <c r="K88" s="216"/>
      <c r="L88" s="63"/>
      <c r="M88" s="214" t="s">
        <v>103</v>
      </c>
      <c r="N88" s="300" t="n">
        <f aca="false">N87/H29</f>
        <v>597.1625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13720.74</v>
      </c>
      <c r="C91" s="215"/>
      <c r="D91" s="215"/>
      <c r="E91" s="216"/>
      <c r="F91" s="63"/>
      <c r="G91" s="288" t="s">
        <v>114</v>
      </c>
      <c r="H91" s="131" t="n">
        <f aca="false">((H89*H29)+H87)*1.2</f>
        <v>15861.04</v>
      </c>
      <c r="I91" s="215"/>
      <c r="J91" s="215"/>
      <c r="K91" s="216"/>
      <c r="L91" s="63"/>
      <c r="M91" s="288" t="s">
        <v>114</v>
      </c>
      <c r="N91" s="131" t="n">
        <f aca="false">((N89*H29)+N87)</f>
        <v>13177.95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96.8587938684954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111.967809600645</v>
      </c>
      <c r="I92" s="215"/>
      <c r="J92" s="215"/>
      <c r="K92" s="216"/>
      <c r="L92" s="63"/>
      <c r="M92" s="214" t="s">
        <v>115</v>
      </c>
      <c r="N92" s="300" t="n">
        <f aca="false">(N91/(1-N76))*N76</f>
        <v>111.632492940702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13817.5987938685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17973.0078096006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15289.5824929407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72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1151.46656615571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1151.46656615571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1000.0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239.99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399</v>
      </c>
      <c r="B111" s="312" t="n">
        <v>0.0</v>
      </c>
      <c r="C111" s="312"/>
      <c r="D111" s="107" t="n">
        <v>200.0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399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1151.46656615571</v>
      </c>
      <c r="B134" s="321" t="n">
        <f aca="false">IF(A111="YES", B95, 0)</f>
        <v>0</v>
      </c>
      <c r="C134" s="326"/>
      <c r="D134" s="321" t="n">
        <f aca="false">B97</f>
        <v>1151.46656615571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1151.46656615571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1151.46656615571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0.35121</v>
      </c>
      <c r="H142" s="103" t="n">
        <f aca="false">IF(G111="YES", E15*0.000002, 0)</f>
        <v>0.11707</v>
      </c>
      <c r="I142" s="103"/>
      <c r="J142" s="103" t="n">
        <f aca="false">G142+H142</f>
        <v>0.46828</v>
      </c>
      <c r="K142" s="105"/>
      <c r="L142" s="63"/>
      <c r="M142" s="111" t="n">
        <f aca="false">E15*0.000006</f>
        <v>0.35121</v>
      </c>
      <c r="N142" s="103" t="n">
        <f aca="false">IF(M111="YES", E15*0.000002, 0)</f>
        <v>0.11707</v>
      </c>
      <c r="O142" s="103"/>
      <c r="P142" s="103" t="n">
        <f aca="false">M142+N142</f>
        <v>0.46828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1151.46656615571</v>
      </c>
      <c r="B143" s="38" t="n">
        <f aca="false">IF(A111="YES", B95, 0)</f>
        <v>0</v>
      </c>
      <c r="C143" s="317"/>
      <c r="D143" s="38" t="n">
        <f aca="false">B97</f>
        <v>1151.46656615571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241.1875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241.1875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41.6772</v>
      </c>
      <c r="B146" s="343" t="n">
        <f aca="false">G18*0.000002 *1.2*100</f>
        <v>13.8924</v>
      </c>
      <c r="C146" s="317"/>
      <c r="D146" s="343" t="n">
        <f aca="false">A146+B146</f>
        <v>55.5696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14.4</v>
      </c>
      <c r="H148" s="103" t="n">
        <f aca="false">G108-100</f>
        <v>139.988</v>
      </c>
      <c r="I148" s="103"/>
      <c r="J148" s="103" t="n">
        <f aca="false">(H145+J145+G148+H148)-H151</f>
        <v>1475.5755</v>
      </c>
      <c r="K148" s="105"/>
      <c r="L148" s="63"/>
      <c r="M148" s="111" t="n">
        <f aca="false">IF(M111="YES", ((A41*N111)*0.1)*(M133), 0)</f>
        <v>14.4</v>
      </c>
      <c r="N148" s="103" t="n">
        <f aca="false">M108-100</f>
        <v>99.99</v>
      </c>
      <c r="O148" s="103"/>
      <c r="P148" s="103" t="n">
        <f aca="false">(N145+P145+M148+N148)-N151</f>
        <v>1435.5775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578.85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1078.84166666667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1151.46656615571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1151.46656615571</v>
      </c>
      <c r="B177" s="355" t="n">
        <f aca="false">IF(A111="YES", B95, 0)</f>
        <v>0</v>
      </c>
      <c r="C177" s="358"/>
      <c r="D177" s="355" t="n">
        <f aca="false">B97</f>
        <v>1151.46656615571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1151.46656615571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1151.46656615571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1151.46656615571</v>
      </c>
      <c r="B186" s="103" t="n">
        <f aca="false">IF(A111="YES", B95, 0)</f>
        <v>0</v>
      </c>
      <c r="C186" s="353"/>
      <c r="D186" s="103" t="n">
        <f aca="false">B97</f>
        <v>1151.46656615571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G18*0.000002 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578.85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1078.84166666667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4051.95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578.85</v>
      </c>
      <c r="C211" s="320" t="s">
        <v>217</v>
      </c>
      <c r="D211" s="370" t="n">
        <f aca="false">B225+E221+B221+B223</f>
        <v>339.991666666667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3813.09166666667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4051.95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578.85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3813.09166666667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96.8587938684954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355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0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0.0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0.0</v>
      </c>
      <c r="C4" s="500" t="n">
        <v>0.0</v>
      </c>
      <c r="D4" s="50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650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58535</v>
      </c>
      <c r="F15" s="63"/>
      <c r="G15" s="274" t="n">
        <f aca="false">E15</f>
        <v>58535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58535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45295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50</v>
      </c>
      <c r="E32" s="226"/>
      <c r="F32" s="63"/>
      <c r="G32" s="227" t="s">
        <v>244</v>
      </c>
      <c r="H32" s="225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398</v>
      </c>
      <c r="C38" s="223"/>
      <c r="D38" s="104" t="s">
        <v>393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396</v>
      </c>
      <c r="B41" s="241" t="n">
        <f aca="false">IF(B38="YES", D38+A41, D38)</f>
        <v>550</v>
      </c>
      <c r="C41" s="241"/>
      <c r="D41" s="104" t="s">
        <v>394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392</v>
      </c>
      <c r="B44" s="104" t="s">
        <v>397</v>
      </c>
      <c r="C44" s="104"/>
      <c r="D44" s="104" t="s">
        <v>400</v>
      </c>
      <c r="E44" s="104"/>
      <c r="F44" s="63"/>
      <c r="G44" s="63" t="s">
        <v>258</v>
      </c>
      <c r="H44" s="238" t="str">
        <f aca="false">H32</f>
        <v>50</v>
      </c>
      <c r="I44" s="394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400</v>
      </c>
      <c r="C47" s="429"/>
      <c r="D47" s="104" t="s">
        <v>400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551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57885</v>
      </c>
      <c r="C67" s="215"/>
      <c r="D67" s="215"/>
      <c r="E67" s="216"/>
      <c r="F67" s="63"/>
      <c r="G67" s="214" t="s">
        <v>14</v>
      </c>
      <c r="H67" s="291" t="n">
        <f aca="false">G18</f>
        <v>57885</v>
      </c>
      <c r="I67" s="215"/>
      <c r="J67" s="215"/>
      <c r="K67" s="216"/>
      <c r="L67" s="63"/>
      <c r="M67" s="214" t="s">
        <v>14</v>
      </c>
      <c r="N67" s="291" t="n">
        <f aca="false">G18</f>
        <v>57885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4051.95</v>
      </c>
      <c r="C70" s="215" t="n">
        <v>10000</v>
      </c>
      <c r="D70" s="291" t="n">
        <f aca="false">B70-A149</f>
        <v>4051.95</v>
      </c>
      <c r="E70" s="216" t="n">
        <f aca="false">D70/12</f>
        <v>337.6625</v>
      </c>
      <c r="F70" s="63"/>
      <c r="G70" s="285" t="s">
        <v>90</v>
      </c>
      <c r="H70" s="133" t="n">
        <f aca="false">H67*H69</f>
        <v>4051.95</v>
      </c>
      <c r="I70" s="215"/>
      <c r="J70" s="291" t="n">
        <f aca="false">H70-G151</f>
        <v>4051.95</v>
      </c>
      <c r="K70" s="216"/>
      <c r="L70" s="63"/>
      <c r="M70" s="285" t="s">
        <v>90</v>
      </c>
      <c r="N70" s="133" t="n">
        <f aca="false">N67*N69</f>
        <v>4051.95</v>
      </c>
      <c r="O70" s="215"/>
      <c r="P70" s="291" t="n">
        <f aca="false">N70-M151</f>
        <v>4051.95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578.85</v>
      </c>
      <c r="C73" s="215"/>
      <c r="D73" s="291"/>
      <c r="E73" s="216"/>
      <c r="F73" s="63"/>
      <c r="G73" s="285" t="s">
        <v>93</v>
      </c>
      <c r="H73" s="133" t="n">
        <f aca="false">H67*H72</f>
        <v>289.425</v>
      </c>
      <c r="I73" s="215"/>
      <c r="J73" s="291"/>
      <c r="K73" s="216"/>
      <c r="L73" s="63"/>
      <c r="M73" s="285" t="s">
        <v>93</v>
      </c>
      <c r="N73" s="133" t="n">
        <f aca="false">N67*N72</f>
        <v>289.425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5.0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165.0</v>
      </c>
      <c r="C80" s="215"/>
      <c r="D80" s="215"/>
      <c r="E80" s="430" t="n">
        <f aca="false">E79+D82</f>
        <v>660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355.0</v>
      </c>
      <c r="C81" s="215"/>
      <c r="D81" s="215"/>
      <c r="E81" s="216" t="n">
        <f aca="false">E80/12</f>
        <v>55</v>
      </c>
      <c r="F81" s="63"/>
      <c r="G81" s="295" t="s">
        <v>281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282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0</v>
      </c>
      <c r="C83" s="215"/>
      <c r="D83" s="291" t="n">
        <f aca="false">B83</f>
        <v>0</v>
      </c>
      <c r="E83" s="216" t="n">
        <f aca="false">D83/12</f>
        <v>0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0</v>
      </c>
      <c r="C84" s="215"/>
      <c r="D84" s="291" t="n">
        <f aca="false">B84</f>
        <v>0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200.0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200.0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4711.95</v>
      </c>
      <c r="C87" s="215"/>
      <c r="D87" s="215"/>
      <c r="E87" s="216"/>
      <c r="F87" s="63"/>
      <c r="G87" s="303" t="s">
        <v>102</v>
      </c>
      <c r="H87" s="304" t="n">
        <f aca="false">SUM(J70:J86)</f>
        <v>7205.53333333333</v>
      </c>
      <c r="I87" s="215"/>
      <c r="J87" s="215"/>
      <c r="K87" s="216"/>
      <c r="L87" s="63"/>
      <c r="M87" s="303" t="s">
        <v>102</v>
      </c>
      <c r="N87" s="304" t="n">
        <f aca="false">SUM(P70:P86)</f>
        <v>7165.95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392.6625</v>
      </c>
      <c r="C88" s="215"/>
      <c r="D88" s="215"/>
      <c r="E88" s="216"/>
      <c r="F88" s="63"/>
      <c r="G88" s="214" t="s">
        <v>103</v>
      </c>
      <c r="H88" s="300" t="n">
        <f aca="false">H87/H29</f>
        <v>600.461111111111</v>
      </c>
      <c r="I88" s="215"/>
      <c r="J88" s="215"/>
      <c r="K88" s="216"/>
      <c r="L88" s="63"/>
      <c r="M88" s="214" t="s">
        <v>103</v>
      </c>
      <c r="N88" s="300" t="n">
        <f aca="false">N87/H29</f>
        <v>597.1625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10723.95</v>
      </c>
      <c r="C91" s="215"/>
      <c r="D91" s="215"/>
      <c r="E91" s="216"/>
      <c r="F91" s="63"/>
      <c r="G91" s="288" t="s">
        <v>114</v>
      </c>
      <c r="H91" s="131" t="n">
        <f aca="false">((H89*H29)+H87)*1.2</f>
        <v>15861.04</v>
      </c>
      <c r="I91" s="215"/>
      <c r="J91" s="215"/>
      <c r="K91" s="216"/>
      <c r="L91" s="63"/>
      <c r="M91" s="288" t="s">
        <v>114</v>
      </c>
      <c r="N91" s="131" t="n">
        <f aca="false">((N89*H29)+N87)</f>
        <v>13177.95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90.8442718838241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111.967809600645</v>
      </c>
      <c r="I92" s="215"/>
      <c r="J92" s="215"/>
      <c r="K92" s="216"/>
      <c r="L92" s="63"/>
      <c r="M92" s="214" t="s">
        <v>115</v>
      </c>
      <c r="N92" s="300" t="n">
        <f aca="false">(N91/(1-N76))*N76</f>
        <v>111.632492940702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10814.7942718838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17973.0078096006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15289.5824929407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60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901.232855990319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901.232855990319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1000.0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398</v>
      </c>
      <c r="B111" s="312" t="n">
        <v>20.0</v>
      </c>
      <c r="C111" s="312"/>
      <c r="D111" s="107" t="n">
        <v>200.0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399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901.232855990319</v>
      </c>
      <c r="B134" s="321" t="n">
        <f aca="false">IF(A111="YES", B95, 0)</f>
        <v>0</v>
      </c>
      <c r="C134" s="326"/>
      <c r="D134" s="321" t="n">
        <f aca="false">B97</f>
        <v>901.232855990319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901.232855990319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901.232855990319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0.35121</v>
      </c>
      <c r="H142" s="103" t="n">
        <f aca="false">IF(G111="YES", E15*0.000002, 0)</f>
        <v>0.11707</v>
      </c>
      <c r="I142" s="103"/>
      <c r="J142" s="103" t="n">
        <f aca="false">G142+H142</f>
        <v>0.46828</v>
      </c>
      <c r="K142" s="105"/>
      <c r="L142" s="63"/>
      <c r="M142" s="111" t="n">
        <f aca="false">E15*0.000006</f>
        <v>0.35121</v>
      </c>
      <c r="N142" s="103" t="n">
        <f aca="false">IF(M111="YES", E15*0.000002, 0)</f>
        <v>0.11707</v>
      </c>
      <c r="O142" s="103"/>
      <c r="P142" s="103" t="n">
        <f aca="false">M142+N142</f>
        <v>0.46828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901.232855990319</v>
      </c>
      <c r="B143" s="38" t="n">
        <f aca="false">IF(A111="YES", B95, 0)</f>
        <v>0</v>
      </c>
      <c r="C143" s="317"/>
      <c r="D143" s="38" t="n">
        <f aca="false">B97</f>
        <v>901.232855990319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241.1875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241.1875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41.6772</v>
      </c>
      <c r="B146" s="343" t="n">
        <f aca="false">G18*0.000002 *1.2*100</f>
        <v>13.8924</v>
      </c>
      <c r="C146" s="317"/>
      <c r="D146" s="343" t="n">
        <f aca="false">A146+B146</f>
        <v>55.5696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12</v>
      </c>
      <c r="H148" s="103" t="n">
        <f aca="false">G108-100</f>
        <v>139.988</v>
      </c>
      <c r="I148" s="103"/>
      <c r="J148" s="103" t="n">
        <f aca="false">(H145+J145+G148+H148)-H151</f>
        <v>1473.1755</v>
      </c>
      <c r="K148" s="105"/>
      <c r="L148" s="63"/>
      <c r="M148" s="111" t="n">
        <f aca="false">IF(M111="YES", ((A41*N111)*0.1)*(M133), 0)</f>
        <v>12</v>
      </c>
      <c r="N148" s="103" t="n">
        <f aca="false">M108-100</f>
        <v>99.99</v>
      </c>
      <c r="O148" s="103"/>
      <c r="P148" s="103" t="n">
        <f aca="false">(N145+P145+M148+N148)-N151</f>
        <v>1433.1775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578.85</v>
      </c>
      <c r="B154" s="38" t="n">
        <f aca="false">B108</f>
        <v>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678.84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901.232855990319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901.232855990319</v>
      </c>
      <c r="B177" s="355" t="n">
        <f aca="false">IF(A111="YES", B95, 0)</f>
        <v>0</v>
      </c>
      <c r="C177" s="358"/>
      <c r="D177" s="355" t="n">
        <f aca="false">B91</f>
        <v>10723.95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901.232855990319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901.232855990319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901.232855990319</v>
      </c>
      <c r="B186" s="103" t="n">
        <f aca="false">IF(A111="YES", B95, 0)</f>
        <v>0</v>
      </c>
      <c r="C186" s="353"/>
      <c r="D186" s="103" t="n">
        <f aca="false">B97</f>
        <v>901.232855990319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G18*0.000002 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578.85</v>
      </c>
      <c r="B197" s="103" t="n">
        <f aca="false">B154</f>
        <v>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678.84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4051.95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578.85</v>
      </c>
      <c r="C211" s="320" t="s">
        <v>217</v>
      </c>
      <c r="D211" s="370" t="n">
        <f aca="false">B225+E221+B221+B223</f>
        <v>99.99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3573.09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4051.95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578.85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0</v>
      </c>
      <c r="C223" s="336" t="s">
        <v>218</v>
      </c>
      <c r="D223" s="317"/>
      <c r="E223" s="33" t="n">
        <f aca="false">(B217-B211+D211)</f>
        <v>3573.09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90.8442718838241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0" colorId="64" zoomScale="85" zoomScaleNormal="85" zoomScalePageLayoutView="100" workbookViewId="0">
      <selection pane="topLeft" activeCell="B233" activeCellId="0" sqref="B233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 t="n">
        <v>0</v>
      </c>
      <c r="D3" s="441" t="n">
        <v>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</v>
      </c>
      <c r="C4" s="124" t="n">
        <v>0</v>
      </c>
      <c r="D4" s="124" t="n">
        <v>0</v>
      </c>
      <c r="E4" s="124"/>
      <c r="F4" s="124" t="n">
        <v>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</v>
      </c>
      <c r="C5" s="441" t="n">
        <v>0</v>
      </c>
      <c r="D5" s="441" t="n">
        <v>0</v>
      </c>
      <c r="E5" s="441"/>
      <c r="F5" s="441" t="n">
        <v>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46854.17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650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46854.17</v>
      </c>
      <c r="F9" s="152"/>
      <c r="G9" s="136"/>
      <c r="H9" s="443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550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585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58535</v>
      </c>
      <c r="I15" s="2"/>
      <c r="J15" s="17" t="n">
        <f aca="false">H15</f>
        <v>58535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58535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45295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13.7372727272727</v>
      </c>
      <c r="E32" s="226"/>
      <c r="F32" s="63"/>
      <c r="G32" s="227" t="s">
        <v>244</v>
      </c>
      <c r="H32" s="225" t="n">
        <f aca="false">A41</f>
        <v>13.7372727272727</v>
      </c>
      <c r="I32" s="0"/>
      <c r="J32" s="44" t="s">
        <v>37</v>
      </c>
      <c r="K32" s="263" t="s">
        <v>407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391</v>
      </c>
      <c r="P34" s="212"/>
    </row>
    <row r="35" customFormat="false" ht="17.35" hidden="false" customHeight="false" outlineLevel="0" collapsed="false">
      <c r="A35" s="226" t="n">
        <f aca="false">B32+D32</f>
        <v>513.737272727273</v>
      </c>
      <c r="B35" s="223" t="s">
        <v>408</v>
      </c>
      <c r="C35" s="223"/>
      <c r="D35" s="223" t="s">
        <v>409</v>
      </c>
      <c r="E35" s="223"/>
      <c r="F35" s="63"/>
      <c r="G35" s="233"/>
      <c r="H35" s="234"/>
      <c r="I35" s="0"/>
      <c r="J35" s="44"/>
      <c r="K35" s="12" t="n">
        <v>0.07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s">
        <v>417</v>
      </c>
      <c r="I36" s="0"/>
      <c r="J36" s="44" t="s">
        <v>51</v>
      </c>
      <c r="K36" s="52" t="n">
        <f aca="false">K32-K34</f>
        <v>57535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398</v>
      </c>
      <c r="C38" s="223"/>
      <c r="D38" s="104" t="s">
        <v>393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13.7372727272727</v>
      </c>
      <c r="B41" s="241" t="n">
        <f aca="false">IF(B38="YES", D38+A41, D38)</f>
        <v>513.737272727273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392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13.7372727272727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514.100909090909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514.100909090909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264" t="s">
        <v>4</v>
      </c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57885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0.024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59031.3444847288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548.765625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57535</v>
      </c>
      <c r="C81" s="93"/>
      <c r="D81" s="93"/>
      <c r="E81" s="113"/>
      <c r="F81" s="25" t="s">
        <v>105</v>
      </c>
      <c r="G81" s="27" t="n">
        <f aca="false">B81</f>
        <v>57535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0.089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0.00741666666666667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4701.64581571928</v>
      </c>
      <c r="C86" s="93" t="n">
        <f aca="false">(B82/((1+B84)^(B85+1)))</f>
        <v>4701.64581571928</v>
      </c>
      <c r="D86" s="93"/>
      <c r="E86" s="113"/>
      <c r="F86" s="31" t="s">
        <v>110</v>
      </c>
      <c r="G86" s="33" t="n">
        <f aca="false">(G82/((1+G84)^(G85+1)))</f>
        <v>5020.31079273804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28.392890887209</v>
      </c>
      <c r="C87" s="93" t="n">
        <f aca="false">((1-(1/((1+B84)^B85)))/B84)</f>
        <v>28.392890887209</v>
      </c>
      <c r="D87" s="93"/>
      <c r="E87" s="113"/>
      <c r="F87" s="31" t="s">
        <v>111</v>
      </c>
      <c r="G87" s="33" t="n">
        <f aca="false">((1-(1/((1+G84)^G85)))/G84)</f>
        <v>29.3075648349115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52833.3541842807</v>
      </c>
      <c r="C88" s="93" t="n">
        <f aca="false">B81-B86</f>
        <v>52833.3541842807</v>
      </c>
      <c r="D88" s="93"/>
      <c r="E88" s="113"/>
      <c r="F88" s="31" t="s">
        <v>112</v>
      </c>
      <c r="G88" s="33" t="n">
        <f aca="false">G81-G86</f>
        <v>52514.689207262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1860.79516855687</v>
      </c>
      <c r="C89" s="93" t="n">
        <f aca="false">(B88/B87)</f>
        <v>1860.79516855687</v>
      </c>
      <c r="D89" s="93"/>
      <c r="E89" s="113"/>
      <c r="F89" s="31" t="s">
        <v>113</v>
      </c>
      <c r="G89" s="33" t="n">
        <f aca="false">(G88/G87)</f>
        <v>1791.84758280244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59545.4453938197</v>
      </c>
      <c r="C90" s="93"/>
      <c r="D90" s="93"/>
      <c r="E90" s="113"/>
      <c r="F90" s="31" t="s">
        <v>114</v>
      </c>
      <c r="G90" s="33" t="n">
        <f aca="false">((G89*(G85))+G77)</f>
        <v>57339.122649678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59545.4453938197</v>
      </c>
      <c r="C92" s="93"/>
      <c r="D92" s="93"/>
      <c r="E92" s="113"/>
      <c r="F92" s="56" t="s">
        <v>116</v>
      </c>
      <c r="G92" s="65" t="n">
        <f aca="false">(G90+G91)</f>
        <v>57339.122649678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n">
        <f aca="false">IF(B38="YES",((H36/B85)*(1+A108)),"0")</f>
        <v>16.999875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1860.79516855687</v>
      </c>
      <c r="C95" s="93"/>
      <c r="D95" s="93"/>
      <c r="E95" s="113"/>
      <c r="F95" s="95" t="s">
        <v>118</v>
      </c>
      <c r="G95" s="96" t="n">
        <f aca="false">G92/(G85)</f>
        <v>1791.84758280244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1877.79504355687</v>
      </c>
      <c r="C96" s="93"/>
      <c r="D96" s="93"/>
      <c r="E96" s="113"/>
      <c r="F96" s="97" t="s">
        <v>119</v>
      </c>
      <c r="G96" s="98" t="n">
        <f aca="false">G94+G95</f>
        <v>1791.84758280244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235</v>
      </c>
      <c r="C108" s="107"/>
      <c r="D108" s="107"/>
      <c r="E108" s="108" t="n">
        <f aca="false">B83</f>
        <v>0.089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236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B3</f>
        <v>46854.17</v>
      </c>
      <c r="C121" s="121" t="n">
        <f aca="false">B121</f>
        <v>46854.17</v>
      </c>
      <c r="D121" s="120" t="n">
        <f aca="false">D3</f>
        <v>0</v>
      </c>
      <c r="E121" s="121" t="n">
        <f aca="false">D121</f>
        <v>0</v>
      </c>
      <c r="F121" s="120" t="n">
        <f aca="false">F3</f>
        <v>833.33</v>
      </c>
      <c r="G121" s="121" t="n">
        <f aca="false">F121</f>
        <v>833.33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f aca="false">B122</f>
        <v>0</v>
      </c>
      <c r="D122" s="123" t="n">
        <f aca="false">D4</f>
        <v>0</v>
      </c>
      <c r="E122" s="124" t="n">
        <f aca="false">D122</f>
        <v>0</v>
      </c>
      <c r="F122" s="123" t="n">
        <f aca="false">F4</f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f aca="false">B123</f>
        <v>0</v>
      </c>
      <c r="D123" s="130" t="n">
        <f aca="false">D5</f>
        <v>0</v>
      </c>
      <c r="E123" s="121" t="n">
        <f aca="false">D123</f>
        <v>0</v>
      </c>
      <c r="F123" s="130" t="n">
        <f aca="false">F5</f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46854.17</v>
      </c>
      <c r="C125" s="133" t="n">
        <f aca="false">C121-C124</f>
        <v>46854.17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833.33</v>
      </c>
      <c r="G125" s="133" t="n">
        <f aca="false">G121-G124</f>
        <v>833.33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47687.5</v>
      </c>
      <c r="H135" s="153" t="n">
        <f aca="false">C125+E125+G125+H128</f>
        <v>47687.5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9647.5</v>
      </c>
      <c r="H137" s="33" t="n">
        <f aca="false">(H135+H136)*20%</f>
        <v>9647.5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585</v>
      </c>
      <c r="H139" s="33" t="n">
        <f aca="false">G139</f>
        <v>585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65</v>
      </c>
      <c r="H140" s="33" t="n">
        <f aca="false">G140</f>
        <v>65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58535</v>
      </c>
      <c r="H141" s="157" t="n">
        <f aca="false">(H135+H136+H139+H140+H137)-H138</f>
        <v>58535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58535</v>
      </c>
      <c r="H147" s="164" t="n">
        <f aca="false">H141-((H144*1.2)+(H145*1.2)+(H146*1.2)+(H142*1.2))</f>
        <v>58535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-47945.8333333333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58535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1860.79516855687</v>
      </c>
      <c r="B167" s="177" t="n">
        <f aca="false">B94</f>
        <v>16.999875</v>
      </c>
      <c r="C167" s="174"/>
      <c r="D167" s="174"/>
      <c r="E167" s="177" t="n">
        <f aca="false">B96</f>
        <v>1877.79504355687</v>
      </c>
      <c r="F167" s="23"/>
      <c r="G167" s="23" t="n">
        <f aca="false">ROUND(G95, 2)</f>
        <v>1791.85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33</v>
      </c>
      <c r="B170" s="229" t="str">
        <f aca="false">H30</f>
        <v>5000</v>
      </c>
      <c r="C170" s="181"/>
      <c r="D170" s="23"/>
      <c r="E170" s="182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48237.5</v>
      </c>
      <c r="B173" s="103" t="n">
        <f aca="false">H137</f>
        <v>9647.5</v>
      </c>
      <c r="C173" s="186"/>
      <c r="D173" s="23"/>
      <c r="E173" s="182" t="n">
        <f aca="false">H139+H140</f>
        <v>650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58535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58535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7010.44539381974</v>
      </c>
      <c r="B182" s="103" t="str">
        <f aca="false">B114</f>
        <v>199.99</v>
      </c>
      <c r="C182" s="103"/>
      <c r="D182" s="23"/>
      <c r="E182" s="103" t="n">
        <f aca="false">E179+A182+(B182*1.2)+A185</f>
        <v>65795.4333938197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239.988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11.577</v>
      </c>
      <c r="B188" s="103" t="n">
        <f aca="false">(G158*B67)/1.2</f>
        <v>457.3046875</v>
      </c>
      <c r="C188" s="93"/>
      <c r="D188" s="93"/>
      <c r="E188" s="103" t="n">
        <f aca="false">IF(E105 ="YES"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557.2946875</v>
      </c>
      <c r="C191" s="93"/>
      <c r="D191" s="93"/>
      <c r="E191" s="103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1877.79504355687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4804.2</v>
      </c>
      <c r="B201" s="186" t="n">
        <f aca="false">E179+A201+(B182*1.2)+A185</f>
        <v>63589.188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1860.79516855687</v>
      </c>
      <c r="B212" s="177" t="n">
        <f aca="false">B167</f>
        <v>16.999875</v>
      </c>
      <c r="C212" s="174"/>
      <c r="D212" s="174"/>
      <c r="E212" s="177" t="n">
        <f aca="false">E167</f>
        <v>1877.79504355687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48237.5</v>
      </c>
      <c r="B215" s="103" t="n">
        <f aca="false">B173</f>
        <v>9647.5</v>
      </c>
      <c r="C215" s="186"/>
      <c r="D215" s="113"/>
      <c r="E215" s="182" t="n">
        <f aca="false">E173</f>
        <v>650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58535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58535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7010.44539381974</v>
      </c>
      <c r="B224" s="103" t="str">
        <f aca="false">B182</f>
        <v>199.99</v>
      </c>
      <c r="C224" s="103"/>
      <c r="D224" s="113"/>
      <c r="E224" s="103" t="n">
        <f aca="false">E182</f>
        <v>65795.4333938197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1860.79516855687</v>
      </c>
      <c r="B230" s="103" t="n">
        <f aca="false">B167</f>
        <v>16.999875</v>
      </c>
      <c r="C230" s="186"/>
      <c r="D230" s="186"/>
      <c r="E230" s="103" t="n">
        <f aca="false">E167</f>
        <v>1877.79504355687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A188</f>
        <v>11.577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B188</f>
        <v>457.3046875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557.2946875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0.089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2216.24539381974</v>
      </c>
      <c r="C254" s="197"/>
      <c r="D254" s="198" t="s">
        <v>216</v>
      </c>
      <c r="E254" s="198"/>
      <c r="F254" s="200" t="n">
        <f aca="false">F261+F267+F269+B270+B271</f>
        <v>548.765625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1767.46976881974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0.024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0.089</v>
      </c>
      <c r="C260" s="43"/>
      <c r="D260" s="166" t="s">
        <v>215</v>
      </c>
      <c r="E260" s="166"/>
      <c r="F260" s="146" t="n">
        <f aca="false">B254</f>
        <v>2216.24539381974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548.765625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1767.46976881974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86" colorId="64" zoomScale="85" zoomScaleNormal="85" zoomScalePageLayoutView="100" workbookViewId="0">
      <selection pane="topLeft" activeCell="G168" activeCellId="0" sqref="G168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5" customWidth="true" hidden="false" style="1" width="18.88" collapsed="false" outlineLevel="0"/>
    <col min="6" max="6" customWidth="true" hidden="false" style="1" width="31.92" collapsed="false" outlineLevel="0"/>
    <col min="7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 t="n">
        <v>0</v>
      </c>
      <c r="D3" s="441" t="n">
        <v>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</v>
      </c>
      <c r="C4" s="124" t="n">
        <v>0</v>
      </c>
      <c r="D4" s="124" t="n">
        <v>0</v>
      </c>
      <c r="E4" s="124"/>
      <c r="F4" s="124" t="n">
        <v>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</v>
      </c>
      <c r="C5" s="441" t="n">
        <v>0</v>
      </c>
      <c r="D5" s="441" t="n">
        <v>0</v>
      </c>
      <c r="E5" s="441"/>
      <c r="F5" s="441" t="n">
        <v>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46854.17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650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46854.17</v>
      </c>
      <c r="F9" s="152"/>
      <c r="G9" s="136"/>
      <c r="H9" s="443" t="n">
        <f aca="false">B7+D7+F7+H3</f>
        <v>47687.5</v>
      </c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550</v>
      </c>
      <c r="F10" s="154"/>
      <c r="G10" s="155"/>
      <c r="H10" s="442" t="n">
        <v>550</v>
      </c>
      <c r="I10" s="2"/>
      <c r="J10" s="2"/>
      <c r="K10" s="1" t="s">
        <v>19</v>
      </c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  <c r="L12" s="0"/>
      <c r="M12" s="0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585</v>
      </c>
      <c r="I13" s="2"/>
      <c r="J13" s="2"/>
      <c r="L13" s="0"/>
      <c r="M13" s="0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58535</v>
      </c>
      <c r="I15" s="2"/>
      <c r="J15" s="17" t="n">
        <f aca="false">H15</f>
        <v>58535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0</v>
      </c>
      <c r="F16" s="154"/>
      <c r="G16" s="155"/>
      <c r="H16" s="442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 t="n">
        <v>0</v>
      </c>
      <c r="F20" s="161"/>
      <c r="G20" s="166"/>
      <c r="H20" s="445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58535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19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28</v>
      </c>
      <c r="K29" s="448" t="n">
        <v>36</v>
      </c>
      <c r="P29" s="212"/>
    </row>
    <row r="30" customFormat="false" ht="17.9" hidden="false" customHeight="false" outlineLevel="0" collapsed="false">
      <c r="A30" s="31" t="s">
        <v>181</v>
      </c>
      <c r="B30" s="104" t="s">
        <v>349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20000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1080.07983828132</v>
      </c>
      <c r="F33" s="232"/>
      <c r="G33" s="232"/>
      <c r="H33" s="47"/>
      <c r="I33" s="2"/>
      <c r="J33" s="34" t="s">
        <v>356</v>
      </c>
      <c r="K33" s="48" t="n">
        <f aca="false">H21-H11+(H16*20%)</f>
        <v>48887.5</v>
      </c>
      <c r="L33" s="1" t="n">
        <f aca="false">H21-H11+(H16*20%)</f>
        <v>48887.5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1080.07983828132</v>
      </c>
      <c r="B36" s="232" t="str">
        <f aca="false">IF(B26="YES", K42, "0.00")</f>
        <v>0.00</v>
      </c>
      <c r="C36" s="232"/>
      <c r="D36" s="232"/>
      <c r="E36" s="232" t="n">
        <f aca="false">K31</f>
        <v>20000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48887.5</v>
      </c>
      <c r="L39" s="2" t="n">
        <f aca="false">(L47*K46)+K44</f>
        <v>39749.1981958661</v>
      </c>
      <c r="N39" s="1" t="n">
        <f aca="false">K39-L39</f>
        <v>9138.30180413388</v>
      </c>
      <c r="P39" s="212"/>
    </row>
    <row r="40" customFormat="false" ht="17.35" hidden="false" customHeight="false" outlineLevel="0" collapsed="false">
      <c r="A40" s="107" t="n">
        <f aca="false">E36*A45/100</f>
        <v>20000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16666.6666666667</v>
      </c>
      <c r="L40" s="2" t="n">
        <f aca="false">K39-L39</f>
        <v>9138.30180413388</v>
      </c>
      <c r="N40" s="1" t="n">
        <f aca="false">N38-N39</f>
        <v>-6226.62180413388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13647.2071058677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35240.2928941323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32.627488862498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1080.07983828132</v>
      </c>
      <c r="L47" s="2" t="n">
        <f aca="false">L49-K42</f>
        <v>800</v>
      </c>
      <c r="M47" s="1" t="n">
        <f aca="false">K47-L47</f>
        <v>280.079838281316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1080.07983828132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1080.07983828132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57885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57885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57885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57885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0.024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20820.4244178606</v>
      </c>
      <c r="C65" s="93"/>
      <c r="D65" s="93"/>
      <c r="E65" s="113"/>
      <c r="F65" s="113"/>
      <c r="G65" s="113"/>
      <c r="H65" s="33"/>
      <c r="J65" s="56" t="s">
        <v>90</v>
      </c>
      <c r="K65" s="65" t="n">
        <f aca="false">(K89*K59)-(K47*K29)</f>
        <v>12823.0830818257</v>
      </c>
      <c r="L65" s="93"/>
      <c r="M65" s="93"/>
      <c r="N65" s="113"/>
      <c r="O65" s="113"/>
      <c r="P65" s="113"/>
      <c r="Q65" s="33"/>
      <c r="S65" s="56" t="s">
        <v>90</v>
      </c>
      <c r="T65" s="65" t="n">
        <f aca="false">(T89*T59)-(K47*K29)</f>
        <v>-282.176487431614</v>
      </c>
      <c r="U65" s="93"/>
      <c r="V65" s="93"/>
      <c r="W65" s="113"/>
      <c r="X65" s="113"/>
      <c r="Y65" s="113"/>
      <c r="Z65" s="33"/>
      <c r="AB65" s="56" t="s">
        <v>90</v>
      </c>
      <c r="AC65" s="65" t="n">
        <f aca="false">(AC89*AC59)-(K47*K29)</f>
        <v>-282.176487431614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564.516633333333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4341.375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578.85</v>
      </c>
      <c r="U68" s="93"/>
      <c r="V68" s="93"/>
      <c r="W68" s="113"/>
      <c r="X68" s="113"/>
      <c r="Y68" s="113"/>
      <c r="Z68" s="33"/>
      <c r="AB68" s="56" t="s">
        <v>93</v>
      </c>
      <c r="AC68" s="65" t="n">
        <f aca="false">AH158*AC67</f>
        <v>454.68749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1080.07983828132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1080.07983828132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1080.07983828132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1080.07983828132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67741.996</v>
      </c>
      <c r="C81" s="93"/>
      <c r="D81" s="93"/>
      <c r="E81" s="113"/>
      <c r="F81" s="25" t="s">
        <v>105</v>
      </c>
      <c r="G81" s="27" t="n">
        <f aca="false">G158</f>
        <v>67741.996</v>
      </c>
      <c r="H81" s="33"/>
      <c r="J81" s="25" t="s">
        <v>105</v>
      </c>
      <c r="K81" s="27" t="n">
        <f aca="false">P158</f>
        <v>37655</v>
      </c>
      <c r="L81" s="93"/>
      <c r="M81" s="93"/>
      <c r="N81" s="113"/>
      <c r="O81" s="113"/>
      <c r="P81" s="113"/>
      <c r="Q81" s="33"/>
      <c r="S81" s="25" t="s">
        <v>105</v>
      </c>
      <c r="T81" s="27" t="n">
        <f aca="false">Y158</f>
        <v>45468.749</v>
      </c>
      <c r="U81" s="93"/>
      <c r="V81" s="93"/>
      <c r="W81" s="113"/>
      <c r="X81" s="113"/>
      <c r="Y81" s="113"/>
      <c r="Z81" s="33"/>
      <c r="AB81" s="25" t="s">
        <v>105</v>
      </c>
      <c r="AC81" s="27" t="n">
        <f aca="false">AH158</f>
        <v>45468.749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IF(A111="YES",A40,0)</f>
        <v>20000</v>
      </c>
      <c r="C82" s="93"/>
      <c r="D82" s="93"/>
      <c r="E82" s="113"/>
      <c r="F82" s="31" t="s">
        <v>106</v>
      </c>
      <c r="G82" s="33" t="n">
        <f aca="false">IF(A111="YES",A40,0)</f>
        <v>20000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20000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20000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0.089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0.00741666666666667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15328.5565510641</v>
      </c>
      <c r="C86" s="93"/>
      <c r="D86" s="93"/>
      <c r="E86" s="113"/>
      <c r="F86" s="31" t="s">
        <v>110</v>
      </c>
      <c r="G86" s="33" t="n">
        <f aca="false">(G82/((1+G84)^(G85+1)))</f>
        <v>16465.3553732294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13529.3569525544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13529.3569525544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30.7264493562845</v>
      </c>
      <c r="C87" s="93"/>
      <c r="D87" s="93"/>
      <c r="E87" s="113"/>
      <c r="F87" s="31" t="s">
        <v>111</v>
      </c>
      <c r="G87" s="33" t="n">
        <f aca="false">((1-(1/((1+G84)^G85)))/G84)</f>
        <v>31.8042210938366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52413.4394489359</v>
      </c>
      <c r="C88" s="93"/>
      <c r="D88" s="93"/>
      <c r="E88" s="113"/>
      <c r="F88" s="31" t="s">
        <v>112</v>
      </c>
      <c r="G88" s="33" t="n">
        <f aca="false">G81-G86</f>
        <v>51276.6406267706</v>
      </c>
      <c r="H88" s="33"/>
      <c r="J88" s="31" t="s">
        <v>112</v>
      </c>
      <c r="K88" s="33" t="n">
        <f aca="false">K81-K86</f>
        <v>37655</v>
      </c>
      <c r="L88" s="93"/>
      <c r="M88" s="93"/>
      <c r="N88" s="113"/>
      <c r="O88" s="113"/>
      <c r="P88" s="113"/>
      <c r="Q88" s="33"/>
      <c r="S88" s="31" t="s">
        <v>112</v>
      </c>
      <c r="T88" s="33" t="n">
        <f aca="false">T81-T86</f>
        <v>31939.3920474456</v>
      </c>
      <c r="U88" s="93"/>
      <c r="V88" s="93"/>
      <c r="W88" s="113"/>
      <c r="X88" s="113"/>
      <c r="Y88" s="113"/>
      <c r="Z88" s="33"/>
      <c r="AB88" s="31" t="s">
        <v>112</v>
      </c>
      <c r="AC88" s="33" t="n">
        <f aca="false">AC81-AC86</f>
        <v>31939.3920474456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1705.80853131394</v>
      </c>
      <c r="C89" s="93"/>
      <c r="D89" s="93"/>
      <c r="E89" s="113"/>
      <c r="F89" s="31" t="s">
        <v>113</v>
      </c>
      <c r="G89" s="33" t="n">
        <f aca="false">(G88/G87)</f>
        <v>1612.2589663643</v>
      </c>
      <c r="H89" s="33"/>
      <c r="J89" s="31" t="s">
        <v>113</v>
      </c>
      <c r="K89" s="33" t="n">
        <f aca="false">(K88/K87)</f>
        <v>1477.31306457009</v>
      </c>
      <c r="L89" s="93"/>
      <c r="M89" s="93"/>
      <c r="N89" s="113"/>
      <c r="O89" s="113"/>
      <c r="P89" s="113"/>
      <c r="Q89" s="33"/>
      <c r="S89" s="31" t="s">
        <v>113</v>
      </c>
      <c r="T89" s="33" t="n">
        <f aca="false">(T88/T87)</f>
        <v>1102.87707687702</v>
      </c>
      <c r="U89" s="93"/>
      <c r="V89" s="93"/>
      <c r="W89" s="113"/>
      <c r="X89" s="113"/>
      <c r="Y89" s="113"/>
      <c r="Z89" s="33"/>
      <c r="AB89" s="31" t="s">
        <v>113</v>
      </c>
      <c r="AC89" s="33" t="n">
        <f aca="false">(AC88/AC87)</f>
        <v>1102.87707687702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59703.2985959879</v>
      </c>
      <c r="C90" s="93"/>
      <c r="D90" s="93"/>
      <c r="E90" s="113"/>
      <c r="F90" s="31" t="s">
        <v>114</v>
      </c>
      <c r="G90" s="33" t="n">
        <f aca="false">((G89*(G85))+G77)</f>
        <v>56429.0638227505</v>
      </c>
      <c r="H90" s="33"/>
      <c r="J90" s="31" t="s">
        <v>114</v>
      </c>
      <c r="K90" s="33" t="n">
        <f aca="false">((K89*(K85))+K77)</f>
        <v>53183.2703245232</v>
      </c>
      <c r="L90" s="93"/>
      <c r="M90" s="93"/>
      <c r="N90" s="113"/>
      <c r="O90" s="113"/>
      <c r="P90" s="113"/>
      <c r="Q90" s="33"/>
      <c r="S90" s="31" t="s">
        <v>114</v>
      </c>
      <c r="T90" s="33" t="n">
        <f aca="false">(T89*(T85))+T77</f>
        <v>38600.6976906957</v>
      </c>
      <c r="U90" s="93"/>
      <c r="V90" s="93"/>
      <c r="W90" s="113"/>
      <c r="X90" s="113"/>
      <c r="Y90" s="113"/>
      <c r="Z90" s="33"/>
      <c r="AB90" s="31" t="s">
        <v>114</v>
      </c>
      <c r="AC90" s="33" t="n">
        <f aca="false">(AC89*(AC59))+AC77</f>
        <v>38600.6976906957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n">
        <f aca="false">(K90/(1-K71))*K71</f>
        <v>0</v>
      </c>
      <c r="L91" s="93"/>
      <c r="M91" s="93"/>
      <c r="N91" s="113"/>
      <c r="O91" s="113"/>
      <c r="P91" s="113"/>
      <c r="Q91" s="33"/>
      <c r="S91" s="31" t="s">
        <v>115</v>
      </c>
      <c r="T91" s="33" t="n">
        <f aca="false">(T90/(1-T71))*T71</f>
        <v>0</v>
      </c>
      <c r="U91" s="93"/>
      <c r="V91" s="93"/>
      <c r="W91" s="113"/>
      <c r="X91" s="113"/>
      <c r="Y91" s="113"/>
      <c r="Z91" s="33"/>
      <c r="AB91" s="31" t="s">
        <v>115</v>
      </c>
      <c r="AC91" s="33" t="n">
        <f aca="false">(AC90/(1-AC71))*AC71</f>
        <v>0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59703.2985959879</v>
      </c>
      <c r="C92" s="93"/>
      <c r="D92" s="93"/>
      <c r="E92" s="113"/>
      <c r="F92" s="56" t="s">
        <v>116</v>
      </c>
      <c r="G92" s="65" t="n">
        <f aca="false">(G90+G91)</f>
        <v>56429.0638227505</v>
      </c>
      <c r="H92" s="33"/>
      <c r="J92" s="56" t="s">
        <v>116</v>
      </c>
      <c r="K92" s="65" t="n">
        <f aca="false">(K90+K91)</f>
        <v>53183.2703245232</v>
      </c>
      <c r="L92" s="93"/>
      <c r="M92" s="93"/>
      <c r="N92" s="113"/>
      <c r="O92" s="113"/>
      <c r="P92" s="113"/>
      <c r="Q92" s="33"/>
      <c r="S92" s="56" t="s">
        <v>116</v>
      </c>
      <c r="T92" s="65" t="n">
        <f aca="false">(T90+T91)</f>
        <v>38600.6976906957</v>
      </c>
      <c r="U92" s="93"/>
      <c r="V92" s="93"/>
      <c r="W92" s="113"/>
      <c r="X92" s="113"/>
      <c r="Y92" s="113"/>
      <c r="Z92" s="33"/>
      <c r="AB92" s="56" t="s">
        <v>116</v>
      </c>
      <c r="AC92" s="65" t="n">
        <f aca="false">(AC90+AC91)</f>
        <v>38600.6976906957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str">
        <f aca="false">IF(B26="YES",((E40/B85)*(1+A108)*(C45/100)),"0")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1705.80853131394</v>
      </c>
      <c r="C95" s="93"/>
      <c r="D95" s="93"/>
      <c r="E95" s="113"/>
      <c r="F95" s="95" t="s">
        <v>118</v>
      </c>
      <c r="G95" s="96" t="n">
        <f aca="false">G92/(G85)</f>
        <v>1612.2589663643</v>
      </c>
      <c r="H95" s="33"/>
      <c r="J95" s="95" t="s">
        <v>118</v>
      </c>
      <c r="K95" s="96" t="n">
        <f aca="false">K92/(K85)</f>
        <v>1477.31306457009</v>
      </c>
      <c r="L95" s="93"/>
      <c r="M95" s="93"/>
      <c r="N95" s="113"/>
      <c r="O95" s="113"/>
      <c r="P95" s="113"/>
      <c r="Q95" s="33"/>
      <c r="S95" s="95" t="s">
        <v>118</v>
      </c>
      <c r="T95" s="96" t="n">
        <f aca="false">T92/(T85)</f>
        <v>1102.87707687702</v>
      </c>
      <c r="U95" s="93"/>
      <c r="V95" s="93"/>
      <c r="W95" s="113"/>
      <c r="X95" s="113"/>
      <c r="Y95" s="113"/>
      <c r="Z95" s="33"/>
      <c r="AB95" s="95" t="s">
        <v>118</v>
      </c>
      <c r="AC95" s="96" t="n">
        <f aca="false">AC92/(AC59)</f>
        <v>1102.87707687702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1705.80853131394</v>
      </c>
      <c r="C96" s="93"/>
      <c r="D96" s="93"/>
      <c r="E96" s="113"/>
      <c r="F96" s="97" t="s">
        <v>119</v>
      </c>
      <c r="G96" s="98" t="n">
        <f aca="false">G94+G95</f>
        <v>1612.2589663643</v>
      </c>
      <c r="H96" s="33"/>
      <c r="J96" s="97" t="s">
        <v>119</v>
      </c>
      <c r="K96" s="98" t="n">
        <f aca="false">(K94+K95)</f>
        <v>1477.31306457009</v>
      </c>
      <c r="L96" s="93"/>
      <c r="M96" s="93"/>
      <c r="N96" s="113"/>
      <c r="O96" s="113"/>
      <c r="P96" s="113"/>
      <c r="Q96" s="33"/>
      <c r="S96" s="97" t="s">
        <v>119</v>
      </c>
      <c r="T96" s="98" t="n">
        <f aca="false">T94+T95</f>
        <v>1102.87707687702</v>
      </c>
      <c r="U96" s="93"/>
      <c r="V96" s="93"/>
      <c r="W96" s="113"/>
      <c r="X96" s="113"/>
      <c r="Y96" s="113"/>
      <c r="Z96" s="33"/>
      <c r="AB96" s="97" t="s">
        <v>119</v>
      </c>
      <c r="AC96" s="98" t="n">
        <f aca="false">AC94+AC95</f>
        <v>1102.87707687702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19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s">
        <v>273</v>
      </c>
      <c r="C108" s="107"/>
      <c r="D108" s="107" t="n">
        <v>0</v>
      </c>
      <c r="E108" s="108" t="n">
        <f aca="false">B83</f>
        <v>0.089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</v>
      </c>
      <c r="C111" s="107"/>
      <c r="D111" s="107"/>
      <c r="E111" s="107" t="n">
        <v>1000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236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B3</f>
        <v>46854.17</v>
      </c>
      <c r="C121" s="121" t="n">
        <f aca="false">B121</f>
        <v>46854.17</v>
      </c>
      <c r="D121" s="120" t="n">
        <f aca="false">D3</f>
        <v>0</v>
      </c>
      <c r="E121" s="121" t="n">
        <f aca="false">D121</f>
        <v>0</v>
      </c>
      <c r="F121" s="120" t="n">
        <f aca="false">F3</f>
        <v>833.33</v>
      </c>
      <c r="G121" s="121" t="n">
        <f aca="false">F121</f>
        <v>833.33</v>
      </c>
      <c r="H121" s="122" t="n">
        <f aca="false">H3</f>
        <v>0</v>
      </c>
      <c r="J121" s="25" t="s">
        <v>149</v>
      </c>
      <c r="K121" s="120" t="n">
        <f aca="false">B3</f>
        <v>46854.17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n">
        <f aca="false">F3</f>
        <v>833.33</v>
      </c>
      <c r="P121" s="121" t="n">
        <f aca="false">O121</f>
        <v>833.33</v>
      </c>
      <c r="Q121" s="122" t="n">
        <f aca="false">H3</f>
        <v>0</v>
      </c>
      <c r="S121" s="25" t="s">
        <v>149</v>
      </c>
      <c r="T121" s="120" t="n">
        <f aca="false">B3</f>
        <v>46854.17</v>
      </c>
      <c r="U121" s="121" t="n">
        <f aca="false">T121</f>
        <v>46854.17</v>
      </c>
      <c r="V121" s="120" t="n">
        <f aca="false">D3</f>
        <v>0</v>
      </c>
      <c r="W121" s="121" t="n">
        <f aca="false">V121</f>
        <v>0</v>
      </c>
      <c r="X121" s="120" t="n">
        <f aca="false">F3</f>
        <v>833.33</v>
      </c>
      <c r="Y121" s="121" t="n">
        <f aca="false">X121</f>
        <v>833.33</v>
      </c>
      <c r="Z121" s="122" t="n">
        <f aca="false">H3</f>
        <v>0</v>
      </c>
      <c r="AB121" s="25" t="s">
        <v>149</v>
      </c>
      <c r="AC121" s="120" t="n">
        <f aca="false">B3</f>
        <v>46854.17</v>
      </c>
      <c r="AD121" s="121" t="n">
        <f aca="false">AC121</f>
        <v>46854.17</v>
      </c>
      <c r="AE121" s="120" t="n">
        <f aca="false">D3</f>
        <v>0</v>
      </c>
      <c r="AF121" s="121" t="n">
        <f aca="false">AE121</f>
        <v>0</v>
      </c>
      <c r="AG121" s="120" t="n">
        <f aca="false">F3</f>
        <v>833.33</v>
      </c>
      <c r="AH121" s="121" t="n">
        <f aca="false">AG121</f>
        <v>833.33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v>0</v>
      </c>
      <c r="D122" s="123" t="n">
        <f aca="false">D4</f>
        <v>0</v>
      </c>
      <c r="E122" s="124" t="n">
        <v>0</v>
      </c>
      <c r="F122" s="123" t="n">
        <f aca="false">F4</f>
        <v>0</v>
      </c>
      <c r="G122" s="452" t="n">
        <v>0</v>
      </c>
      <c r="H122" s="126"/>
      <c r="J122" s="31" t="s">
        <v>150</v>
      </c>
      <c r="K122" s="123" t="n">
        <f aca="false">B4</f>
        <v>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n">
        <f aca="false">F4</f>
        <v>0</v>
      </c>
      <c r="P122" s="452" t="n">
        <f aca="false">O122</f>
        <v>0</v>
      </c>
      <c r="Q122" s="126"/>
      <c r="S122" s="31" t="s">
        <v>150</v>
      </c>
      <c r="T122" s="123" t="n">
        <f aca="false">B4</f>
        <v>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n">
        <f aca="false">F4</f>
        <v>0</v>
      </c>
      <c r="Y122" s="452" t="n">
        <f aca="false">X122</f>
        <v>0</v>
      </c>
      <c r="Z122" s="126"/>
      <c r="AB122" s="31" t="s">
        <v>150</v>
      </c>
      <c r="AC122" s="123" t="n">
        <f aca="false">B4</f>
        <v>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n">
        <f aca="false">F4</f>
        <v>0</v>
      </c>
      <c r="AH122" s="452" t="n">
        <f aca="false">AG122</f>
        <v>0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v>-9755.83</v>
      </c>
      <c r="D123" s="130" t="n">
        <f aca="false">D5</f>
        <v>0</v>
      </c>
      <c r="E123" s="121" t="n">
        <v>0</v>
      </c>
      <c r="F123" s="130" t="n">
        <f aca="false">F5</f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n">
        <f aca="false">F5</f>
        <v>0</v>
      </c>
      <c r="P123" s="121" t="n">
        <f aca="false">O123</f>
        <v>0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n">
        <f aca="false">F5</f>
        <v>0</v>
      </c>
      <c r="Y123" s="121" t="n">
        <f aca="false">X123</f>
        <v>0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n">
        <f aca="false">F5</f>
        <v>0</v>
      </c>
      <c r="AH123" s="121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-9755.83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n">
        <f aca="false">(O121*O122)+O123</f>
        <v>0</v>
      </c>
      <c r="P124" s="131" t="n">
        <f aca="false">(P121*P122)+P123</f>
        <v>0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11713.5425</v>
      </c>
      <c r="V124" s="130" t="n">
        <f aca="false">(V121*V122)+V123</f>
        <v>0</v>
      </c>
      <c r="W124" s="131" t="n">
        <f aca="false">(W121*W122)+W123</f>
        <v>0</v>
      </c>
      <c r="X124" s="130" t="n">
        <f aca="false">(X121*X122)+X123</f>
        <v>0</v>
      </c>
      <c r="Y124" s="131" t="n">
        <f aca="false">(Y121*Y122)+Y123</f>
        <v>0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11713.5425</v>
      </c>
      <c r="AE124" s="130" t="n">
        <f aca="false">(AE121*AE122)+AE123</f>
        <v>0</v>
      </c>
      <c r="AF124" s="131" t="n">
        <f aca="false">(AF121*AF122)+AF123</f>
        <v>0</v>
      </c>
      <c r="AG124" s="130" t="n">
        <f aca="false">(AG121*AG122)+AG123</f>
        <v>0</v>
      </c>
      <c r="AH124" s="131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46854.17</v>
      </c>
      <c r="C125" s="133" t="n">
        <f aca="false">C121-C124</f>
        <v>56610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833.33</v>
      </c>
      <c r="G125" s="133" t="n">
        <f aca="false">G121-G124</f>
        <v>833.33</v>
      </c>
      <c r="H125" s="65"/>
      <c r="J125" s="56" t="s">
        <v>153</v>
      </c>
      <c r="K125" s="132" t="n">
        <f aca="false">K121-K124</f>
        <v>46854.17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n">
        <f aca="false">O121-O124</f>
        <v>833.33</v>
      </c>
      <c r="P125" s="133" t="n">
        <f aca="false">P121-P124</f>
        <v>833.33</v>
      </c>
      <c r="Q125" s="65"/>
      <c r="S125" s="56" t="s">
        <v>153</v>
      </c>
      <c r="T125" s="132" t="n">
        <f aca="false">T121-T124</f>
        <v>46854.17</v>
      </c>
      <c r="U125" s="133" t="n">
        <f aca="false">U121-U124</f>
        <v>35140.6275</v>
      </c>
      <c r="V125" s="132" t="n">
        <f aca="false">V121-V124</f>
        <v>0</v>
      </c>
      <c r="W125" s="133" t="n">
        <f aca="false">W121-W124</f>
        <v>0</v>
      </c>
      <c r="X125" s="132" t="n">
        <f aca="false">X121-X124</f>
        <v>833.33</v>
      </c>
      <c r="Y125" s="133" t="n">
        <f aca="false">Y121-Y124</f>
        <v>833.33</v>
      </c>
      <c r="Z125" s="65"/>
      <c r="AB125" s="56" t="s">
        <v>153</v>
      </c>
      <c r="AC125" s="132" t="n">
        <f aca="false">AC121-AC124</f>
        <v>46854.17</v>
      </c>
      <c r="AD125" s="133" t="n">
        <f aca="false">AD121-AD124</f>
        <v>35140.6275</v>
      </c>
      <c r="AE125" s="132" t="n">
        <f aca="false">AE121-AE124</f>
        <v>0</v>
      </c>
      <c r="AF125" s="133" t="n">
        <f aca="false">AF121-AF124</f>
        <v>0</v>
      </c>
      <c r="AG125" s="132" t="n">
        <f aca="false">AG121-AG124</f>
        <v>833.33</v>
      </c>
      <c r="AH125" s="133" t="n">
        <f aca="false">AH121-AH124</f>
        <v>833.33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47687.5</v>
      </c>
      <c r="H135" s="153" t="n">
        <f aca="false">C125+E125+G125+H128</f>
        <v>57443.33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47687.5</v>
      </c>
      <c r="Q135" s="153" t="n">
        <f aca="false">L125+N125+P125+Q128</f>
        <v>29462.5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47687.5</v>
      </c>
      <c r="Z135" s="153" t="n">
        <f aca="false">U125+W125+Y125+Z128</f>
        <v>35973.9575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47687.5</v>
      </c>
      <c r="AI135" s="153" t="n">
        <f aca="false">AD125+AF125+AH125+AI128</f>
        <v>35973.9575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550</v>
      </c>
      <c r="Q136" s="33" t="n">
        <f aca="false">P136</f>
        <v>550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550</v>
      </c>
      <c r="Z136" s="33" t="n">
        <f aca="false">Y136</f>
        <v>550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550</v>
      </c>
      <c r="AI136" s="33" t="n">
        <f aca="false">AH136</f>
        <v>550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9647.5</v>
      </c>
      <c r="H137" s="33" t="n">
        <f aca="false">(H135+H136)*20%</f>
        <v>11598.666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9647.5</v>
      </c>
      <c r="Q137" s="33" t="n">
        <f aca="false">(Q135+Q136)*20%</f>
        <v>6002.5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9647.5</v>
      </c>
      <c r="Z137" s="33" t="n">
        <f aca="false">(Z135+Z136)*20%</f>
        <v>7304.7915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9647.5</v>
      </c>
      <c r="AI137" s="33" t="n">
        <f aca="false">(AI135+AI136)*20%</f>
        <v>7304.7915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585</v>
      </c>
      <c r="H139" s="33" t="n">
        <f aca="false">G139</f>
        <v>585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585</v>
      </c>
      <c r="Q139" s="33" t="n">
        <f aca="false">P139</f>
        <v>585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585</v>
      </c>
      <c r="Z139" s="33" t="n">
        <f aca="false">Y139</f>
        <v>585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585</v>
      </c>
      <c r="AI139" s="33" t="n">
        <f aca="false">AH139</f>
        <v>585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65</v>
      </c>
      <c r="H140" s="33" t="n">
        <f aca="false">G140</f>
        <v>65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65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65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65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58535</v>
      </c>
      <c r="H141" s="157" t="n">
        <f aca="false">(H135+H136+H139+H140+H137)-H138</f>
        <v>70241.996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58535</v>
      </c>
      <c r="Q141" s="157" t="n">
        <f aca="false">(Q135+Q136+Q139+Q140+Q137)-Q138</f>
        <v>36655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58535</v>
      </c>
      <c r="Z141" s="157" t="n">
        <f aca="false">(Z135+Z136+Z139+Z140+Z137)-Z138</f>
        <v>44468.749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58535</v>
      </c>
      <c r="AI141" s="157" t="n">
        <f aca="false">(AI135+AI136+AI139+AI140+AI137)-AI138</f>
        <v>44468.749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58535</v>
      </c>
      <c r="H147" s="164" t="n">
        <f aca="false">H141-((H144*1.2)+(H145*1.2)+(H146*1.2)+(H142*1.2))</f>
        <v>70241.996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58535</v>
      </c>
      <c r="Q147" s="164" t="n">
        <f aca="false">Q141-((Q144*1.2)+(Q145*1.2)+(Q146*1.2)+(Q142*1.2))</f>
        <v>36655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58535</v>
      </c>
      <c r="Z147" s="164" t="n">
        <f aca="false">Z141-((Z144*1.2)+(Z145*1.2)+(Z146*1.2)+(Z142*1.2))</f>
        <v>44468.749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58535</v>
      </c>
      <c r="AI147" s="164" t="n">
        <f aca="false">AI141-((AI144*1.2)+(AI145*1.2)+(AI146*1.2)+(AI142*1.2))</f>
        <v>44468.749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9755.83</v>
      </c>
      <c r="I148" s="1" t="n">
        <f aca="false">(H148-G81)/1.2</f>
        <v>-48321.805</v>
      </c>
      <c r="J148" s="154" t="s">
        <v>172</v>
      </c>
      <c r="K148" s="154"/>
      <c r="L148" s="154"/>
      <c r="M148" s="154"/>
      <c r="N148" s="154"/>
      <c r="O148" s="154"/>
      <c r="P148" s="155"/>
      <c r="Q148" s="40" t="n">
        <f aca="false">Q147-P147</f>
        <v>-21880</v>
      </c>
      <c r="S148" s="154" t="s">
        <v>172</v>
      </c>
      <c r="T148" s="154"/>
      <c r="U148" s="154"/>
      <c r="V148" s="154"/>
      <c r="W148" s="154"/>
      <c r="X148" s="154"/>
      <c r="Y148" s="155"/>
      <c r="Z148" s="40" t="n">
        <f aca="false">Z147-Y147</f>
        <v>-14066.251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n">
        <f aca="false">AI147-AH147</f>
        <v>-14066.251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1000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67741.996</v>
      </c>
      <c r="H158" s="170"/>
      <c r="J158" s="169" t="s">
        <v>179</v>
      </c>
      <c r="K158" s="93"/>
      <c r="L158" s="93"/>
      <c r="M158" s="113"/>
      <c r="N158" s="93"/>
      <c r="O158" s="113"/>
      <c r="P158" s="170" t="n">
        <f aca="false">Q147-P154-P157</f>
        <v>37655</v>
      </c>
      <c r="Q158" s="170"/>
      <c r="S158" s="169" t="s">
        <v>179</v>
      </c>
      <c r="T158" s="93"/>
      <c r="U158" s="93"/>
      <c r="V158" s="113"/>
      <c r="W158" s="93"/>
      <c r="X158" s="113"/>
      <c r="Y158" s="170" t="n">
        <f aca="false">Z147-Y154-Y157</f>
        <v>45468.749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n">
        <f aca="false">AI147-AH154-AH157</f>
        <v>45468.749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1705.80853131394</v>
      </c>
      <c r="B167" s="177" t="str">
        <f aca="false">B94</f>
        <v>0</v>
      </c>
      <c r="C167" s="174"/>
      <c r="D167" s="174"/>
      <c r="E167" s="177" t="n">
        <f aca="false">B96</f>
        <v>1705.80853131394</v>
      </c>
      <c r="F167" s="23"/>
      <c r="G167" s="23" t="n">
        <f aca="false">G95</f>
        <v>1612.2589663643</v>
      </c>
      <c r="H167" s="33"/>
      <c r="J167" s="176" t="n">
        <f aca="false">K95</f>
        <v>1477.31306457009</v>
      </c>
      <c r="K167" s="177" t="n">
        <f aca="false">K94</f>
        <v>0</v>
      </c>
      <c r="L167" s="174"/>
      <c r="M167" s="174"/>
      <c r="N167" s="177" t="n">
        <f aca="false">K96</f>
        <v>1477.31306457009</v>
      </c>
      <c r="O167" s="23"/>
      <c r="P167" s="23"/>
      <c r="Q167" s="33"/>
      <c r="S167" s="176" t="n">
        <f aca="false">T95</f>
        <v>1102.87707687702</v>
      </c>
      <c r="T167" s="177" t="n">
        <f aca="false">T94</f>
        <v>0</v>
      </c>
      <c r="U167" s="174"/>
      <c r="V167" s="174"/>
      <c r="W167" s="177" t="n">
        <f aca="false">T96</f>
        <v>1102.87707687702</v>
      </c>
      <c r="X167" s="23"/>
      <c r="Y167" s="23"/>
      <c r="Z167" s="33"/>
      <c r="AB167" s="176" t="n">
        <f aca="false">AC95</f>
        <v>1102.87707687702</v>
      </c>
      <c r="AC167" s="177" t="n">
        <f aca="false">AC94</f>
        <v>0</v>
      </c>
      <c r="AD167" s="174"/>
      <c r="AE167" s="174"/>
      <c r="AF167" s="177" t="n">
        <f aca="false">AC96</f>
        <v>1102.87707687702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229" t="n">
        <f aca="false">K30</f>
        <v>10000</v>
      </c>
      <c r="C170" s="181"/>
      <c r="D170" s="23"/>
      <c r="E170" s="182" t="n">
        <f aca="false">IF(A111="YES", A40, 0)</f>
        <v>20000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20000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20000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20000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57993.33</v>
      </c>
      <c r="B173" s="103" t="n">
        <f aca="false">H137</f>
        <v>11598.666</v>
      </c>
      <c r="C173" s="186"/>
      <c r="D173" s="23"/>
      <c r="E173" s="182" t="n">
        <f aca="false">H139+H140</f>
        <v>650</v>
      </c>
      <c r="F173" s="23"/>
      <c r="G173" s="23"/>
      <c r="H173" s="33"/>
      <c r="J173" s="185" t="n">
        <f aca="false">Q141-Q137-Q139-Q140</f>
        <v>30012.5</v>
      </c>
      <c r="K173" s="103" t="n">
        <f aca="false">Q137</f>
        <v>6002.5</v>
      </c>
      <c r="L173" s="186"/>
      <c r="M173" s="23"/>
      <c r="N173" s="182" t="n">
        <f aca="false">Q139+Q140</f>
        <v>640</v>
      </c>
      <c r="O173" s="23"/>
      <c r="P173" s="23"/>
      <c r="Q173" s="33"/>
      <c r="S173" s="185" t="n">
        <f aca="false">Z141-Z137-Z139-Z140</f>
        <v>36523.9575</v>
      </c>
      <c r="T173" s="103" t="n">
        <f aca="false">Z137</f>
        <v>7304.7915</v>
      </c>
      <c r="U173" s="186"/>
      <c r="V173" s="23"/>
      <c r="W173" s="182" t="n">
        <f aca="false">Z139+Z140</f>
        <v>640</v>
      </c>
      <c r="X173" s="23"/>
      <c r="Y173" s="23"/>
      <c r="Z173" s="33"/>
      <c r="AB173" s="185" t="n">
        <f aca="false">AI141-AI137-AI139-AI140</f>
        <v>36523.9575</v>
      </c>
      <c r="AC173" s="103" t="n">
        <f aca="false">AI137</f>
        <v>7304.7915</v>
      </c>
      <c r="AD173" s="186"/>
      <c r="AE173" s="23"/>
      <c r="AF173" s="182" t="n">
        <f aca="false">AI139+AI140</f>
        <v>640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70241.996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n">
        <f aca="false">Q141</f>
        <v>36655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n">
        <f aca="false">Z141</f>
        <v>44468.749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n">
        <f aca="false">AI141</f>
        <v>44468.749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67741.996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n">
        <f aca="false">J176-J179-K179</f>
        <v>37655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n">
        <f aca="false">S176-S179-T179</f>
        <v>45468.749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n">
        <f aca="false">AB176-AB179-AC179</f>
        <v>45468.749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11961.3025959879</v>
      </c>
      <c r="B182" s="103" t="str">
        <f aca="false">B114</f>
        <v>199.99</v>
      </c>
      <c r="C182" s="103"/>
      <c r="D182" s="23"/>
      <c r="E182" s="103" t="n">
        <f aca="false">E179+A182+(B182*1.2)+A185</f>
        <v>79953.2865959879</v>
      </c>
      <c r="F182" s="23"/>
      <c r="G182" s="23"/>
      <c r="H182" s="105"/>
      <c r="J182" s="111" t="n">
        <f aca="false">(J167*K59)+N185-N179-J185</f>
        <v>34050.9572599531</v>
      </c>
      <c r="K182" s="103" t="n">
        <f aca="false">K114</f>
        <v>239.99</v>
      </c>
      <c r="L182" s="103"/>
      <c r="M182" s="23"/>
      <c r="N182" s="103" t="n">
        <f aca="false">N179+J182+K182+J185</f>
        <v>71965.9472599531</v>
      </c>
      <c r="O182" s="23"/>
      <c r="P182" s="23"/>
      <c r="Q182" s="105"/>
      <c r="S182" s="111" t="n">
        <f aca="false">(S167*T59)+W185-W179-S185</f>
        <v>13131.9486906957</v>
      </c>
      <c r="T182" s="103" t="n">
        <f aca="false">T114</f>
        <v>199.99</v>
      </c>
      <c r="U182" s="103"/>
      <c r="V182" s="23"/>
      <c r="W182" s="103" t="n">
        <f aca="false">W179+S182+T182+S185</f>
        <v>58810.6876906958</v>
      </c>
      <c r="X182" s="23"/>
      <c r="Y182" s="23"/>
      <c r="Z182" s="105"/>
      <c r="AB182" s="111" t="n">
        <f aca="false">(AB167*AC59)+AF185-AF179-AB185</f>
        <v>13131.9486906957</v>
      </c>
      <c r="AC182" s="103" t="n">
        <f aca="false">AC114</f>
        <v>239.99</v>
      </c>
      <c r="AD182" s="103"/>
      <c r="AE182" s="23"/>
      <c r="AF182" s="103" t="n">
        <f aca="false">AF179+AB182+AC182+AB185</f>
        <v>58850.6876906957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2239.988</v>
      </c>
      <c r="C185" s="103"/>
      <c r="D185" s="23"/>
      <c r="E185" s="103" t="n">
        <f aca="false">E170+A185</f>
        <v>20010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20020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20010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20010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</f>
        <v>0</v>
      </c>
      <c r="B188" s="103" t="n">
        <f aca="false">(G158*B67)/1.2</f>
        <v>564.516633333333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0.11707</v>
      </c>
      <c r="K188" s="103" t="n">
        <f aca="false">(P158*K67)/1.2</f>
        <v>2353.4375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n">
        <f aca="false">(Y158*T67)/1.2</f>
        <v>378.906241666667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n">
        <f aca="false">(AH158*AC67)/1.2</f>
        <v>378.906241666667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664.506633333333</v>
      </c>
      <c r="C191" s="93"/>
      <c r="D191" s="93"/>
      <c r="E191" s="103" t="n">
        <f aca="false">H148</f>
        <v>9755.83</v>
      </c>
      <c r="F191" s="23"/>
      <c r="G191" s="23"/>
      <c r="H191" s="33"/>
      <c r="J191" s="111" t="n">
        <f aca="false">K185-100</f>
        <v>1139.99</v>
      </c>
      <c r="K191" s="103" t="n">
        <f aca="false">K188+N188+J191</f>
        <v>3493.4275</v>
      </c>
      <c r="L191" s="93"/>
      <c r="M191" s="93"/>
      <c r="N191" s="103" t="n">
        <f aca="false">Q148</f>
        <v>-21880</v>
      </c>
      <c r="O191" s="23"/>
      <c r="P191" s="23"/>
      <c r="Q191" s="33"/>
      <c r="S191" s="111" t="n">
        <f aca="false">T185-100</f>
        <v>1099.99</v>
      </c>
      <c r="T191" s="103" t="n">
        <f aca="false">T188+W188+S191</f>
        <v>1478.89624166667</v>
      </c>
      <c r="U191" s="93"/>
      <c r="V191" s="93"/>
      <c r="W191" s="103" t="n">
        <f aca="false">Z148</f>
        <v>-14066.251</v>
      </c>
      <c r="X191" s="32"/>
      <c r="Y191" s="32"/>
      <c r="Z191" s="33"/>
      <c r="AB191" s="111" t="n">
        <f aca="false">AC185-100</f>
        <v>1139.99</v>
      </c>
      <c r="AC191" s="103" t="n">
        <f aca="false">AC188+AF188+AB191</f>
        <v>1518.89624166667</v>
      </c>
      <c r="AD191" s="93"/>
      <c r="AE191" s="93"/>
      <c r="AF191" s="103" t="n">
        <f aca="false">AI148</f>
        <v>-14066.251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1705.80853131394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n">
        <f aca="false">K96</f>
        <v>1477.31306457009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n">
        <f aca="false">T96</f>
        <v>1102.87707687702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n">
        <f aca="false">AC96</f>
        <v>1102.87707687702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8687.06782275053</v>
      </c>
      <c r="B201" s="186" t="n">
        <f aca="false">E179+A201+(B182*1.2)+A185</f>
        <v>76679.0518227505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1705.80853131394</v>
      </c>
      <c r="B212" s="177" t="str">
        <f aca="false">B167</f>
        <v>0</v>
      </c>
      <c r="C212" s="174"/>
      <c r="D212" s="174"/>
      <c r="E212" s="177" t="n">
        <f aca="false">E167</f>
        <v>1705.80853131394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57993.33</v>
      </c>
      <c r="B215" s="103" t="n">
        <f aca="false">B173</f>
        <v>11598.666</v>
      </c>
      <c r="C215" s="186"/>
      <c r="D215" s="113"/>
      <c r="E215" s="182" t="n">
        <f aca="false">E173</f>
        <v>650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70241.996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67741.996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11961.3025959879</v>
      </c>
      <c r="B224" s="103" t="str">
        <f aca="false">B182</f>
        <v>199.99</v>
      </c>
      <c r="C224" s="103"/>
      <c r="D224" s="113"/>
      <c r="E224" s="103" t="n">
        <f aca="false">E182</f>
        <v>79953.2865959879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2239.988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1705.80853131394</v>
      </c>
      <c r="B230" s="103" t="str">
        <f aca="false">B167</f>
        <v>0</v>
      </c>
      <c r="C230" s="186"/>
      <c r="D230" s="186"/>
      <c r="E230" s="103" t="n">
        <f aca="false">E167</f>
        <v>1705.80853131394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20000</v>
      </c>
      <c r="B233" s="103" t="n">
        <f aca="false">E185</f>
        <v>20010</v>
      </c>
      <c r="C233" s="93"/>
      <c r="D233" s="93"/>
      <c r="E233" s="103" t="n">
        <f aca="false">A188</f>
        <v>0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9755.83</v>
      </c>
      <c r="B240" s="103" t="n">
        <f aca="false">B68</f>
        <v>564.516633333333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10420.3366333333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0.065</v>
      </c>
      <c r="C253" s="197"/>
      <c r="D253" s="198" t="s">
        <v>214</v>
      </c>
      <c r="E253" s="198"/>
      <c r="F253" s="196" t="n">
        <f aca="false">B83</f>
        <v>0.089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3284.2347732374</v>
      </c>
      <c r="C254" s="197"/>
      <c r="D254" s="198" t="s">
        <v>216</v>
      </c>
      <c r="E254" s="198"/>
      <c r="F254" s="200" t="n">
        <f aca="false">F261+F267+F269+B270+B271</f>
        <v>677.41996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2706.8048132374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0.024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0.089</v>
      </c>
      <c r="C260" s="43"/>
      <c r="D260" s="166" t="s">
        <v>215</v>
      </c>
      <c r="E260" s="166"/>
      <c r="F260" s="146" t="n">
        <f aca="false">B254</f>
        <v>3284.2347732374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677.41996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2706.8048132374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45" colorId="64" zoomScale="85" zoomScaleNormal="85" zoomScalePageLayoutView="100" workbookViewId="0">
      <selection pane="topLeft" activeCell="G168" activeCellId="0" sqref="G168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16745</v>
      </c>
      <c r="C3" s="441" t="n">
        <v>0</v>
      </c>
      <c r="D3" s="441" t="n">
        <v>0</v>
      </c>
      <c r="E3" s="441"/>
      <c r="F3" s="441" t="n">
        <v>0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</v>
      </c>
      <c r="C4" s="124" t="n">
        <v>0</v>
      </c>
      <c r="D4" s="124" t="n">
        <v>0</v>
      </c>
      <c r="E4" s="124"/>
      <c r="F4" s="124" t="n">
        <v>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</v>
      </c>
      <c r="C5" s="441" t="n">
        <v>0</v>
      </c>
      <c r="D5" s="441" t="n">
        <v>0</v>
      </c>
      <c r="E5" s="441"/>
      <c r="F5" s="441" t="n">
        <v>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16745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0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340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16745</v>
      </c>
      <c r="F9" s="152"/>
      <c r="G9" s="136"/>
      <c r="H9" s="443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695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275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21268</v>
      </c>
      <c r="I15" s="2"/>
      <c r="J15" s="17" t="n">
        <f aca="false">H15</f>
        <v>21268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21268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28</v>
      </c>
      <c r="K29" s="448" t="n">
        <v>34</v>
      </c>
      <c r="P29" s="212"/>
    </row>
    <row r="30" customFormat="false" ht="17.9" hidden="false" customHeight="false" outlineLevel="0" collapsed="false">
      <c r="A30" s="31" t="s">
        <v>181</v>
      </c>
      <c r="B30" s="104" t="s">
        <v>349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 t="n">
        <v>0</v>
      </c>
      <c r="J32" s="29" t="s">
        <v>36</v>
      </c>
      <c r="K32" s="449" t="n">
        <v>3382</v>
      </c>
      <c r="P32" s="212"/>
    </row>
    <row r="33" customFormat="false" ht="34.8" hidden="false" customHeight="false" outlineLevel="0" collapsed="false">
      <c r="A33" s="179" t="n">
        <f aca="false">A52</f>
        <v>34</v>
      </c>
      <c r="B33" s="232" t="n">
        <f aca="false">B51</f>
        <v>35000</v>
      </c>
      <c r="C33" s="93"/>
      <c r="D33" s="93"/>
      <c r="E33" s="232" t="n">
        <f aca="false">K48</f>
        <v>598.851262636909</v>
      </c>
      <c r="F33" s="232"/>
      <c r="G33" s="232"/>
      <c r="H33" s="47"/>
      <c r="I33" s="2"/>
      <c r="J33" s="34" t="s">
        <v>356</v>
      </c>
      <c r="K33" s="48" t="n">
        <f aca="false">H21-H11+(H16*20%)</f>
        <v>17780</v>
      </c>
      <c r="L33" s="1" t="n">
        <f aca="false">H21-H11+(H16*20%)</f>
        <v>17780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573.983615578085</v>
      </c>
      <c r="B36" s="232" t="n">
        <f aca="false">IF(B26="YES", K42, "0.00")</f>
        <v>24.8676470588235</v>
      </c>
      <c r="C36" s="232"/>
      <c r="D36" s="232"/>
      <c r="E36" s="232" t="n">
        <f aca="false">K31</f>
        <v>0</v>
      </c>
      <c r="F36" s="232"/>
      <c r="G36" s="232"/>
      <c r="H36" s="47"/>
      <c r="I36" s="2"/>
      <c r="J36" s="2" t="s">
        <v>50</v>
      </c>
      <c r="K36" s="2" t="n">
        <f aca="false">K29</f>
        <v>34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17780</v>
      </c>
      <c r="L39" s="2" t="n">
        <f aca="false">(L47*K46)+K44</f>
        <v>24010.8826476062</v>
      </c>
      <c r="N39" s="1" t="n">
        <f aca="false">K39-L39</f>
        <v>-6230.8826476062</v>
      </c>
      <c r="P39" s="212"/>
    </row>
    <row r="40" customFormat="false" ht="17.35" hidden="false" customHeight="false" outlineLevel="0" collapsed="false">
      <c r="A40" s="107" t="n">
        <f aca="false">E36*A45/100</f>
        <v>0</v>
      </c>
      <c r="B40" s="107" t="n">
        <f aca="false">IF(B26="YES", K42, "0.00")</f>
        <v>24.8676470588235</v>
      </c>
      <c r="C40" s="107"/>
      <c r="D40" s="107"/>
      <c r="E40" s="182" t="n">
        <f aca="false">K32</f>
        <v>3382</v>
      </c>
      <c r="F40" s="186"/>
      <c r="G40" s="186"/>
      <c r="H40" s="47"/>
      <c r="J40" s="2" t="s">
        <v>106</v>
      </c>
      <c r="K40" s="2" t="n">
        <f aca="false">(A40)/1.2</f>
        <v>0</v>
      </c>
      <c r="L40" s="2" t="n">
        <f aca="false">K39-L39</f>
        <v>-6230.8826476062</v>
      </c>
      <c r="N40" s="1" t="n">
        <f aca="false">N38-N39</f>
        <v>9142.5626476062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(K32/K36/100)*C45</f>
        <v>24.8676470588235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0</v>
      </c>
      <c r="L44" s="2"/>
      <c r="P44" s="212"/>
    </row>
    <row r="45" customFormat="false" ht="17.35" hidden="false" customHeight="false" outlineLevel="0" collapsed="false">
      <c r="A45" s="505" t="n">
        <v>30</v>
      </c>
      <c r="B45" s="93"/>
      <c r="C45" s="506" t="n">
        <v>25</v>
      </c>
      <c r="D45" s="506"/>
      <c r="E45" s="506"/>
      <c r="F45" s="93"/>
      <c r="G45" s="93"/>
      <c r="H45" s="33"/>
      <c r="J45" s="2" t="s">
        <v>367</v>
      </c>
      <c r="K45" s="2" t="n">
        <f aca="false">(K39-K44)</f>
        <v>17780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30.9764939580949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573.983615578085</v>
      </c>
      <c r="L47" s="2" t="n">
        <f aca="false">L49-K42</f>
        <v>775.132352941176</v>
      </c>
      <c r="M47" s="1" t="n">
        <f aca="false">K47-L47</f>
        <v>-201.148737363091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598.851262636909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34</v>
      </c>
      <c r="B52" s="74" t="n">
        <f aca="false">K48</f>
        <v>598.851262636909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33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33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33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33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20928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20928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20928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20928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0.024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1160.82829250472</v>
      </c>
      <c r="C65" s="93"/>
      <c r="D65" s="93"/>
      <c r="E65" s="113"/>
      <c r="F65" s="113"/>
      <c r="G65" s="113"/>
      <c r="H65" s="33"/>
      <c r="J65" s="56" t="s">
        <v>90</v>
      </c>
      <c r="K65" s="65" t="n">
        <f aca="false">(K89*K59)-(K47*K29)</f>
        <v>29676.2471821201</v>
      </c>
      <c r="L65" s="93"/>
      <c r="M65" s="93"/>
      <c r="N65" s="113"/>
      <c r="O65" s="113"/>
      <c r="P65" s="113"/>
      <c r="Q65" s="33"/>
      <c r="S65" s="56" t="s">
        <v>90</v>
      </c>
      <c r="T65" s="65" t="n">
        <f aca="false">(T89*T59)-(K47*K29)</f>
        <v>7051.85981689834</v>
      </c>
      <c r="U65" s="93"/>
      <c r="V65" s="93"/>
      <c r="W65" s="113"/>
      <c r="X65" s="113"/>
      <c r="Y65" s="113"/>
      <c r="Z65" s="33"/>
      <c r="AB65" s="56" t="s">
        <v>90</v>
      </c>
      <c r="AC65" s="65" t="n">
        <f aca="false">(AC89*AC59)-(K47*K29)</f>
        <v>1102.30852734547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0.00958333333333333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0.0729166666666667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0.00958333333333333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0.00958333333333333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149.883333333333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1526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200.56</v>
      </c>
      <c r="U68" s="93"/>
      <c r="V68" s="93"/>
      <c r="W68" s="113"/>
      <c r="X68" s="113"/>
      <c r="Y68" s="113"/>
      <c r="Z68" s="33"/>
      <c r="AB68" s="56" t="s">
        <v>93</v>
      </c>
      <c r="AC68" s="65" t="n">
        <f aca="false">AH158*AC67</f>
        <v>165.163958333333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B73*B29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11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113"/>
      <c r="G77" s="11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B77/H29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573.983615578085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573.983615578085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598.851262636909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598.851262636909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18768</v>
      </c>
      <c r="C81" s="93"/>
      <c r="D81" s="93"/>
      <c r="E81" s="113"/>
      <c r="F81" s="25" t="s">
        <v>105</v>
      </c>
      <c r="G81" s="27" t="n">
        <f aca="false">G158</f>
        <v>18768</v>
      </c>
      <c r="H81" s="33"/>
      <c r="J81" s="25" t="s">
        <v>105</v>
      </c>
      <c r="K81" s="27" t="n">
        <f aca="false">P158</f>
        <v>36519.004</v>
      </c>
      <c r="L81" s="93"/>
      <c r="M81" s="93"/>
      <c r="N81" s="113"/>
      <c r="O81" s="113"/>
      <c r="P81" s="113"/>
      <c r="Q81" s="33"/>
      <c r="S81" s="25" t="s">
        <v>105</v>
      </c>
      <c r="T81" s="27" t="n">
        <f aca="false">Y158</f>
        <v>22207.765</v>
      </c>
      <c r="U81" s="93"/>
      <c r="V81" s="93"/>
      <c r="W81" s="113"/>
      <c r="X81" s="113"/>
      <c r="Y81" s="113"/>
      <c r="Z81" s="33"/>
      <c r="AB81" s="25" t="s">
        <v>105</v>
      </c>
      <c r="AC81" s="27" t="n">
        <f aca="false">AH158</f>
        <v>17234.5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0</v>
      </c>
      <c r="C82" s="93"/>
      <c r="D82" s="93"/>
      <c r="E82" s="113"/>
      <c r="F82" s="31" t="s">
        <v>106</v>
      </c>
      <c r="G82" s="33" t="n">
        <f aca="false">IF(A111 = "Yes", A40, 0)</f>
        <v>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2" t="n">
        <f aca="false">B62+B63+B64</f>
        <v>0.089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0.00741666666666667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34</v>
      </c>
      <c r="C85" s="93"/>
      <c r="D85" s="93"/>
      <c r="E85" s="113"/>
      <c r="F85" s="31" t="s">
        <v>109</v>
      </c>
      <c r="G85" s="33" t="n">
        <f aca="false">IF(G82=0, (B59+B58), (B59))</f>
        <v>34</v>
      </c>
      <c r="H85" s="33"/>
      <c r="J85" s="31" t="s">
        <v>109</v>
      </c>
      <c r="K85" s="33" t="n">
        <f aca="false">IF(K82=0, (K59+K58), (K59))</f>
        <v>34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33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33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0</v>
      </c>
      <c r="C86" s="93"/>
      <c r="D86" s="93"/>
      <c r="E86" s="113"/>
      <c r="F86" s="31" t="s">
        <v>110</v>
      </c>
      <c r="G86" s="33" t="n">
        <f aca="false">(G82/((1+G84)^(G85+1)))</f>
        <v>0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0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0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29.9543371890103</v>
      </c>
      <c r="C87" s="93"/>
      <c r="D87" s="93"/>
      <c r="E87" s="113"/>
      <c r="F87" s="31" t="s">
        <v>111</v>
      </c>
      <c r="G87" s="33" t="n">
        <f aca="false">((1-(1/((1+G84)^G85)))/G84)</f>
        <v>30.9764939580949</v>
      </c>
      <c r="H87" s="33"/>
      <c r="J87" s="31" t="s">
        <v>111</v>
      </c>
      <c r="K87" s="33" t="n">
        <f aca="false">((1-(1/((1+K84)^K85)))/K84)</f>
        <v>24.4985917186759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27.5848945597264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27.5848945597264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18768</v>
      </c>
      <c r="C88" s="93"/>
      <c r="D88" s="93"/>
      <c r="E88" s="113"/>
      <c r="F88" s="31" t="s">
        <v>112</v>
      </c>
      <c r="G88" s="33" t="n">
        <f aca="false">G81-G86</f>
        <v>18768</v>
      </c>
      <c r="H88" s="33"/>
      <c r="J88" s="31" t="s">
        <v>112</v>
      </c>
      <c r="K88" s="33" t="n">
        <f aca="false">K81-K86</f>
        <v>36519.004</v>
      </c>
      <c r="L88" s="93"/>
      <c r="M88" s="93"/>
      <c r="N88" s="113"/>
      <c r="O88" s="113"/>
      <c r="P88" s="113"/>
      <c r="Q88" s="33"/>
      <c r="S88" s="31" t="s">
        <v>112</v>
      </c>
      <c r="T88" s="33" t="n">
        <f aca="false">T81-T86</f>
        <v>22207.765</v>
      </c>
      <c r="U88" s="93"/>
      <c r="V88" s="93"/>
      <c r="W88" s="113"/>
      <c r="X88" s="113"/>
      <c r="Y88" s="113"/>
      <c r="Z88" s="33"/>
      <c r="AB88" s="31" t="s">
        <v>112</v>
      </c>
      <c r="AC88" s="33" t="n">
        <f aca="false">AC81-AC86</f>
        <v>17234.5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626.553673398776</v>
      </c>
      <c r="C89" s="93"/>
      <c r="D89" s="93"/>
      <c r="E89" s="113"/>
      <c r="F89" s="31" t="s">
        <v>113</v>
      </c>
      <c r="G89" s="33" t="n">
        <f aca="false">(G88/G87)</f>
        <v>605.87876811977</v>
      </c>
      <c r="H89" s="33"/>
      <c r="J89" s="31" t="s">
        <v>113</v>
      </c>
      <c r="K89" s="33" t="n">
        <f aca="false">(K88/K87)</f>
        <v>1490.65727611439</v>
      </c>
      <c r="L89" s="93"/>
      <c r="M89" s="93"/>
      <c r="N89" s="113"/>
      <c r="O89" s="113"/>
      <c r="P89" s="113"/>
      <c r="Q89" s="33"/>
      <c r="S89" s="31" t="s">
        <v>113</v>
      </c>
      <c r="T89" s="33" t="n">
        <f aca="false">(T88/T87)</f>
        <v>805.069780198583</v>
      </c>
      <c r="U89" s="93"/>
      <c r="V89" s="93"/>
      <c r="W89" s="113"/>
      <c r="X89" s="113"/>
      <c r="Y89" s="113"/>
      <c r="Z89" s="33"/>
      <c r="AB89" s="31" t="s">
        <v>113</v>
      </c>
      <c r="AC89" s="33" t="n">
        <f aca="false">(AC88/AC87)</f>
        <v>624.78034718183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21302.8248955584</v>
      </c>
      <c r="C90" s="93"/>
      <c r="D90" s="93"/>
      <c r="E90" s="113"/>
      <c r="F90" s="31" t="s">
        <v>114</v>
      </c>
      <c r="G90" s="33" t="n">
        <f aca="false">((G89*(G85))+G77)</f>
        <v>20599.8781160722</v>
      </c>
      <c r="H90" s="33"/>
      <c r="J90" s="31" t="s">
        <v>114</v>
      </c>
      <c r="K90" s="33" t="n">
        <f aca="false">((K89*(K85))+K77)</f>
        <v>50682.3473878894</v>
      </c>
      <c r="L90" s="93"/>
      <c r="M90" s="93"/>
      <c r="N90" s="113"/>
      <c r="O90" s="113"/>
      <c r="P90" s="113"/>
      <c r="Q90" s="33"/>
      <c r="S90" s="31" t="s">
        <v>114</v>
      </c>
      <c r="T90" s="33" t="n">
        <f aca="false">(T89*(T85))+T77</f>
        <v>26567.3027465532</v>
      </c>
      <c r="U90" s="93"/>
      <c r="V90" s="93"/>
      <c r="W90" s="113"/>
      <c r="X90" s="113"/>
      <c r="Y90" s="113"/>
      <c r="Z90" s="33"/>
      <c r="AB90" s="31" t="s">
        <v>114</v>
      </c>
      <c r="AC90" s="33" t="n">
        <f aca="false">(AC89*(AC59))+AC77</f>
        <v>20617.7514570004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(B90/(1-B71))*B71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n">
        <f aca="false">(K90/(1-K71))*K71</f>
        <v>0</v>
      </c>
      <c r="L91" s="93"/>
      <c r="M91" s="93"/>
      <c r="N91" s="113"/>
      <c r="O91" s="113"/>
      <c r="P91" s="113"/>
      <c r="Q91" s="33"/>
      <c r="S91" s="31" t="s">
        <v>115</v>
      </c>
      <c r="T91" s="33" t="n">
        <f aca="false">(T90/(1-T71))*T71</f>
        <v>0</v>
      </c>
      <c r="U91" s="93"/>
      <c r="V91" s="93"/>
      <c r="W91" s="113"/>
      <c r="X91" s="113"/>
      <c r="Y91" s="113"/>
      <c r="Z91" s="33"/>
      <c r="AB91" s="31" t="s">
        <v>115</v>
      </c>
      <c r="AC91" s="33" t="n">
        <f aca="false">(AC90/(1-AC71))*AC71</f>
        <v>0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21302.8248955584</v>
      </c>
      <c r="C92" s="93"/>
      <c r="D92" s="93"/>
      <c r="E92" s="113"/>
      <c r="F92" s="56" t="s">
        <v>116</v>
      </c>
      <c r="G92" s="65" t="n">
        <f aca="false">(G90+G91)</f>
        <v>20599.8781160722</v>
      </c>
      <c r="H92" s="33"/>
      <c r="J92" s="56" t="s">
        <v>116</v>
      </c>
      <c r="K92" s="65" t="n">
        <f aca="false">(K90+K91)</f>
        <v>50682.3473878894</v>
      </c>
      <c r="L92" s="93"/>
      <c r="M92" s="93"/>
      <c r="N92" s="113"/>
      <c r="O92" s="113"/>
      <c r="P92" s="113"/>
      <c r="Q92" s="33"/>
      <c r="S92" s="56" t="s">
        <v>116</v>
      </c>
      <c r="T92" s="65" t="n">
        <f aca="false">(T90+T91)</f>
        <v>26567.3027465532</v>
      </c>
      <c r="U92" s="93"/>
      <c r="V92" s="93"/>
      <c r="W92" s="113"/>
      <c r="X92" s="113"/>
      <c r="Y92" s="113"/>
      <c r="Z92" s="33"/>
      <c r="AB92" s="56" t="s">
        <v>116</v>
      </c>
      <c r="AC92" s="65" t="n">
        <f aca="false">(AC90+AC91)</f>
        <v>20617.7514570004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89" t="n">
        <f aca="false">IF(B26="YES",((E40/B85)*(1+A108)*1.2*(C45/100)),"0")</f>
        <v>35.8094117647059</v>
      </c>
      <c r="C94" s="93"/>
      <c r="D94" s="93"/>
      <c r="E94" s="113"/>
      <c r="F94" s="88" t="s">
        <v>117</v>
      </c>
      <c r="G94" s="94" t="n">
        <f aca="false">IF(B26="YES",((E40/B85)*(1+A108)*(C45/100)),"0")</f>
        <v>29.8411764705882</v>
      </c>
      <c r="H94" s="33"/>
      <c r="J94" s="88" t="s">
        <v>117</v>
      </c>
      <c r="K94" s="89" t="n">
        <f aca="false">((E40/K85)*(1+J108))*1.2</f>
        <v>155.174117647059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122.981818181818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147.578181818182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626.553673398776</v>
      </c>
      <c r="C95" s="93"/>
      <c r="D95" s="93"/>
      <c r="E95" s="113"/>
      <c r="F95" s="95" t="s">
        <v>118</v>
      </c>
      <c r="G95" s="96" t="n">
        <f aca="false">G92/(G85)</f>
        <v>605.87876811977</v>
      </c>
      <c r="H95" s="33"/>
      <c r="J95" s="95" t="s">
        <v>118</v>
      </c>
      <c r="K95" s="96" t="n">
        <f aca="false">K92/(K85)</f>
        <v>1490.65727611439</v>
      </c>
      <c r="L95" s="93"/>
      <c r="M95" s="93"/>
      <c r="N95" s="113"/>
      <c r="O95" s="113"/>
      <c r="P95" s="113"/>
      <c r="Q95" s="33"/>
      <c r="S95" s="95" t="s">
        <v>118</v>
      </c>
      <c r="T95" s="96" t="n">
        <f aca="false">T92/(T85)</f>
        <v>805.069780198583</v>
      </c>
      <c r="U95" s="93"/>
      <c r="V95" s="93"/>
      <c r="W95" s="113"/>
      <c r="X95" s="113"/>
      <c r="Y95" s="113"/>
      <c r="Z95" s="33"/>
      <c r="AB95" s="95" t="s">
        <v>118</v>
      </c>
      <c r="AC95" s="96" t="n">
        <f aca="false">AC92/(AC59)</f>
        <v>624.78034718183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(B94+B95)</f>
        <v>662.363085163482</v>
      </c>
      <c r="C96" s="93"/>
      <c r="D96" s="93"/>
      <c r="E96" s="113"/>
      <c r="F96" s="97" t="s">
        <v>119</v>
      </c>
      <c r="G96" s="98" t="n">
        <f aca="false">G94+G95</f>
        <v>635.719944590358</v>
      </c>
      <c r="H96" s="33"/>
      <c r="J96" s="97" t="s">
        <v>119</v>
      </c>
      <c r="K96" s="98" t="n">
        <f aca="false">(K94+K95)</f>
        <v>1645.83139376145</v>
      </c>
      <c r="L96" s="93"/>
      <c r="M96" s="93"/>
      <c r="N96" s="113"/>
      <c r="O96" s="113"/>
      <c r="P96" s="113"/>
      <c r="Q96" s="33"/>
      <c r="S96" s="97" t="s">
        <v>119</v>
      </c>
      <c r="T96" s="98" t="n">
        <f aca="false">T94+T95</f>
        <v>928.051598380401</v>
      </c>
      <c r="U96" s="93"/>
      <c r="V96" s="93"/>
      <c r="W96" s="113"/>
      <c r="X96" s="113"/>
      <c r="Y96" s="113"/>
      <c r="Z96" s="33"/>
      <c r="AB96" s="97" t="s">
        <v>119</v>
      </c>
      <c r="AC96" s="98" t="n">
        <f aca="false">AC94+AC95</f>
        <v>772.358529000011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121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18</v>
      </c>
      <c r="F105" s="104"/>
      <c r="G105" s="104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s">
        <v>273</v>
      </c>
      <c r="C108" s="107"/>
      <c r="D108" s="107"/>
      <c r="E108" s="108" t="n">
        <f aca="false">B83</f>
        <v>0.089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</v>
      </c>
      <c r="C111" s="107"/>
      <c r="D111" s="107"/>
      <c r="E111" s="107" t="n">
        <v>1000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B3</f>
        <v>16745</v>
      </c>
      <c r="C121" s="121" t="n">
        <f aca="false">B121</f>
        <v>16745</v>
      </c>
      <c r="D121" s="120" t="n">
        <f aca="false">D3</f>
        <v>0</v>
      </c>
      <c r="E121" s="121" t="n">
        <f aca="false">D121</f>
        <v>0</v>
      </c>
      <c r="F121" s="120" t="n">
        <f aca="false">F3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16745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n">
        <f aca="false">F3</f>
        <v>0</v>
      </c>
      <c r="P121" s="121" t="n">
        <f aca="false">O121</f>
        <v>0</v>
      </c>
      <c r="Q121" s="122" t="n">
        <f aca="false">H3</f>
        <v>0</v>
      </c>
      <c r="S121" s="25" t="s">
        <v>149</v>
      </c>
      <c r="T121" s="120" t="n">
        <f aca="false">B3</f>
        <v>16745</v>
      </c>
      <c r="U121" s="121" t="n">
        <f aca="false">T121</f>
        <v>16745</v>
      </c>
      <c r="V121" s="120" t="n">
        <f aca="false">D3</f>
        <v>0</v>
      </c>
      <c r="W121" s="121" t="n">
        <f aca="false">V121</f>
        <v>0</v>
      </c>
      <c r="X121" s="120" t="n">
        <f aca="false">F3</f>
        <v>0</v>
      </c>
      <c r="Y121" s="121" t="n">
        <f aca="false">X121</f>
        <v>0</v>
      </c>
      <c r="Z121" s="122" t="n">
        <f aca="false">H3</f>
        <v>0</v>
      </c>
      <c r="AB121" s="25" t="s">
        <v>149</v>
      </c>
      <c r="AC121" s="120" t="n">
        <f aca="false">B3</f>
        <v>16745</v>
      </c>
      <c r="AD121" s="121" t="n">
        <f aca="false">AC121</f>
        <v>16745</v>
      </c>
      <c r="AE121" s="120" t="n">
        <f aca="false">D3</f>
        <v>0</v>
      </c>
      <c r="AF121" s="121" t="n">
        <f aca="false">AE121</f>
        <v>0</v>
      </c>
      <c r="AG121" s="120" t="n">
        <f aca="false">F3</f>
        <v>0</v>
      </c>
      <c r="AH121" s="121" t="n">
        <f aca="false">AG121</f>
        <v>0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v>0</v>
      </c>
      <c r="D122" s="123" t="n">
        <f aca="false">D4</f>
        <v>0</v>
      </c>
      <c r="E122" s="124" t="n">
        <v>0</v>
      </c>
      <c r="F122" s="123" t="n">
        <f aca="false">F4</f>
        <v>0</v>
      </c>
      <c r="G122" s="452" t="n">
        <v>0</v>
      </c>
      <c r="H122" s="126"/>
      <c r="J122" s="31" t="s">
        <v>150</v>
      </c>
      <c r="K122" s="123" t="n">
        <f aca="false">B4</f>
        <v>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n">
        <f aca="false">F4</f>
        <v>0</v>
      </c>
      <c r="P122" s="452" t="n">
        <f aca="false">O122</f>
        <v>0</v>
      </c>
      <c r="Q122" s="126"/>
      <c r="S122" s="31" t="s">
        <v>150</v>
      </c>
      <c r="T122" s="123" t="n">
        <f aca="false">B4</f>
        <v>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n">
        <f aca="false">F4</f>
        <v>0</v>
      </c>
      <c r="Y122" s="452" t="n">
        <f aca="false">X122</f>
        <v>0</v>
      </c>
      <c r="Z122" s="126"/>
      <c r="AB122" s="31" t="s">
        <v>150</v>
      </c>
      <c r="AC122" s="123" t="n">
        <f aca="false">B4</f>
        <v>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n">
        <f aca="false">F4</f>
        <v>0</v>
      </c>
      <c r="AH122" s="452" t="n">
        <f aca="false">AG122</f>
        <v>0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v>0</v>
      </c>
      <c r="D123" s="130" t="n">
        <f aca="false">D5</f>
        <v>0</v>
      </c>
      <c r="E123" s="121" t="n">
        <v>0</v>
      </c>
      <c r="F123" s="130" t="n">
        <f aca="false">F5</f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n">
        <f aca="false">F5</f>
        <v>0</v>
      </c>
      <c r="P123" s="121" t="n">
        <f aca="false">O123</f>
        <v>0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n">
        <f aca="false">F5</f>
        <v>0</v>
      </c>
      <c r="Y123" s="121" t="n">
        <f aca="false">X123</f>
        <v>0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n">
        <f aca="false">F5</f>
        <v>0</v>
      </c>
      <c r="AH123" s="121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n">
        <f aca="false">(O121*O122)+O123</f>
        <v>0</v>
      </c>
      <c r="P124" s="131" t="n">
        <f aca="false">(P121*P122)+P123</f>
        <v>0</v>
      </c>
      <c r="Q124" s="33"/>
      <c r="S124" s="31" t="s">
        <v>152</v>
      </c>
      <c r="T124" s="130" t="n">
        <f aca="false">(T121*T122)+T123</f>
        <v>0</v>
      </c>
      <c r="U124" s="131" t="n">
        <f aca="false">(U121*U122/100)+U123</f>
        <v>41.8625</v>
      </c>
      <c r="V124" s="130" t="n">
        <f aca="false">(V121*V122)+V123</f>
        <v>0</v>
      </c>
      <c r="W124" s="131" t="n">
        <f aca="false">(W121*W122/100)+W123</f>
        <v>0</v>
      </c>
      <c r="X124" s="130" t="n">
        <f aca="false">(X121*X122)+X123</f>
        <v>0</v>
      </c>
      <c r="Y124" s="131" t="n">
        <f aca="false">(Y121*Y122/100)+Y123</f>
        <v>0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4186.25</v>
      </c>
      <c r="AE124" s="130" t="n">
        <f aca="false">(AE121*AE122)+AE123</f>
        <v>0</v>
      </c>
      <c r="AF124" s="131" t="n">
        <f aca="false">(AF121*AF122)+AF123</f>
        <v>0</v>
      </c>
      <c r="AG124" s="130" t="n">
        <f aca="false">(AG121*AG122)+AG123</f>
        <v>0</v>
      </c>
      <c r="AH124" s="131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16745</v>
      </c>
      <c r="C125" s="133" t="n">
        <f aca="false">C121-C124</f>
        <v>16745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16745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n">
        <f aca="false">O121-O124</f>
        <v>0</v>
      </c>
      <c r="P125" s="133" t="n">
        <f aca="false">P121-P124</f>
        <v>0</v>
      </c>
      <c r="Q125" s="65"/>
      <c r="S125" s="56" t="s">
        <v>153</v>
      </c>
      <c r="T125" s="132" t="n">
        <f aca="false">T121-T124</f>
        <v>16745</v>
      </c>
      <c r="U125" s="133" t="n">
        <f aca="false">U121-U124</f>
        <v>16703.1375</v>
      </c>
      <c r="V125" s="132" t="n">
        <f aca="false">V121-V124</f>
        <v>0</v>
      </c>
      <c r="W125" s="133" t="n">
        <f aca="false">W121-W124</f>
        <v>0</v>
      </c>
      <c r="X125" s="132" t="n">
        <f aca="false">X121-X124</f>
        <v>0</v>
      </c>
      <c r="Y125" s="133" t="n">
        <f aca="false">Y121-Y124</f>
        <v>0</v>
      </c>
      <c r="Z125" s="65"/>
      <c r="AB125" s="56" t="s">
        <v>153</v>
      </c>
      <c r="AC125" s="132" t="n">
        <f aca="false">AC121-AC124</f>
        <v>16745</v>
      </c>
      <c r="AD125" s="133" t="n">
        <f aca="false">AD121-AD124</f>
        <v>12558.75</v>
      </c>
      <c r="AE125" s="132" t="n">
        <f aca="false">AE121-AE124</f>
        <v>0</v>
      </c>
      <c r="AF125" s="133" t="n">
        <f aca="false">AF121-AF124</f>
        <v>0</v>
      </c>
      <c r="AG125" s="132" t="n">
        <f aca="false">AG121-AG124</f>
        <v>0</v>
      </c>
      <c r="AH125" s="133" t="n">
        <f aca="false">AH121-AH124</f>
        <v>0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16745</v>
      </c>
      <c r="H135" s="153" t="n">
        <f aca="false">C125+E125+G125+H128</f>
        <v>16745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16745</v>
      </c>
      <c r="Q135" s="153" t="n">
        <f aca="false">L125+N125+P125+Q128</f>
        <v>28629.17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16745</v>
      </c>
      <c r="Z135" s="153" t="n">
        <f aca="false">U125+W125+Y125+Z128</f>
        <v>16703.1375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16745</v>
      </c>
      <c r="AI135" s="153" t="n">
        <f aca="false">AD125+AF125+AH125+AI128</f>
        <v>12558.75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695</v>
      </c>
      <c r="H136" s="33" t="n">
        <f aca="false">G136</f>
        <v>695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695</v>
      </c>
      <c r="Q136" s="33" t="n">
        <f aca="false">P136</f>
        <v>695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695</v>
      </c>
      <c r="Z136" s="33" t="n">
        <f aca="false">Y136</f>
        <v>695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695</v>
      </c>
      <c r="AI136" s="33" t="n">
        <f aca="false">AH136</f>
        <v>695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3488</v>
      </c>
      <c r="H137" s="33" t="n">
        <f aca="false">(H135+H136)*20%</f>
        <v>3488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3488</v>
      </c>
      <c r="Q137" s="33" t="n">
        <f aca="false">(Q135+Q136)*20%</f>
        <v>5864.834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3488</v>
      </c>
      <c r="Z137" s="33" t="n">
        <f aca="false">(Z135+Z136)*20%</f>
        <v>3479.6275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3488</v>
      </c>
      <c r="AI137" s="33" t="n">
        <f aca="false">(AI135+AI136)*20%</f>
        <v>2650.75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f aca="false">G138</f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275</v>
      </c>
      <c r="H139" s="33" t="n">
        <f aca="false">G139</f>
        <v>275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275</v>
      </c>
      <c r="Q139" s="33" t="n">
        <f aca="false">P139</f>
        <v>275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275</v>
      </c>
      <c r="Z139" s="33" t="n">
        <f aca="false">Y139</f>
        <v>275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275</v>
      </c>
      <c r="AI139" s="33" t="n">
        <f aca="false">AH139</f>
        <v>275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65</v>
      </c>
      <c r="H140" s="33" t="n">
        <f aca="false">G140</f>
        <v>65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65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65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65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21268</v>
      </c>
      <c r="H141" s="157" t="n">
        <f aca="false">(H135+H136+H139+H140+H137)-H138</f>
        <v>21268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21268</v>
      </c>
      <c r="Q141" s="157" t="n">
        <f aca="false">(Q135+Q136+Q139+Q140+Q137)-Q138</f>
        <v>35519.004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21268</v>
      </c>
      <c r="Z141" s="157" t="n">
        <f aca="false">(Z135+Z136+Z139+Z140+Z137)-Z138</f>
        <v>21207.765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21268</v>
      </c>
      <c r="AI141" s="157" t="n">
        <f aca="false">(AI135+AI136+AI139+AI140+AI137)-AI138</f>
        <v>16234.5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s">
        <v>170</v>
      </c>
      <c r="C144" s="161"/>
      <c r="D144" s="161"/>
      <c r="E144" s="161"/>
      <c r="F144" s="161"/>
      <c r="G144" s="155" t="n">
        <f aca="false">H18</f>
        <v>0</v>
      </c>
      <c r="H144" s="40" t="n">
        <f aca="false">G144</f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f aca="false">G145</f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f aca="false">G146</f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21268</v>
      </c>
      <c r="H147" s="164" t="n">
        <f aca="false">H141-((H144*1.2)+(H145*1.2)+(H146*1.2)+(H142*1.2))</f>
        <v>21268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21268</v>
      </c>
      <c r="Q147" s="164" t="n">
        <f aca="false">Q141-((Q144*1.2)+(Q145*1.2)+(Q146*1.2)+(Q142*1.2))</f>
        <v>35519.004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21268</v>
      </c>
      <c r="Z147" s="164" t="n">
        <f aca="false">Z141-((Z144*1.2)+(Z145*1.2)+(Z146*1.2)+(Z142*1.2))</f>
        <v>21207.765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21268</v>
      </c>
      <c r="AI147" s="164" t="n">
        <f aca="false">AI141-((AI144*1.2)+(AI145*1.2)+(AI146*1.2)+(AI142*1.2))</f>
        <v>16234.5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-15640</v>
      </c>
      <c r="J148" s="154" t="s">
        <v>172</v>
      </c>
      <c r="K148" s="154"/>
      <c r="L148" s="154"/>
      <c r="M148" s="154"/>
      <c r="N148" s="154"/>
      <c r="O148" s="154"/>
      <c r="P148" s="155"/>
      <c r="Q148" s="40" t="n">
        <f aca="false">Q147-P147</f>
        <v>14251.004</v>
      </c>
      <c r="S148" s="154" t="s">
        <v>172</v>
      </c>
      <c r="T148" s="154"/>
      <c r="U148" s="154"/>
      <c r="V148" s="154"/>
      <c r="W148" s="154"/>
      <c r="X148" s="154"/>
      <c r="Y148" s="155"/>
      <c r="Z148" s="40" t="n">
        <f aca="false">Z147-Y147</f>
        <v>-60.2350000000006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n">
        <f aca="false">AI147-AH147</f>
        <v>-5033.5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1000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18768</v>
      </c>
      <c r="H158" s="170"/>
      <c r="J158" s="169" t="s">
        <v>179</v>
      </c>
      <c r="K158" s="93"/>
      <c r="L158" s="93"/>
      <c r="M158" s="113"/>
      <c r="N158" s="93"/>
      <c r="O158" s="113"/>
      <c r="P158" s="170" t="n">
        <f aca="false">Q147-P154-P157</f>
        <v>36519.004</v>
      </c>
      <c r="Q158" s="170"/>
      <c r="S158" s="169" t="s">
        <v>179</v>
      </c>
      <c r="T158" s="93"/>
      <c r="U158" s="93"/>
      <c r="V158" s="113"/>
      <c r="W158" s="93"/>
      <c r="X158" s="113"/>
      <c r="Y158" s="170" t="n">
        <f aca="false">Z147-Y154-Y157</f>
        <v>22207.765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n">
        <f aca="false">AI147-AH154-AH157</f>
        <v>17234.5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626.553673398776</v>
      </c>
      <c r="B167" s="177" t="n">
        <f aca="false">B94</f>
        <v>35.8094117647059</v>
      </c>
      <c r="C167" s="174"/>
      <c r="D167" s="174"/>
      <c r="E167" s="177" t="n">
        <f aca="false">B96</f>
        <v>662.363085163482</v>
      </c>
      <c r="F167" s="23"/>
      <c r="G167" s="23" t="n">
        <f aca="false">G95</f>
        <v>605.87876811977</v>
      </c>
      <c r="H167" s="33"/>
      <c r="J167" s="176" t="n">
        <f aca="false">K95</f>
        <v>1490.65727611439</v>
      </c>
      <c r="K167" s="177" t="n">
        <f aca="false">K94</f>
        <v>155.174117647059</v>
      </c>
      <c r="L167" s="174"/>
      <c r="M167" s="174"/>
      <c r="N167" s="177" t="n">
        <f aca="false">K96</f>
        <v>1645.83139376145</v>
      </c>
      <c r="O167" s="23"/>
      <c r="P167" s="23"/>
      <c r="Q167" s="33"/>
      <c r="S167" s="176" t="n">
        <f aca="false">T95</f>
        <v>805.069780198583</v>
      </c>
      <c r="T167" s="177" t="n">
        <f aca="false">T94</f>
        <v>122.981818181818</v>
      </c>
      <c r="U167" s="174"/>
      <c r="V167" s="174"/>
      <c r="W167" s="177" t="n">
        <f aca="false">T96</f>
        <v>928.051598380401</v>
      </c>
      <c r="X167" s="23"/>
      <c r="Y167" s="23"/>
      <c r="Z167" s="33"/>
      <c r="AB167" s="176" t="n">
        <f aca="false">AC95</f>
        <v>624.78034718183</v>
      </c>
      <c r="AC167" s="177" t="n">
        <f aca="false">AC94</f>
        <v>147.578181818182</v>
      </c>
      <c r="AD167" s="174"/>
      <c r="AE167" s="174"/>
      <c r="AF167" s="177" t="n">
        <f aca="false">AC96</f>
        <v>772.358529000011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34</v>
      </c>
      <c r="B170" s="229" t="n">
        <f aca="false">K30</f>
        <v>35000</v>
      </c>
      <c r="C170" s="181"/>
      <c r="D170" s="23"/>
      <c r="E170" s="182" t="n">
        <f aca="false">IF(A111="YES", A40, 0)</f>
        <v>0</v>
      </c>
      <c r="F170" s="23"/>
      <c r="G170" s="23"/>
      <c r="H170" s="33"/>
      <c r="J170" s="179" t="n">
        <f aca="false">K29</f>
        <v>34</v>
      </c>
      <c r="K170" s="180" t="n">
        <f aca="false">K30</f>
        <v>35000</v>
      </c>
      <c r="L170" s="181"/>
      <c r="M170" s="23"/>
      <c r="N170" s="182" t="n">
        <f aca="false">IF(A111="YES", A40, 0)</f>
        <v>0</v>
      </c>
      <c r="O170" s="23"/>
      <c r="P170" s="23"/>
      <c r="Q170" s="33"/>
      <c r="S170" s="179" t="n">
        <f aca="false">K29</f>
        <v>34</v>
      </c>
      <c r="T170" s="180" t="n">
        <f aca="false">K30</f>
        <v>35000</v>
      </c>
      <c r="U170" s="181"/>
      <c r="V170" s="23"/>
      <c r="W170" s="182" t="n">
        <f aca="false">IF(A111="YES", A40, 0)</f>
        <v>0</v>
      </c>
      <c r="X170" s="23"/>
      <c r="Y170" s="23"/>
      <c r="Z170" s="33"/>
      <c r="AB170" s="179" t="n">
        <f aca="false">K29</f>
        <v>34</v>
      </c>
      <c r="AC170" s="180" t="n">
        <f aca="false">K30</f>
        <v>35000</v>
      </c>
      <c r="AD170" s="181"/>
      <c r="AE170" s="23"/>
      <c r="AF170" s="182" t="n">
        <f aca="false">IF(A111="YES", A40, 0)</f>
        <v>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17440</v>
      </c>
      <c r="B173" s="103" t="n">
        <f aca="false">H137</f>
        <v>3488</v>
      </c>
      <c r="C173" s="186"/>
      <c r="D173" s="23"/>
      <c r="E173" s="182" t="n">
        <f aca="false">H139+H140</f>
        <v>340</v>
      </c>
      <c r="F173" s="23"/>
      <c r="G173" s="23"/>
      <c r="H173" s="33"/>
      <c r="J173" s="185" t="n">
        <f aca="false">Q141-Q137-Q139-Q140</f>
        <v>29324.17</v>
      </c>
      <c r="K173" s="103" t="n">
        <f aca="false">Q137</f>
        <v>5864.834</v>
      </c>
      <c r="L173" s="186"/>
      <c r="M173" s="23"/>
      <c r="N173" s="182" t="n">
        <f aca="false">Q139+Q140</f>
        <v>330</v>
      </c>
      <c r="O173" s="23"/>
      <c r="P173" s="23"/>
      <c r="Q173" s="33"/>
      <c r="S173" s="185" t="n">
        <f aca="false">Z141-Z137-Z139-Z140</f>
        <v>17398.1375</v>
      </c>
      <c r="T173" s="103" t="n">
        <f aca="false">Z137</f>
        <v>3479.6275</v>
      </c>
      <c r="U173" s="186"/>
      <c r="V173" s="23"/>
      <c r="W173" s="182" t="n">
        <f aca="false">Z139+Z140</f>
        <v>330</v>
      </c>
      <c r="X173" s="23"/>
      <c r="Y173" s="23"/>
      <c r="Z173" s="33"/>
      <c r="AB173" s="185" t="n">
        <f aca="false">AI141-AI137-AI139-AI140</f>
        <v>13253.75</v>
      </c>
      <c r="AC173" s="103" t="n">
        <f aca="false">AI137</f>
        <v>2650.75</v>
      </c>
      <c r="AD173" s="186"/>
      <c r="AE173" s="23"/>
      <c r="AF173" s="182" t="n">
        <f aca="false">AI139+AI140</f>
        <v>330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21268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n">
        <f aca="false">Q141</f>
        <v>35519.004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n">
        <f aca="false">Z141</f>
        <v>21207.765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n">
        <f aca="false">AI141</f>
        <v>16234.5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18768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n">
        <f aca="false">J176-J179-K179</f>
        <v>36519.004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n">
        <f aca="false">S176-S179-T179</f>
        <v>22207.765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n">
        <f aca="false">AB176-AB179-AC179</f>
        <v>17234.5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2570.6343073231</v>
      </c>
      <c r="B182" s="103" t="str">
        <f aca="false">B114</f>
        <v>239.99</v>
      </c>
      <c r="C182" s="103"/>
      <c r="D182" s="23"/>
      <c r="E182" s="103" t="n">
        <f aca="false">E179+A182+B182+A185</f>
        <v>21588.6243073231</v>
      </c>
      <c r="F182" s="23"/>
      <c r="G182" s="23"/>
      <c r="H182" s="105"/>
      <c r="J182" s="111" t="n">
        <f aca="false">(J167*K59)+N185-N179-J185</f>
        <v>12672.686111775</v>
      </c>
      <c r="K182" s="103" t="n">
        <f aca="false">K114</f>
        <v>239.99</v>
      </c>
      <c r="L182" s="103"/>
      <c r="M182" s="23"/>
      <c r="N182" s="103" t="n">
        <f aca="false">N179+J182+K182+J185</f>
        <v>49451.680111775</v>
      </c>
      <c r="O182" s="23"/>
      <c r="P182" s="23"/>
      <c r="Q182" s="105"/>
      <c r="S182" s="111" t="n">
        <f aca="false">(S167*T59)+W185-W179-S185</f>
        <v>4359.53774655324</v>
      </c>
      <c r="T182" s="103" t="n">
        <f aca="false">T114</f>
        <v>199.99</v>
      </c>
      <c r="U182" s="103"/>
      <c r="V182" s="23"/>
      <c r="W182" s="103" t="n">
        <f aca="false">W179+S182+T182+S185</f>
        <v>26777.2927465532</v>
      </c>
      <c r="X182" s="23"/>
      <c r="Y182" s="23"/>
      <c r="Z182" s="105"/>
      <c r="AB182" s="111" t="n">
        <f aca="false">(AB167*AC59)+AF185-AF179-AB185</f>
        <v>3383.25145700037</v>
      </c>
      <c r="AC182" s="103" t="n">
        <f aca="false">AC114</f>
        <v>239.99</v>
      </c>
      <c r="AD182" s="103"/>
      <c r="AE182" s="23"/>
      <c r="AF182" s="103" t="n">
        <f aca="false">AF179+AB182+AC182+AB185</f>
        <v>20867.7414570004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A179+(B182)</f>
        <v>2239.99</v>
      </c>
      <c r="C185" s="103"/>
      <c r="D185" s="23"/>
      <c r="E185" s="103" t="n">
        <f aca="false">(IF(E170=0,E167+A185 ,E170+A185))</f>
        <v>672.363085163482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20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 *1.2</f>
        <v>5.02272</v>
      </c>
      <c r="B188" s="103" t="n">
        <f aca="false">B68</f>
        <v>149.883333333333</v>
      </c>
      <c r="C188" s="93"/>
      <c r="D188" s="93"/>
      <c r="E188" s="103" t="n">
        <f aca="false">(E40*A108)*0.1*(C45/100)</f>
        <v>16.91</v>
      </c>
      <c r="F188" s="23"/>
      <c r="G188" s="23"/>
      <c r="H188" s="33"/>
      <c r="J188" s="111" t="n">
        <f aca="false">IF(N105="YES", H15*0.000002, 0)</f>
        <v>0.042536</v>
      </c>
      <c r="K188" s="103" t="n">
        <f aca="false">(P158*K67)/1.2</f>
        <v>2219.03670138889</v>
      </c>
      <c r="L188" s="93"/>
      <c r="M188" s="93"/>
      <c r="N188" s="103" t="n">
        <f aca="false">(E40*J108)*0.1</f>
        <v>101.46</v>
      </c>
      <c r="O188" s="23"/>
      <c r="P188" s="23"/>
      <c r="Q188" s="33"/>
      <c r="S188" s="111" t="n">
        <f aca="false">IF(W105="YES", Z15*0.000002, 0)</f>
        <v>0</v>
      </c>
      <c r="T188" s="103" t="n">
        <f aca="false">(Y158*T67)/1.2</f>
        <v>177.353678819444</v>
      </c>
      <c r="U188" s="93"/>
      <c r="V188" s="93"/>
      <c r="W188" s="103" t="n">
        <f aca="false">(E40*S108)*0.1</f>
        <v>67.64</v>
      </c>
      <c r="X188" s="32"/>
      <c r="Y188" s="32"/>
      <c r="Z188" s="33"/>
      <c r="AB188" s="111" t="n">
        <f aca="false">IF(AF105="YES", AI15*0.000002, 0)</f>
        <v>0</v>
      </c>
      <c r="AC188" s="103" t="n">
        <f aca="false">(AH158*AC67)/1.2</f>
        <v>137.636631944444</v>
      </c>
      <c r="AD188" s="93"/>
      <c r="AE188" s="93"/>
      <c r="AF188" s="103" t="n">
        <f aca="false">(E40*AB108)*0.1</f>
        <v>67.64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B182/1.2-100</f>
        <v>99.9916666666667</v>
      </c>
      <c r="B191" s="103" t="n">
        <f aca="false">B188+E188+A191</f>
        <v>266.785</v>
      </c>
      <c r="C191" s="93"/>
      <c r="D191" s="93"/>
      <c r="E191" s="103" t="n">
        <f aca="false">H148</f>
        <v>0</v>
      </c>
      <c r="F191" s="23"/>
      <c r="G191" s="23"/>
      <c r="H191" s="33"/>
      <c r="J191" s="111" t="n">
        <f aca="false">K185-100</f>
        <v>1139.99</v>
      </c>
      <c r="K191" s="103" t="n">
        <f aca="false">K188+N188+J191</f>
        <v>3460.48670138889</v>
      </c>
      <c r="L191" s="93"/>
      <c r="M191" s="93"/>
      <c r="N191" s="103" t="n">
        <f aca="false">Q148</f>
        <v>14251.004</v>
      </c>
      <c r="O191" s="23"/>
      <c r="P191" s="23"/>
      <c r="Q191" s="33"/>
      <c r="S191" s="111" t="n">
        <f aca="false">T185-100</f>
        <v>1099.99</v>
      </c>
      <c r="T191" s="103" t="n">
        <f aca="false">T188+W188+S191</f>
        <v>1344.98367881944</v>
      </c>
      <c r="U191" s="93"/>
      <c r="V191" s="93"/>
      <c r="W191" s="103" t="n">
        <f aca="false">Z148</f>
        <v>-60.2350000000006</v>
      </c>
      <c r="X191" s="32"/>
      <c r="Y191" s="32"/>
      <c r="Z191" s="33"/>
      <c r="AB191" s="111" t="n">
        <f aca="false">AC185-100</f>
        <v>1139.99</v>
      </c>
      <c r="AC191" s="103" t="n">
        <f aca="false">AC188+AF188+AB191</f>
        <v>1345.26663194444</v>
      </c>
      <c r="AD191" s="93"/>
      <c r="AE191" s="93"/>
      <c r="AF191" s="103" t="n">
        <f aca="false">AI148</f>
        <v>-5033.5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34</v>
      </c>
      <c r="B197" s="74" t="n">
        <f aca="false">B96</f>
        <v>662.363085163482</v>
      </c>
      <c r="C197" s="74"/>
      <c r="D197" s="74"/>
      <c r="E197" s="23"/>
      <c r="F197" s="23"/>
      <c r="G197" s="23"/>
      <c r="H197" s="33"/>
      <c r="J197" s="73" t="n">
        <f aca="false">K29</f>
        <v>34</v>
      </c>
      <c r="K197" s="74" t="n">
        <f aca="false">K96</f>
        <v>1645.83139376145</v>
      </c>
      <c r="L197" s="74"/>
      <c r="M197" s="74"/>
      <c r="N197" s="23"/>
      <c r="O197" s="23"/>
      <c r="P197" s="23"/>
      <c r="Q197" s="33"/>
      <c r="S197" s="73" t="n">
        <f aca="false">K29</f>
        <v>34</v>
      </c>
      <c r="T197" s="74" t="n">
        <f aca="false">T96</f>
        <v>928.051598380401</v>
      </c>
      <c r="U197" s="74"/>
      <c r="V197" s="74"/>
      <c r="W197" s="23"/>
      <c r="X197" s="23"/>
      <c r="Y197" s="23"/>
      <c r="Z197" s="33"/>
      <c r="AB197" s="73" t="n">
        <f aca="false">K29</f>
        <v>34</v>
      </c>
      <c r="AC197" s="74" t="n">
        <f aca="false">AC96</f>
        <v>772.358529000011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1888.36243311588</v>
      </c>
      <c r="B201" s="186" t="n">
        <f aca="false">E179+A201+B182+A185</f>
        <v>20906.3524331159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n">
        <f aca="false">A197</f>
        <v>34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626.553673398776</v>
      </c>
      <c r="B212" s="177" t="n">
        <f aca="false">B167</f>
        <v>35.8094117647059</v>
      </c>
      <c r="C212" s="174"/>
      <c r="D212" s="174"/>
      <c r="E212" s="177" t="n">
        <f aca="false">E167</f>
        <v>662.363085163482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17440</v>
      </c>
      <c r="B215" s="103" t="n">
        <f aca="false">B173</f>
        <v>3488</v>
      </c>
      <c r="C215" s="186"/>
      <c r="D215" s="113"/>
      <c r="E215" s="182" t="n">
        <f aca="false">E173</f>
        <v>340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21268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18768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2570.6343073231</v>
      </c>
      <c r="B224" s="103" t="str">
        <f aca="false">B182</f>
        <v>239.99</v>
      </c>
      <c r="C224" s="103"/>
      <c r="D224" s="113"/>
      <c r="E224" s="103" t="n">
        <f aca="false">E182</f>
        <v>21588.6243073231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2239.99</v>
      </c>
      <c r="C227" s="103"/>
      <c r="D227" s="113"/>
      <c r="E227" s="103" t="n">
        <f aca="false">B59</f>
        <v>33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626.553673398776</v>
      </c>
      <c r="B230" s="103" t="n">
        <f aca="false">B167</f>
        <v>35.8094117647059</v>
      </c>
      <c r="C230" s="186"/>
      <c r="D230" s="186"/>
      <c r="E230" s="103" t="n">
        <f aca="false">E167</f>
        <v>662.363085163482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0</v>
      </c>
      <c r="B233" s="103" t="n">
        <f aca="false">E185</f>
        <v>672.363085163482</v>
      </c>
      <c r="C233" s="93"/>
      <c r="D233" s="93"/>
      <c r="E233" s="103" t="n">
        <f aca="false">A188</f>
        <v>5.02272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B68</f>
        <v>149.883333333333</v>
      </c>
      <c r="C240" s="93"/>
      <c r="D240" s="93"/>
      <c r="E240" s="103" t="n">
        <f aca="false">E188</f>
        <v>16.91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266.785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0.065</v>
      </c>
      <c r="C253" s="197"/>
      <c r="D253" s="198" t="s">
        <v>214</v>
      </c>
      <c r="E253" s="198"/>
      <c r="F253" s="196" t="n">
        <f aca="false">B83</f>
        <v>0.089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692.271874207218</v>
      </c>
      <c r="C254" s="197"/>
      <c r="D254" s="198" t="s">
        <v>216</v>
      </c>
      <c r="E254" s="198"/>
      <c r="F254" s="200" t="n">
        <f aca="false">F261+F267+F269+B270+B271</f>
        <v>179.86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269.091666666667</v>
      </c>
      <c r="C255" s="197"/>
      <c r="D255" s="198" t="s">
        <v>218</v>
      </c>
      <c r="E255" s="198"/>
      <c r="F255" s="200" t="n">
        <f aca="false">(B254-F254)+B255</f>
        <v>781.503540873884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0.024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0.089</v>
      </c>
      <c r="C260" s="43"/>
      <c r="D260" s="166" t="s">
        <v>215</v>
      </c>
      <c r="E260" s="166"/>
      <c r="F260" s="146" t="n">
        <f aca="false">B254</f>
        <v>692.271874207218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0.00958333333333333</v>
      </c>
      <c r="C261" s="32"/>
      <c r="D261" s="166" t="s">
        <v>221</v>
      </c>
      <c r="E261" s="166"/>
      <c r="F261" s="151" t="n">
        <f aca="false">B68*1.2</f>
        <v>179.86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169.1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781.503540873884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4">
    <dataValidation allowBlank="true" operator="between" showDropDown="false" showErrorMessage="true" showInputMessage="true" sqref="A18:A20 A144:A146 J144:J146 S144:S146 AB144:AB146" type="list">
      <formula1>$AB$16:$AB$18</formula1>
      <formula2>0</formula2>
    </dataValidation>
    <dataValidation allowBlank="true" operator="between" showDropDown="false" showErrorMessage="true" showInputMessage="true" sqref="B26 E105 N105 W105 AF105 A111 J111 S111 AB111" type="list">
      <formula1>$Z$19:$Z$20</formula1>
      <formula2>0</formula2>
    </dataValidation>
    <dataValidation allowBlank="true" operator="between" showDropDown="false" showErrorMessage="true" showInputMessage="true" sqref="B105 K105 T105 AC105" type="list">
      <formula1>$Y$127:$Y$136</formula1>
      <formula2>0</formula2>
    </dataValidation>
    <dataValidation allowBlank="true" operator="between" showDropDown="false" showErrorMessage="true" showInputMessage="true" sqref="B108:D108 K108:M108 T108:V108 AC108:AE108" type="list">
      <formula1>$AP$108:$AP$109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37" colorId="64" zoomScale="85" zoomScaleNormal="85" zoomScalePageLayoutView="100" workbookViewId="0">
      <selection pane="topLeft" activeCell="G168" activeCellId="0" sqref="G168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5" customWidth="true" hidden="false" style="1" width="18.88" collapsed="false" outlineLevel="0"/>
    <col min="6" max="6" customWidth="true" hidden="false" style="1" width="32.51" collapsed="false" outlineLevel="0"/>
    <col min="7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19575</v>
      </c>
      <c r="C3" s="441" t="n">
        <v>0</v>
      </c>
      <c r="D3" s="441" t="n">
        <v>0</v>
      </c>
      <c r="E3" s="441"/>
      <c r="F3" s="441" t="n">
        <v>0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</v>
      </c>
      <c r="C4" s="124" t="n">
        <v>0</v>
      </c>
      <c r="D4" s="124" t="n">
        <v>0</v>
      </c>
      <c r="E4" s="124"/>
      <c r="F4" s="124" t="n">
        <v>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</v>
      </c>
      <c r="C5" s="441" t="n">
        <v>0</v>
      </c>
      <c r="D5" s="441" t="n">
        <v>0</v>
      </c>
      <c r="E5" s="441"/>
      <c r="F5" s="441" t="n">
        <v>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19575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0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340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19575</v>
      </c>
      <c r="F9" s="152"/>
      <c r="G9" s="136"/>
      <c r="H9" s="443" t="n">
        <f aca="false">B7+D7+F7+H3</f>
        <v>19575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550</v>
      </c>
      <c r="F10" s="154"/>
      <c r="G10" s="155"/>
      <c r="H10" s="442" t="n">
        <v>695</v>
      </c>
      <c r="I10" s="2"/>
      <c r="J10" s="2"/>
      <c r="L10" s="16" t="s">
        <v>1</v>
      </c>
      <c r="M10" s="14" t="n">
        <f aca="false">H15-H11-M8</f>
        <v>20270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4054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555</v>
      </c>
      <c r="F13" s="154"/>
      <c r="G13" s="155"/>
      <c r="H13" s="442" t="n">
        <v>275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24664</v>
      </c>
      <c r="I15" s="2"/>
      <c r="J15" s="17" t="n">
        <f aca="false">H15</f>
        <v>24664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0</v>
      </c>
      <c r="F16" s="154"/>
      <c r="G16" s="155"/>
      <c r="H16" s="442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24324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24664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35" hidden="false" customHeight="false" outlineLevel="0" collapsed="false">
      <c r="A26" s="36" t="s">
        <v>126</v>
      </c>
      <c r="B26" s="40" t="s">
        <v>18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35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28</v>
      </c>
      <c r="K29" s="448" t="n">
        <v>35</v>
      </c>
      <c r="P29" s="212"/>
    </row>
    <row r="30" customFormat="false" ht="17.35" hidden="false" customHeight="false" outlineLevel="0" collapsed="false">
      <c r="A30" s="31" t="s">
        <v>181</v>
      </c>
      <c r="B30" s="104" t="s">
        <v>349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</v>
      </c>
      <c r="P30" s="212"/>
    </row>
    <row r="31" customFormat="false" ht="17.35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2136</v>
      </c>
      <c r="P31" s="212"/>
    </row>
    <row r="32" customFormat="false" ht="33.25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 t="n">
        <v>0</v>
      </c>
      <c r="J32" s="29" t="s">
        <v>36</v>
      </c>
      <c r="K32" s="449" t="n">
        <v>2388.75</v>
      </c>
      <c r="P32" s="212"/>
    </row>
    <row r="33" customFormat="false" ht="34.8" hidden="false" customHeight="false" outlineLevel="0" collapsed="false">
      <c r="A33" s="179" t="n">
        <f aca="false">A52</f>
        <v>35</v>
      </c>
      <c r="B33" s="232" t="n">
        <f aca="false">B51</f>
        <v>35000</v>
      </c>
      <c r="C33" s="93"/>
      <c r="D33" s="93"/>
      <c r="E33" s="232" t="n">
        <f aca="false">K48</f>
        <v>670.20102138479</v>
      </c>
      <c r="F33" s="232"/>
      <c r="G33" s="232"/>
      <c r="H33" s="47"/>
      <c r="I33" s="2"/>
      <c r="J33" s="34" t="s">
        <v>356</v>
      </c>
      <c r="K33" s="48" t="n">
        <f aca="false">H21-H11+(H16*20%)</f>
        <v>20610</v>
      </c>
      <c r="L33" s="1" t="n">
        <f aca="false">H21-H11+(H16*20%)</f>
        <v>20610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601.95102138479</v>
      </c>
      <c r="B36" s="232" t="n">
        <f aca="false">IF(B26="YES", K42, "0.00")</f>
        <v>68.25</v>
      </c>
      <c r="C36" s="232"/>
      <c r="D36" s="232"/>
      <c r="E36" s="232" t="n">
        <f aca="false">K31</f>
        <v>2136</v>
      </c>
      <c r="F36" s="232"/>
      <c r="G36" s="232"/>
      <c r="H36" s="47"/>
      <c r="I36" s="2"/>
      <c r="J36" s="2" t="s">
        <v>50</v>
      </c>
      <c r="K36" s="2" t="n">
        <f aca="false">K29</f>
        <v>35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20610</v>
      </c>
      <c r="L39" s="2" t="n">
        <f aca="false">(L47*K46)+K44</f>
        <v>24738.1554136323</v>
      </c>
      <c r="N39" s="1" t="n">
        <f aca="false">K39-L39</f>
        <v>-4128.15541363232</v>
      </c>
      <c r="P39" s="212"/>
    </row>
    <row r="40" customFormat="false" ht="17.35" hidden="false" customHeight="false" outlineLevel="0" collapsed="false">
      <c r="A40" s="313" t="n">
        <f aca="false">E36*A45/100</f>
        <v>2136</v>
      </c>
      <c r="B40" s="107" t="n">
        <f aca="false">IF(B26="YES", K42, "0.00")</f>
        <v>68.25</v>
      </c>
      <c r="C40" s="107"/>
      <c r="D40" s="107"/>
      <c r="E40" s="182" t="n">
        <f aca="false">K32</f>
        <v>2388.75</v>
      </c>
      <c r="F40" s="186"/>
      <c r="G40" s="186"/>
      <c r="H40" s="47"/>
      <c r="J40" s="2" t="s">
        <v>106</v>
      </c>
      <c r="K40" s="2" t="n">
        <f aca="false">(A40)/1.2</f>
        <v>1780</v>
      </c>
      <c r="L40" s="2" t="n">
        <f aca="false">K39-L39</f>
        <v>-4128.15541363232</v>
      </c>
      <c r="N40" s="1" t="n">
        <f aca="false">N38-N39</f>
        <v>7039.83541363232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(K32/K36/100)*C45</f>
        <v>68.25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1465.41662821741</v>
      </c>
      <c r="L44" s="2"/>
      <c r="P44" s="212"/>
    </row>
    <row r="45" customFormat="false" ht="17.35" hidden="false" customHeight="false" outlineLevel="0" collapsed="false">
      <c r="A45" s="507" t="n">
        <v>100</v>
      </c>
      <c r="B45" s="93"/>
      <c r="C45" s="506" t="n">
        <v>100</v>
      </c>
      <c r="D45" s="506"/>
      <c r="E45" s="506"/>
      <c r="F45" s="93"/>
      <c r="G45" s="93"/>
      <c r="H45" s="33"/>
      <c r="J45" s="2" t="s">
        <v>367</v>
      </c>
      <c r="K45" s="2" t="n">
        <f aca="false">(K39-K44)</f>
        <v>19144.5833717826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31.8042210938366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601.95102138479</v>
      </c>
      <c r="L47" s="2" t="n">
        <f aca="false">L49-K42</f>
        <v>731.75</v>
      </c>
      <c r="M47" s="1" t="n">
        <f aca="false">K47-L47</f>
        <v>-129.79897861521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670.20102138479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670.20102138479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34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34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34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34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24324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24324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24324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24324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0.024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5054.88035687225</v>
      </c>
      <c r="C65" s="93"/>
      <c r="D65" s="93"/>
      <c r="E65" s="113"/>
      <c r="F65" s="113"/>
      <c r="G65" s="113"/>
      <c r="H65" s="33"/>
      <c r="J65" s="56" t="s">
        <v>90</v>
      </c>
      <c r="K65" s="65" t="n">
        <f aca="false">(K89*K59)-(K47*K29)</f>
        <v>28600.3027246909</v>
      </c>
      <c r="L65" s="93"/>
      <c r="M65" s="93"/>
      <c r="N65" s="113"/>
      <c r="O65" s="113"/>
      <c r="P65" s="113"/>
      <c r="Q65" s="33"/>
      <c r="S65" s="56" t="s">
        <v>90</v>
      </c>
      <c r="T65" s="65" t="n">
        <f aca="false">(T89*T59)-(K47*K29)</f>
        <v>7951.69827886258</v>
      </c>
      <c r="U65" s="93"/>
      <c r="V65" s="93"/>
      <c r="W65" s="113"/>
      <c r="X65" s="113"/>
      <c r="Y65" s="113"/>
      <c r="Z65" s="33"/>
      <c r="AB65" s="56" t="s">
        <v>90</v>
      </c>
      <c r="AC65" s="65" t="n">
        <f aca="false">(AC89*AC59)-(K47*K29)</f>
        <v>961.07499459698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0.00979166666666667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0.0739583333333333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0.00979166666666667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0.00979166666666667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201.251388888889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1798.9625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238.1725</v>
      </c>
      <c r="U68" s="93"/>
      <c r="V68" s="93"/>
      <c r="W68" s="113"/>
      <c r="X68" s="113"/>
      <c r="Y68" s="113"/>
      <c r="Z68" s="33"/>
      <c r="AB68" s="56" t="s">
        <v>93</v>
      </c>
      <c r="AC68" s="65" t="n">
        <f aca="false">AH158*AC67</f>
        <v>193.693854166667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0.05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B73*B29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11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113"/>
      <c r="G77" s="11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601.95102138479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601.95102138479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670.20102138479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670.20102138479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24664</v>
      </c>
      <c r="C81" s="93"/>
      <c r="D81" s="93"/>
      <c r="E81" s="113"/>
      <c r="F81" s="25" t="s">
        <v>105</v>
      </c>
      <c r="G81" s="27" t="n">
        <f aca="false">G158</f>
        <v>24664</v>
      </c>
      <c r="H81" s="33"/>
      <c r="J81" s="25" t="s">
        <v>105</v>
      </c>
      <c r="K81" s="27" t="n">
        <f aca="false">P158</f>
        <v>36519.004</v>
      </c>
      <c r="L81" s="93"/>
      <c r="M81" s="93"/>
      <c r="N81" s="113"/>
      <c r="O81" s="113"/>
      <c r="P81" s="113"/>
      <c r="Q81" s="33"/>
      <c r="S81" s="25" t="s">
        <v>105</v>
      </c>
      <c r="T81" s="27" t="n">
        <f aca="false">Y158</f>
        <v>25595.275</v>
      </c>
      <c r="U81" s="93"/>
      <c r="V81" s="93"/>
      <c r="W81" s="113"/>
      <c r="X81" s="113"/>
      <c r="Y81" s="113"/>
      <c r="Z81" s="33"/>
      <c r="AB81" s="25" t="s">
        <v>105</v>
      </c>
      <c r="AC81" s="27" t="n">
        <f aca="false">AH158</f>
        <v>19781.5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A40</f>
        <v>2136</v>
      </c>
      <c r="C82" s="93"/>
      <c r="D82" s="93"/>
      <c r="E82" s="113"/>
      <c r="F82" s="31" t="s">
        <v>106</v>
      </c>
      <c r="G82" s="33" t="n">
        <f aca="false">IF(A111 = "Yes", A40, 0)</f>
        <v>2136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2136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2136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2" t="n">
        <f aca="false">B62+B63+B64</f>
        <v>0.089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0.00741666666666667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34</v>
      </c>
      <c r="C85" s="93"/>
      <c r="D85" s="93"/>
      <c r="E85" s="113"/>
      <c r="F85" s="31" t="s">
        <v>109</v>
      </c>
      <c r="G85" s="33" t="n">
        <f aca="false">IF(G82=0, (B59+B58), (B59))</f>
        <v>34</v>
      </c>
      <c r="H85" s="33"/>
      <c r="J85" s="31" t="s">
        <v>109</v>
      </c>
      <c r="K85" s="33" t="n">
        <f aca="false">IF(K82=0, (K59+K58), (K59))</f>
        <v>35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34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34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1649.23158929774</v>
      </c>
      <c r="C86" s="93"/>
      <c r="D86" s="93"/>
      <c r="E86" s="113"/>
      <c r="F86" s="31" t="s">
        <v>110</v>
      </c>
      <c r="G86" s="33" t="n">
        <f aca="false">(G82/((1+G84)^(G85+1)))</f>
        <v>1768.02516194431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1460.70919980379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1460.70919980379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29.9543371890103</v>
      </c>
      <c r="C87" s="93"/>
      <c r="D87" s="93"/>
      <c r="E87" s="113"/>
      <c r="F87" s="31" t="s">
        <v>111</v>
      </c>
      <c r="G87" s="33" t="n">
        <f aca="false">((1-(1/((1+G84)^G85)))/G84)</f>
        <v>30.9764939580949</v>
      </c>
      <c r="H87" s="33"/>
      <c r="J87" s="31" t="s">
        <v>111</v>
      </c>
      <c r="K87" s="33" t="n">
        <f aca="false">((1-(1/((1+K84)^K85)))/K84)</f>
        <v>24.9986193320352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28.2762125724768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28.2762125724768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23014.7684107023</v>
      </c>
      <c r="C88" s="93"/>
      <c r="D88" s="93"/>
      <c r="E88" s="113"/>
      <c r="F88" s="31" t="s">
        <v>112</v>
      </c>
      <c r="G88" s="33" t="n">
        <f aca="false">G81-G86</f>
        <v>22895.9748380557</v>
      </c>
      <c r="H88" s="33"/>
      <c r="J88" s="31" t="s">
        <v>112</v>
      </c>
      <c r="K88" s="33" t="n">
        <f aca="false">K81-K86</f>
        <v>36519.004</v>
      </c>
      <c r="L88" s="93"/>
      <c r="M88" s="93"/>
      <c r="N88" s="113"/>
      <c r="O88" s="113"/>
      <c r="P88" s="113"/>
      <c r="Q88" s="33"/>
      <c r="S88" s="31" t="s">
        <v>112</v>
      </c>
      <c r="T88" s="33" t="n">
        <f aca="false">T81-T86</f>
        <v>24134.5658001962</v>
      </c>
      <c r="U88" s="93"/>
      <c r="V88" s="93"/>
      <c r="W88" s="113"/>
      <c r="X88" s="113"/>
      <c r="Y88" s="113"/>
      <c r="Z88" s="33"/>
      <c r="AB88" s="31" t="s">
        <v>112</v>
      </c>
      <c r="AC88" s="33" t="n">
        <f aca="false">AC81-AC86</f>
        <v>18320.7908001962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768.328414862938</v>
      </c>
      <c r="C89" s="93"/>
      <c r="D89" s="93"/>
      <c r="E89" s="113"/>
      <c r="F89" s="31" t="s">
        <v>113</v>
      </c>
      <c r="G89" s="33" t="n">
        <f aca="false">(G88/G87)</f>
        <v>739.140293573232</v>
      </c>
      <c r="H89" s="33"/>
      <c r="J89" s="31" t="s">
        <v>113</v>
      </c>
      <c r="K89" s="33" t="n">
        <f aca="false">(K88/K87)</f>
        <v>1460.84083744584</v>
      </c>
      <c r="L89" s="93"/>
      <c r="M89" s="93"/>
      <c r="N89" s="113"/>
      <c r="O89" s="113"/>
      <c r="P89" s="113"/>
      <c r="Q89" s="33"/>
      <c r="S89" s="31" t="s">
        <v>113</v>
      </c>
      <c r="T89" s="33" t="n">
        <f aca="false">(T88/T87)</f>
        <v>853.5289419803</v>
      </c>
      <c r="U89" s="93"/>
      <c r="V89" s="93"/>
      <c r="W89" s="113"/>
      <c r="X89" s="113"/>
      <c r="Y89" s="113"/>
      <c r="Z89" s="33"/>
      <c r="AB89" s="31" t="s">
        <v>113</v>
      </c>
      <c r="AC89" s="33" t="n">
        <f aca="false">(AC88/AC87)</f>
        <v>647.922374796018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26123.1661053399</v>
      </c>
      <c r="C90" s="93"/>
      <c r="D90" s="93"/>
      <c r="E90" s="113"/>
      <c r="F90" s="31" t="s">
        <v>114</v>
      </c>
      <c r="G90" s="33" t="n">
        <f aca="false">((G89*(G85))+G77)</f>
        <v>25130.7699814899</v>
      </c>
      <c r="H90" s="33"/>
      <c r="J90" s="31" t="s">
        <v>114</v>
      </c>
      <c r="K90" s="33" t="n">
        <f aca="false">((K89*(K85))+K77)</f>
        <v>51129.4293106044</v>
      </c>
      <c r="L90" s="93"/>
      <c r="M90" s="93"/>
      <c r="N90" s="113"/>
      <c r="O90" s="113"/>
      <c r="P90" s="113"/>
      <c r="Q90" s="33"/>
      <c r="S90" s="31" t="s">
        <v>114</v>
      </c>
      <c r="T90" s="33" t="n">
        <f aca="false">(T89*(T85))+T77</f>
        <v>29019.9840273302</v>
      </c>
      <c r="U90" s="93"/>
      <c r="V90" s="93"/>
      <c r="W90" s="113"/>
      <c r="X90" s="113"/>
      <c r="Y90" s="113"/>
      <c r="Z90" s="33"/>
      <c r="AB90" s="31" t="s">
        <v>114</v>
      </c>
      <c r="AC90" s="33" t="n">
        <f aca="false">(AC89*(AC59))+AC77</f>
        <v>22029.3607430646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(B90/(1-B71))*B71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n">
        <f aca="false">(K90/(1-K71))*K71</f>
        <v>0</v>
      </c>
      <c r="L91" s="93"/>
      <c r="M91" s="93"/>
      <c r="N91" s="113"/>
      <c r="O91" s="113"/>
      <c r="P91" s="113"/>
      <c r="Q91" s="33"/>
      <c r="S91" s="31" t="s">
        <v>115</v>
      </c>
      <c r="T91" s="33" t="n">
        <f aca="false">(T90/(1-T71))*T71</f>
        <v>0</v>
      </c>
      <c r="U91" s="93"/>
      <c r="V91" s="93"/>
      <c r="W91" s="113"/>
      <c r="X91" s="113"/>
      <c r="Y91" s="113"/>
      <c r="Z91" s="33"/>
      <c r="AB91" s="31" t="s">
        <v>115</v>
      </c>
      <c r="AC91" s="33" t="n">
        <f aca="false">(AC90/(1-AC71))*AC71</f>
        <v>0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26123.1661053399</v>
      </c>
      <c r="C92" s="93"/>
      <c r="D92" s="93"/>
      <c r="E92" s="113"/>
      <c r="F92" s="56" t="s">
        <v>116</v>
      </c>
      <c r="G92" s="65" t="n">
        <f aca="false">(G90+G91)</f>
        <v>25130.7699814899</v>
      </c>
      <c r="H92" s="33"/>
      <c r="J92" s="56" t="s">
        <v>116</v>
      </c>
      <c r="K92" s="65" t="n">
        <f aca="false">(K90+K91)</f>
        <v>51129.4293106044</v>
      </c>
      <c r="L92" s="93"/>
      <c r="M92" s="93"/>
      <c r="N92" s="113"/>
      <c r="O92" s="113"/>
      <c r="P92" s="113"/>
      <c r="Q92" s="33"/>
      <c r="S92" s="56" t="s">
        <v>116</v>
      </c>
      <c r="T92" s="65" t="n">
        <f aca="false">(T90+T91)</f>
        <v>29019.9840273302</v>
      </c>
      <c r="U92" s="93"/>
      <c r="V92" s="93"/>
      <c r="W92" s="113"/>
      <c r="X92" s="113"/>
      <c r="Y92" s="113"/>
      <c r="Z92" s="33"/>
      <c r="AB92" s="56" t="s">
        <v>116</v>
      </c>
      <c r="AC92" s="65" t="n">
        <f aca="false">(AC90+AC91)</f>
        <v>22029.3607430646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89" t="n">
        <f aca="false">IF(B26="YES",((E40/B85)*(1+A108)*1.2*(C45/100)),"0")</f>
        <v>101.170588235294</v>
      </c>
      <c r="C94" s="93"/>
      <c r="D94" s="93"/>
      <c r="E94" s="113"/>
      <c r="F94" s="88" t="s">
        <v>117</v>
      </c>
      <c r="G94" s="94" t="n">
        <f aca="false">IF(B26="YES",((E40/B85)*(1+A108)*(C45/100)),"0")</f>
        <v>84.3088235294118</v>
      </c>
      <c r="H94" s="33"/>
      <c r="J94" s="88" t="s">
        <v>117</v>
      </c>
      <c r="K94" s="89" t="n">
        <f aca="false">((E40/K85)*(1+J108))*1.2</f>
        <v>106.47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84.3088235294118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101.170588235294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768.328414862938</v>
      </c>
      <c r="C95" s="93"/>
      <c r="D95" s="93"/>
      <c r="E95" s="113"/>
      <c r="F95" s="95" t="s">
        <v>118</v>
      </c>
      <c r="G95" s="96" t="n">
        <f aca="false">G92/(G85)</f>
        <v>739.140293573232</v>
      </c>
      <c r="H95" s="33"/>
      <c r="J95" s="95" t="s">
        <v>118</v>
      </c>
      <c r="K95" s="96" t="n">
        <f aca="false">K92/(K85)</f>
        <v>1460.84083744584</v>
      </c>
      <c r="L95" s="93"/>
      <c r="M95" s="93"/>
      <c r="N95" s="113"/>
      <c r="O95" s="113"/>
      <c r="P95" s="113"/>
      <c r="Q95" s="33"/>
      <c r="S95" s="95" t="s">
        <v>118</v>
      </c>
      <c r="T95" s="96" t="n">
        <f aca="false">T92/(T85)</f>
        <v>853.5289419803</v>
      </c>
      <c r="U95" s="93"/>
      <c r="V95" s="93"/>
      <c r="W95" s="113"/>
      <c r="X95" s="113"/>
      <c r="Y95" s="113"/>
      <c r="Z95" s="33"/>
      <c r="AB95" s="95" t="s">
        <v>118</v>
      </c>
      <c r="AC95" s="96" t="n">
        <f aca="false">AC92/(AC59)</f>
        <v>647.922374796018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(B94+B95)</f>
        <v>869.499003098232</v>
      </c>
      <c r="C96" s="93"/>
      <c r="D96" s="93"/>
      <c r="E96" s="113"/>
      <c r="F96" s="97" t="s">
        <v>119</v>
      </c>
      <c r="G96" s="98" t="n">
        <f aca="false">G94+G95</f>
        <v>823.449117102644</v>
      </c>
      <c r="H96" s="33"/>
      <c r="J96" s="97" t="s">
        <v>119</v>
      </c>
      <c r="K96" s="98" t="n">
        <f aca="false">(K94+K95)</f>
        <v>1567.31083744584</v>
      </c>
      <c r="L96" s="93"/>
      <c r="M96" s="93"/>
      <c r="N96" s="113"/>
      <c r="O96" s="113"/>
      <c r="P96" s="113"/>
      <c r="Q96" s="33"/>
      <c r="S96" s="97" t="s">
        <v>119</v>
      </c>
      <c r="T96" s="98" t="n">
        <f aca="false">T94+T95</f>
        <v>937.837765509712</v>
      </c>
      <c r="U96" s="93"/>
      <c r="V96" s="93"/>
      <c r="W96" s="113"/>
      <c r="X96" s="113"/>
      <c r="Y96" s="113"/>
      <c r="Z96" s="33"/>
      <c r="AB96" s="97" t="s">
        <v>119</v>
      </c>
      <c r="AC96" s="98" t="n">
        <f aca="false">AC94+AC95</f>
        <v>749.092963031312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123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18</v>
      </c>
      <c r="F105" s="104"/>
      <c r="G105" s="104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s">
        <v>273</v>
      </c>
      <c r="C108" s="107"/>
      <c r="D108" s="107"/>
      <c r="E108" s="108" t="n">
        <f aca="false">B83</f>
        <v>0.089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B3</f>
        <v>19575</v>
      </c>
      <c r="C121" s="121" t="n">
        <f aca="false">B121</f>
        <v>19575</v>
      </c>
      <c r="D121" s="120" t="n">
        <f aca="false">D3</f>
        <v>0</v>
      </c>
      <c r="E121" s="121" t="n">
        <f aca="false">D121</f>
        <v>0</v>
      </c>
      <c r="F121" s="120" t="n">
        <f aca="false">F3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19575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n">
        <f aca="false">F3</f>
        <v>0</v>
      </c>
      <c r="P121" s="121" t="n">
        <f aca="false">O121</f>
        <v>0</v>
      </c>
      <c r="Q121" s="122" t="n">
        <f aca="false">H3</f>
        <v>0</v>
      </c>
      <c r="S121" s="25" t="s">
        <v>149</v>
      </c>
      <c r="T121" s="120" t="n">
        <f aca="false">B3</f>
        <v>19575</v>
      </c>
      <c r="U121" s="121" t="n">
        <f aca="false">T121</f>
        <v>19575</v>
      </c>
      <c r="V121" s="120" t="n">
        <f aca="false">D3</f>
        <v>0</v>
      </c>
      <c r="W121" s="121" t="n">
        <f aca="false">V121</f>
        <v>0</v>
      </c>
      <c r="X121" s="120" t="n">
        <f aca="false">F3</f>
        <v>0</v>
      </c>
      <c r="Y121" s="121" t="n">
        <f aca="false">X121</f>
        <v>0</v>
      </c>
      <c r="Z121" s="122" t="n">
        <f aca="false">H3</f>
        <v>0</v>
      </c>
      <c r="AB121" s="25" t="s">
        <v>149</v>
      </c>
      <c r="AC121" s="120" t="n">
        <f aca="false">B3</f>
        <v>19575</v>
      </c>
      <c r="AD121" s="121" t="n">
        <f aca="false">AC121</f>
        <v>19575</v>
      </c>
      <c r="AE121" s="120" t="n">
        <f aca="false">D3</f>
        <v>0</v>
      </c>
      <c r="AF121" s="121" t="n">
        <f aca="false">AE121</f>
        <v>0</v>
      </c>
      <c r="AG121" s="120" t="n">
        <f aca="false">F3</f>
        <v>0</v>
      </c>
      <c r="AH121" s="121" t="n">
        <f aca="false">AG121</f>
        <v>0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v>0</v>
      </c>
      <c r="D122" s="123" t="n">
        <f aca="false">D4</f>
        <v>0</v>
      </c>
      <c r="E122" s="124" t="n">
        <v>0</v>
      </c>
      <c r="F122" s="123" t="n">
        <f aca="false">F4</f>
        <v>0</v>
      </c>
      <c r="G122" s="452" t="n">
        <v>0</v>
      </c>
      <c r="H122" s="126"/>
      <c r="J122" s="31" t="s">
        <v>150</v>
      </c>
      <c r="K122" s="123" t="n">
        <f aca="false">B4</f>
        <v>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n">
        <f aca="false">F4</f>
        <v>0</v>
      </c>
      <c r="P122" s="452" t="n">
        <f aca="false">O122</f>
        <v>0</v>
      </c>
      <c r="Q122" s="126"/>
      <c r="S122" s="31" t="s">
        <v>150</v>
      </c>
      <c r="T122" s="123" t="n">
        <f aca="false">B4</f>
        <v>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n">
        <f aca="false">F4</f>
        <v>0</v>
      </c>
      <c r="Y122" s="452" t="n">
        <f aca="false">X122</f>
        <v>0</v>
      </c>
      <c r="Z122" s="126"/>
      <c r="AB122" s="31" t="s">
        <v>150</v>
      </c>
      <c r="AC122" s="123" t="n">
        <f aca="false">B4</f>
        <v>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n">
        <f aca="false">F4</f>
        <v>0</v>
      </c>
      <c r="AH122" s="452" t="n">
        <f aca="false">AG122</f>
        <v>0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v>0</v>
      </c>
      <c r="D123" s="130" t="n">
        <f aca="false">D5</f>
        <v>0</v>
      </c>
      <c r="E123" s="121" t="n">
        <v>0</v>
      </c>
      <c r="F123" s="130" t="n">
        <f aca="false">F5</f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n">
        <f aca="false">F5</f>
        <v>0</v>
      </c>
      <c r="P123" s="121" t="n">
        <f aca="false">O123</f>
        <v>0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n">
        <f aca="false">F5</f>
        <v>0</v>
      </c>
      <c r="Y123" s="121" t="n">
        <f aca="false">X123</f>
        <v>0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n">
        <f aca="false">F5</f>
        <v>0</v>
      </c>
      <c r="AH123" s="121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n">
        <f aca="false">(O121*O122)+O123</f>
        <v>0</v>
      </c>
      <c r="P124" s="131" t="n">
        <f aca="false">(P121*P122)+P123</f>
        <v>0</v>
      </c>
      <c r="Q124" s="33"/>
      <c r="S124" s="31" t="s">
        <v>152</v>
      </c>
      <c r="T124" s="130" t="n">
        <f aca="false">(T121*T122)+T123</f>
        <v>0</v>
      </c>
      <c r="U124" s="131" t="n">
        <f aca="false">(U121*U122/100)+U123</f>
        <v>48.9375</v>
      </c>
      <c r="V124" s="130" t="n">
        <f aca="false">(V121*V122)+V123</f>
        <v>0</v>
      </c>
      <c r="W124" s="131" t="n">
        <f aca="false">(W121*W122/100)+W123</f>
        <v>0</v>
      </c>
      <c r="X124" s="130" t="n">
        <f aca="false">(X121*X122)+X123</f>
        <v>0</v>
      </c>
      <c r="Y124" s="131" t="n">
        <f aca="false">(Y121*Y122/100)+Y123</f>
        <v>0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4893.75</v>
      </c>
      <c r="AE124" s="130" t="n">
        <f aca="false">(AE121*AE122)+AE123</f>
        <v>0</v>
      </c>
      <c r="AF124" s="131" t="n">
        <f aca="false">(AF121*AF122)+AF123</f>
        <v>0</v>
      </c>
      <c r="AG124" s="130" t="n">
        <f aca="false">(AG121*AG122)+AG123</f>
        <v>0</v>
      </c>
      <c r="AH124" s="131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19575</v>
      </c>
      <c r="C125" s="133" t="n">
        <f aca="false">C121-C124</f>
        <v>19575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19575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n">
        <f aca="false">O121-O124</f>
        <v>0</v>
      </c>
      <c r="P125" s="133" t="n">
        <f aca="false">P121-P124</f>
        <v>0</v>
      </c>
      <c r="Q125" s="65"/>
      <c r="S125" s="56" t="s">
        <v>153</v>
      </c>
      <c r="T125" s="132" t="n">
        <f aca="false">T121-T124</f>
        <v>19575</v>
      </c>
      <c r="U125" s="133" t="n">
        <f aca="false">U121-U124</f>
        <v>19526.0625</v>
      </c>
      <c r="V125" s="132" t="n">
        <f aca="false">V121-V124</f>
        <v>0</v>
      </c>
      <c r="W125" s="133" t="n">
        <f aca="false">W121-W124</f>
        <v>0</v>
      </c>
      <c r="X125" s="132" t="n">
        <f aca="false">X121-X124</f>
        <v>0</v>
      </c>
      <c r="Y125" s="133" t="n">
        <f aca="false">Y121-Y124</f>
        <v>0</v>
      </c>
      <c r="Z125" s="65"/>
      <c r="AB125" s="56" t="s">
        <v>153</v>
      </c>
      <c r="AC125" s="132" t="n">
        <f aca="false">AC121-AC124</f>
        <v>19575</v>
      </c>
      <c r="AD125" s="133" t="n">
        <f aca="false">AD121-AD124</f>
        <v>14681.25</v>
      </c>
      <c r="AE125" s="132" t="n">
        <f aca="false">AE121-AE124</f>
        <v>0</v>
      </c>
      <c r="AF125" s="133" t="n">
        <f aca="false">AF121-AF124</f>
        <v>0</v>
      </c>
      <c r="AG125" s="132" t="n">
        <f aca="false">AG121-AG124</f>
        <v>0</v>
      </c>
      <c r="AH125" s="133" t="n">
        <f aca="false">AH121-AH124</f>
        <v>0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19575</v>
      </c>
      <c r="H135" s="153" t="n">
        <f aca="false">C125+E125+G125+H128</f>
        <v>19575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19575</v>
      </c>
      <c r="Q135" s="153" t="n">
        <f aca="false">L125+N125+P125+Q128</f>
        <v>28629.17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19575</v>
      </c>
      <c r="Z135" s="153" t="n">
        <f aca="false">U125+W125+Y125+Z128</f>
        <v>19526.0625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19575</v>
      </c>
      <c r="AI135" s="153" t="n">
        <f aca="false">AD125+AF125+AH125+AI128</f>
        <v>14681.25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695</v>
      </c>
      <c r="H136" s="33" t="n">
        <f aca="false">G136</f>
        <v>695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695</v>
      </c>
      <c r="Q136" s="33" t="n">
        <f aca="false">P136</f>
        <v>695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695</v>
      </c>
      <c r="Z136" s="33" t="n">
        <f aca="false">Y136</f>
        <v>695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695</v>
      </c>
      <c r="AI136" s="33" t="n">
        <f aca="false">AH136</f>
        <v>695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4054</v>
      </c>
      <c r="H137" s="33" t="n">
        <f aca="false">(H135+H136)*20%</f>
        <v>4054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4054</v>
      </c>
      <c r="Q137" s="33" t="n">
        <f aca="false">(Q135+Q136)*20%</f>
        <v>5864.834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4054</v>
      </c>
      <c r="Z137" s="33" t="n">
        <f aca="false">(Z135+Z136)*20%</f>
        <v>4044.2125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4054</v>
      </c>
      <c r="AI137" s="33" t="n">
        <f aca="false">(AI135+AI136)*20%</f>
        <v>3075.25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f aca="false">G138</f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275</v>
      </c>
      <c r="H139" s="33" t="n">
        <f aca="false">G139</f>
        <v>275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275</v>
      </c>
      <c r="Q139" s="33" t="n">
        <f aca="false">P139</f>
        <v>275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275</v>
      </c>
      <c r="Z139" s="33" t="n">
        <f aca="false">Y139</f>
        <v>275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275</v>
      </c>
      <c r="AI139" s="33" t="n">
        <f aca="false">AH139</f>
        <v>275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65</v>
      </c>
      <c r="H140" s="33" t="n">
        <f aca="false">G140</f>
        <v>65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65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65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65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24664</v>
      </c>
      <c r="H141" s="157" t="n">
        <f aca="false">(H135+H136+H139+H140+H137)-H138</f>
        <v>24664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24664</v>
      </c>
      <c r="Q141" s="157" t="n">
        <f aca="false">(Q135+Q136+Q139+Q140+Q137)-Q138</f>
        <v>35519.004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24664</v>
      </c>
      <c r="Z141" s="157" t="n">
        <f aca="false">(Z135+Z136+Z139+Z140+Z137)-Z138</f>
        <v>24595.275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24664</v>
      </c>
      <c r="AI141" s="157" t="n">
        <f aca="false">(AI135+AI136+AI139+AI140+AI137)-AI138</f>
        <v>18781.5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s">
        <v>170</v>
      </c>
      <c r="C144" s="161"/>
      <c r="D144" s="161"/>
      <c r="E144" s="161"/>
      <c r="F144" s="161"/>
      <c r="G144" s="155" t="n">
        <f aca="false">H18</f>
        <v>0</v>
      </c>
      <c r="H144" s="40" t="n">
        <f aca="false">G144</f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f aca="false">G145</f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f aca="false">G146</f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24664</v>
      </c>
      <c r="H147" s="164" t="n">
        <f aca="false">H141-((H144*1.2)+(H145*1.2)+(H146*1.2)+(H142*1.2))</f>
        <v>24664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24664</v>
      </c>
      <c r="Q147" s="164" t="n">
        <f aca="false">Q141-((Q144*1.2)+(Q145*1.2)+(Q146*1.2)+(Q142*1.2))</f>
        <v>35519.004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24664</v>
      </c>
      <c r="Z147" s="164" t="n">
        <f aca="false">Z141-((Z144*1.2)+(Z145*1.2)+(Z146*1.2)+(Z142*1.2))</f>
        <v>24595.275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24664</v>
      </c>
      <c r="AI147" s="164" t="n">
        <f aca="false">AI141-((AI144*1.2)+(AI145*1.2)+(AI146*1.2)+(AI142*1.2))</f>
        <v>18781.5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-20553.3333333333</v>
      </c>
      <c r="J148" s="154" t="s">
        <v>172</v>
      </c>
      <c r="K148" s="154"/>
      <c r="L148" s="154"/>
      <c r="M148" s="154"/>
      <c r="N148" s="154"/>
      <c r="O148" s="154"/>
      <c r="P148" s="155"/>
      <c r="Q148" s="40" t="n">
        <f aca="false">Q147-P147</f>
        <v>10855.004</v>
      </c>
      <c r="S148" s="154" t="s">
        <v>172</v>
      </c>
      <c r="T148" s="154"/>
      <c r="U148" s="154"/>
      <c r="V148" s="154"/>
      <c r="W148" s="154"/>
      <c r="X148" s="154"/>
      <c r="Y148" s="155"/>
      <c r="Z148" s="40" t="n">
        <f aca="false">Z147-Y147</f>
        <v>-68.7249999999986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n">
        <f aca="false">AI147-AH147</f>
        <v>-5882.5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24664</v>
      </c>
      <c r="H158" s="170"/>
      <c r="J158" s="169" t="s">
        <v>179</v>
      </c>
      <c r="K158" s="93"/>
      <c r="L158" s="93"/>
      <c r="M158" s="113"/>
      <c r="N158" s="93"/>
      <c r="O158" s="113"/>
      <c r="P158" s="170" t="n">
        <f aca="false">Q147-P154-P157</f>
        <v>36519.004</v>
      </c>
      <c r="Q158" s="170"/>
      <c r="S158" s="169" t="s">
        <v>179</v>
      </c>
      <c r="T158" s="93"/>
      <c r="U158" s="93"/>
      <c r="V158" s="113"/>
      <c r="W158" s="93"/>
      <c r="X158" s="113"/>
      <c r="Y158" s="170" t="n">
        <f aca="false">Z147-Y154-Y157</f>
        <v>25595.275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n">
        <f aca="false">AI147-AH154-AH157</f>
        <v>19781.5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768.328414862938</v>
      </c>
      <c r="B167" s="177" t="n">
        <f aca="false">B94</f>
        <v>101.170588235294</v>
      </c>
      <c r="C167" s="174"/>
      <c r="D167" s="174"/>
      <c r="E167" s="177" t="n">
        <f aca="false">B96</f>
        <v>869.499003098232</v>
      </c>
      <c r="F167" s="23"/>
      <c r="G167" s="23" t="n">
        <f aca="false">G95</f>
        <v>739.140293573232</v>
      </c>
      <c r="H167" s="33"/>
      <c r="J167" s="176" t="n">
        <f aca="false">K95</f>
        <v>1460.84083744584</v>
      </c>
      <c r="K167" s="177" t="n">
        <f aca="false">K94</f>
        <v>106.47</v>
      </c>
      <c r="L167" s="174"/>
      <c r="M167" s="174"/>
      <c r="N167" s="177" t="n">
        <f aca="false">K96</f>
        <v>1567.31083744584</v>
      </c>
      <c r="O167" s="23"/>
      <c r="P167" s="23"/>
      <c r="Q167" s="33"/>
      <c r="S167" s="176" t="n">
        <f aca="false">T95</f>
        <v>853.5289419803</v>
      </c>
      <c r="T167" s="177" t="n">
        <f aca="false">T94</f>
        <v>84.3088235294118</v>
      </c>
      <c r="U167" s="174"/>
      <c r="V167" s="174"/>
      <c r="W167" s="177" t="n">
        <f aca="false">T96</f>
        <v>937.837765509712</v>
      </c>
      <c r="X167" s="23"/>
      <c r="Y167" s="23"/>
      <c r="Z167" s="33"/>
      <c r="AB167" s="176" t="n">
        <f aca="false">AC95</f>
        <v>647.922374796018</v>
      </c>
      <c r="AC167" s="177" t="n">
        <f aca="false">AC94</f>
        <v>101.170588235294</v>
      </c>
      <c r="AD167" s="174"/>
      <c r="AE167" s="174"/>
      <c r="AF167" s="177" t="n">
        <f aca="false">AC96</f>
        <v>749.092963031312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35</v>
      </c>
      <c r="B170" s="180" t="n">
        <f aca="false">K30</f>
        <v>35000</v>
      </c>
      <c r="C170" s="181"/>
      <c r="D170" s="23"/>
      <c r="E170" s="182" t="n">
        <f aca="false">IF(A111="YES",A40, 0)</f>
        <v>2136</v>
      </c>
      <c r="F170" s="23"/>
      <c r="G170" s="23"/>
      <c r="H170" s="33"/>
      <c r="J170" s="179" t="n">
        <f aca="false">K29</f>
        <v>35</v>
      </c>
      <c r="K170" s="180" t="n">
        <f aca="false">K30</f>
        <v>35000</v>
      </c>
      <c r="L170" s="181"/>
      <c r="M170" s="23"/>
      <c r="N170" s="182" t="n">
        <f aca="false">IF(A111="YES", A40, 0)</f>
        <v>2136</v>
      </c>
      <c r="O170" s="23"/>
      <c r="P170" s="23"/>
      <c r="Q170" s="33"/>
      <c r="S170" s="179" t="n">
        <f aca="false">K29</f>
        <v>35</v>
      </c>
      <c r="T170" s="180" t="n">
        <f aca="false">K30</f>
        <v>35000</v>
      </c>
      <c r="U170" s="181"/>
      <c r="V170" s="23"/>
      <c r="W170" s="182" t="n">
        <f aca="false">IF(A111="YES", A40, 0)</f>
        <v>2136</v>
      </c>
      <c r="X170" s="23"/>
      <c r="Y170" s="23"/>
      <c r="Z170" s="33"/>
      <c r="AB170" s="179" t="n">
        <f aca="false">K29</f>
        <v>35</v>
      </c>
      <c r="AC170" s="180" t="n">
        <f aca="false">K30</f>
        <v>35000</v>
      </c>
      <c r="AD170" s="181"/>
      <c r="AE170" s="23"/>
      <c r="AF170" s="182" t="n">
        <f aca="false">IF(A111="YES", A40, 0)</f>
        <v>2136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20270</v>
      </c>
      <c r="B173" s="103" t="n">
        <f aca="false">H137</f>
        <v>4054</v>
      </c>
      <c r="C173" s="186"/>
      <c r="D173" s="23"/>
      <c r="E173" s="182" t="n">
        <f aca="false">H139+H140</f>
        <v>340</v>
      </c>
      <c r="F173" s="23"/>
      <c r="G173" s="23"/>
      <c r="H173" s="33"/>
      <c r="J173" s="185" t="n">
        <f aca="false">Q141-Q137-Q139-Q140</f>
        <v>29324.17</v>
      </c>
      <c r="K173" s="103" t="n">
        <f aca="false">Q137</f>
        <v>5864.834</v>
      </c>
      <c r="L173" s="186"/>
      <c r="M173" s="23"/>
      <c r="N173" s="182" t="n">
        <f aca="false">Q139+Q140</f>
        <v>330</v>
      </c>
      <c r="O173" s="23"/>
      <c r="P173" s="23"/>
      <c r="Q173" s="33"/>
      <c r="S173" s="185" t="n">
        <f aca="false">Z141-Z137-Z139-Z140</f>
        <v>20221.0625</v>
      </c>
      <c r="T173" s="103" t="n">
        <f aca="false">Z137</f>
        <v>4044.2125</v>
      </c>
      <c r="U173" s="186"/>
      <c r="V173" s="23"/>
      <c r="W173" s="182" t="n">
        <f aca="false">Z139+Z140</f>
        <v>330</v>
      </c>
      <c r="X173" s="23"/>
      <c r="Y173" s="23"/>
      <c r="Z173" s="33"/>
      <c r="AB173" s="185" t="n">
        <f aca="false">AI141-AI137-AI139-AI140</f>
        <v>15376.25</v>
      </c>
      <c r="AC173" s="103" t="n">
        <f aca="false">AI137</f>
        <v>3075.25</v>
      </c>
      <c r="AD173" s="186"/>
      <c r="AE173" s="23"/>
      <c r="AF173" s="182" t="n">
        <f aca="false">AI139+AI140</f>
        <v>330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H141</f>
        <v>24664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185" t="n">
        <f aca="false">Q141</f>
        <v>35519.004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n">
        <f aca="false">Z141</f>
        <v>24595.275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n">
        <f aca="false">AI141</f>
        <v>18781.5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24664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n">
        <f aca="false">J176-J179-K179</f>
        <v>36519.004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n">
        <f aca="false">S176-S179-T179</f>
        <v>25595.275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n">
        <f aca="false">AB176-AB179-AC179</f>
        <v>19781.5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3595.16610533989</v>
      </c>
      <c r="B182" s="103" t="str">
        <f aca="false">B114</f>
        <v>239.99</v>
      </c>
      <c r="C182" s="103"/>
      <c r="D182" s="23"/>
      <c r="E182" s="103" t="n">
        <f aca="false">E179+A182+B182+A185</f>
        <v>28509.1561053399</v>
      </c>
      <c r="F182" s="23"/>
      <c r="G182" s="23"/>
      <c r="H182" s="105"/>
      <c r="J182" s="111" t="n">
        <f aca="false">(J167*K59)+N185-N179-J185</f>
        <v>15285.5844731586</v>
      </c>
      <c r="K182" s="103" t="n">
        <f aca="false">K114</f>
        <v>239.99</v>
      </c>
      <c r="L182" s="103"/>
      <c r="M182" s="23"/>
      <c r="N182" s="103" t="n">
        <f aca="false">N179+J182+K182+J185</f>
        <v>52064.5784731586</v>
      </c>
      <c r="O182" s="23"/>
      <c r="P182" s="23"/>
      <c r="Q182" s="105"/>
      <c r="S182" s="111" t="n">
        <f aca="false">(S167*T59)+W185-W179-S185</f>
        <v>5560.70902733021</v>
      </c>
      <c r="T182" s="103" t="n">
        <f aca="false">T114</f>
        <v>199.99</v>
      </c>
      <c r="U182" s="103"/>
      <c r="V182" s="23"/>
      <c r="W182" s="103" t="n">
        <f aca="false">W179+S182+T182+S185</f>
        <v>31365.9740273302</v>
      </c>
      <c r="X182" s="23"/>
      <c r="Y182" s="23"/>
      <c r="Z182" s="105"/>
      <c r="AB182" s="111" t="n">
        <f aca="false">(AB167*AC59)+AF185-AF179-AB185</f>
        <v>4383.86074306462</v>
      </c>
      <c r="AC182" s="103" t="n">
        <f aca="false">AC114</f>
        <v>239.99</v>
      </c>
      <c r="AD182" s="103"/>
      <c r="AE182" s="23"/>
      <c r="AF182" s="103" t="n">
        <f aca="false">AF179+AB182+AC182+AB185</f>
        <v>24415.3507430646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IF(A40=0,(E167),(E170+A185))</f>
        <v>2146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2156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2146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2146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</f>
        <v>0.048648</v>
      </c>
      <c r="B188" s="103" t="n">
        <f aca="false">(G158*B67)/1.2</f>
        <v>201.251388888889</v>
      </c>
      <c r="C188" s="93"/>
      <c r="D188" s="93"/>
      <c r="E188" s="103" t="n">
        <f aca="false">(E40*A108)*0.1*C45/100</f>
        <v>47.775</v>
      </c>
      <c r="F188" s="23"/>
      <c r="G188" s="23"/>
      <c r="H188" s="33"/>
      <c r="J188" s="111" t="n">
        <f aca="false">IF(N105="YES", H15*0.000002, 0)</f>
        <v>0.049328</v>
      </c>
      <c r="K188" s="103" t="n">
        <f aca="false">(P158*K67)/1.2</f>
        <v>2250.73722569444</v>
      </c>
      <c r="L188" s="93"/>
      <c r="M188" s="93"/>
      <c r="N188" s="103" t="n">
        <f aca="false">(E40*J108)*0.1</f>
        <v>71.6625</v>
      </c>
      <c r="O188" s="23"/>
      <c r="P188" s="23"/>
      <c r="Q188" s="33"/>
      <c r="S188" s="111" t="n">
        <f aca="false">IF(W105="YES", Z15*0.000002, 0)</f>
        <v>0</v>
      </c>
      <c r="T188" s="103" t="n">
        <f aca="false">(Y158*T67)/1.2</f>
        <v>208.850334201389</v>
      </c>
      <c r="U188" s="93"/>
      <c r="V188" s="93"/>
      <c r="W188" s="103" t="n">
        <f aca="false">(E40*S108)*0.1</f>
        <v>47.775</v>
      </c>
      <c r="X188" s="32"/>
      <c r="Y188" s="32"/>
      <c r="Z188" s="33"/>
      <c r="AB188" s="111" t="n">
        <f aca="false">IF(AF105="YES", AI15*0.000002, 0)</f>
        <v>0</v>
      </c>
      <c r="AC188" s="103" t="n">
        <f aca="false">(AH158*AC67)/1.2</f>
        <v>161.411545138889</v>
      </c>
      <c r="AD188" s="93"/>
      <c r="AE188" s="93"/>
      <c r="AF188" s="103" t="n">
        <f aca="false">(E40*AB108)*0.1</f>
        <v>47.775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349.018055555556</v>
      </c>
      <c r="C191" s="93"/>
      <c r="D191" s="93"/>
      <c r="E191" s="103" t="n">
        <f aca="false">H148</f>
        <v>0</v>
      </c>
      <c r="F191" s="23"/>
      <c r="G191" s="23"/>
      <c r="H191" s="33"/>
      <c r="J191" s="111" t="n">
        <f aca="false">K185-100</f>
        <v>1139.99</v>
      </c>
      <c r="K191" s="103" t="n">
        <f aca="false">K188+N188+J191</f>
        <v>3462.38972569444</v>
      </c>
      <c r="L191" s="93"/>
      <c r="M191" s="93"/>
      <c r="N191" s="103" t="n">
        <f aca="false">Q148</f>
        <v>10855.004</v>
      </c>
      <c r="O191" s="23"/>
      <c r="P191" s="23"/>
      <c r="Q191" s="33"/>
      <c r="S191" s="111" t="n">
        <f aca="false">T185-100</f>
        <v>1099.99</v>
      </c>
      <c r="T191" s="103" t="n">
        <f aca="false">T188+W188+S191</f>
        <v>1356.61533420139</v>
      </c>
      <c r="U191" s="93"/>
      <c r="V191" s="93"/>
      <c r="W191" s="103" t="n">
        <f aca="false">Z148</f>
        <v>-68.7249999999986</v>
      </c>
      <c r="X191" s="32"/>
      <c r="Y191" s="32"/>
      <c r="Z191" s="33"/>
      <c r="AB191" s="111" t="n">
        <f aca="false">AC185-100</f>
        <v>1139.99</v>
      </c>
      <c r="AC191" s="103" t="n">
        <f aca="false">AC188+AF188+AB191</f>
        <v>1349.17654513889</v>
      </c>
      <c r="AD191" s="93"/>
      <c r="AE191" s="93"/>
      <c r="AF191" s="103" t="n">
        <f aca="false">AI148</f>
        <v>-5882.5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869.499003098232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1567.31083744584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937.837765509712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749.092963031312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2602.7699814899</v>
      </c>
      <c r="B201" s="186" t="n">
        <f aca="false">E179+A201+B182+A185</f>
        <v>27516.7599814899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35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768.328414862938</v>
      </c>
      <c r="B212" s="177" t="n">
        <f aca="false">B167</f>
        <v>101.170588235294</v>
      </c>
      <c r="C212" s="174"/>
      <c r="D212" s="174"/>
      <c r="E212" s="177" t="n">
        <f aca="false">E167</f>
        <v>869.499003098232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20270</v>
      </c>
      <c r="B215" s="103" t="n">
        <f aca="false">B173</f>
        <v>4054</v>
      </c>
      <c r="C215" s="186"/>
      <c r="D215" s="113"/>
      <c r="E215" s="182" t="n">
        <f aca="false">E173</f>
        <v>340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24664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24664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3595.16610533989</v>
      </c>
      <c r="B224" s="103" t="str">
        <f aca="false">B182</f>
        <v>239.99</v>
      </c>
      <c r="C224" s="103"/>
      <c r="D224" s="113"/>
      <c r="E224" s="103" t="n">
        <f aca="false">E182</f>
        <v>28509.1561053399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34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768.328414862938</v>
      </c>
      <c r="B230" s="103" t="n">
        <f aca="false">B167</f>
        <v>101.170588235294</v>
      </c>
      <c r="C230" s="186"/>
      <c r="D230" s="186"/>
      <c r="E230" s="103" t="n">
        <f aca="false">E167</f>
        <v>869.499003098232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2136</v>
      </c>
      <c r="B233" s="103" t="n">
        <f aca="false">E185</f>
        <v>2146</v>
      </c>
      <c r="C233" s="93"/>
      <c r="D233" s="93"/>
      <c r="E233" s="103" t="n">
        <f aca="false">J18*0.000006*100*1.2</f>
        <v>17.51328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0)*100*1.2</f>
        <v>5.83776</v>
      </c>
      <c r="B236" s="103" t="n">
        <f aca="false">E233+A236</f>
        <v>23.35104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B68</f>
        <v>201.251388888889</v>
      </c>
      <c r="C240" s="93"/>
      <c r="D240" s="93"/>
      <c r="E240" s="103" t="n">
        <f aca="false">E188</f>
        <v>47.775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349.018055555556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0.065</v>
      </c>
      <c r="C253" s="197"/>
      <c r="D253" s="198" t="s">
        <v>214</v>
      </c>
      <c r="E253" s="198"/>
      <c r="F253" s="196" t="n">
        <f aca="false">B83</f>
        <v>0.089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1002.39612384999</v>
      </c>
      <c r="C254" s="197"/>
      <c r="D254" s="198" t="s">
        <v>216</v>
      </c>
      <c r="E254" s="198"/>
      <c r="F254" s="200" t="n">
        <f aca="false">F261+F267+F269+B270+B271</f>
        <v>241.501666666667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577.741666666667</v>
      </c>
      <c r="C255" s="197"/>
      <c r="D255" s="198" t="s">
        <v>218</v>
      </c>
      <c r="E255" s="198"/>
      <c r="F255" s="200" t="n">
        <f aca="false">(B254-F254)+B255</f>
        <v>1338.63612384999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0.024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0.089</v>
      </c>
      <c r="C260" s="43"/>
      <c r="D260" s="166" t="s">
        <v>215</v>
      </c>
      <c r="E260" s="166"/>
      <c r="F260" s="146" t="n">
        <f aca="false">B254</f>
        <v>1002.39612384999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0.00979166666666667</v>
      </c>
      <c r="C261" s="32"/>
      <c r="D261" s="166" t="s">
        <v>221</v>
      </c>
      <c r="E261" s="166"/>
      <c r="F261" s="151" t="n">
        <f aca="false">B68*1.2</f>
        <v>241.501666666667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477.75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1338.63612384999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A111 J111 S111 AB111" type="list">
      <formula1>#ref!</formula1>
      <formula2>0</formula2>
    </dataValidation>
    <dataValidation allowBlank="true" operator="between" showDropDown="false" showErrorMessage="true" showInputMessage="true" sqref="B26" type="list">
      <formula1>HirePurchaseNonRegulated!$K$9:$K$10</formula1>
      <formula2>0</formula2>
    </dataValidation>
    <dataValidation allowBlank="true" operator="between" showDropDown="false" showErrorMessage="true" showInputMessage="true" sqref="E105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47" colorId="64" zoomScale="85" zoomScaleNormal="85" zoomScalePageLayoutView="100" workbookViewId="0">
      <selection pane="topLeft" activeCell="G168" activeCellId="0" sqref="G168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 t="n">
        <v>0</v>
      </c>
      <c r="D3" s="441" t="n">
        <v>0.0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19837.5</v>
      </c>
      <c r="C7" s="155" t="n">
        <f aca="false">C3-C6</f>
        <v>0</v>
      </c>
      <c r="D7" s="155" t="n">
        <f aca="false">D3-D6</f>
        <v>479.17</v>
      </c>
      <c r="E7" s="155"/>
      <c r="F7" s="155" t="n">
        <f aca="false">F3-F6</f>
        <v>500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245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20316.67</v>
      </c>
      <c r="F9" s="152"/>
      <c r="G9" s="136"/>
      <c r="H9" s="443" t="n">
        <f aca="false">B7+D7+F7+H3</f>
        <v>20816.67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550.0</v>
      </c>
      <c r="I10" s="2"/>
      <c r="J10" s="2"/>
      <c r="L10" s="16" t="s">
        <v>1</v>
      </c>
      <c r="M10" s="14" t="n">
        <f aca="false">H15-H11-M8</f>
        <v>21366.67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4273.334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585.0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25885.004</v>
      </c>
      <c r="I15" s="2"/>
      <c r="J15" s="17" t="n">
        <f aca="false">H15</f>
        <v>25885.004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25640.004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25885.004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28</v>
      </c>
      <c r="K29" s="448" t="n">
        <v>35</v>
      </c>
      <c r="P29" s="212"/>
    </row>
    <row r="30" customFormat="false" ht="17.9" hidden="false" customHeight="false" outlineLevel="0" collapsed="false">
      <c r="A30" s="31" t="s">
        <v>181</v>
      </c>
      <c r="B30" s="104" t="s">
        <v>349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5250</v>
      </c>
      <c r="P31" s="212"/>
    </row>
    <row r="32" customFormat="false" ht="34.8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 t="n">
        <v>0</v>
      </c>
      <c r="J32" s="29" t="s">
        <v>36</v>
      </c>
      <c r="K32" s="449" t="n">
        <v>1754.55</v>
      </c>
      <c r="P32" s="212"/>
    </row>
    <row r="33" customFormat="false" ht="34.8" hidden="false" customHeight="false" outlineLevel="0" collapsed="false">
      <c r="A33" s="179" t="n">
        <f aca="false">A52</f>
        <v>35</v>
      </c>
      <c r="B33" s="232" t="n">
        <f aca="false">B51</f>
        <v>35000</v>
      </c>
      <c r="C33" s="93"/>
      <c r="D33" s="93"/>
      <c r="E33" s="232" t="n">
        <f aca="false">K48</f>
        <v>616.403057245105</v>
      </c>
      <c r="F33" s="232"/>
      <c r="G33" s="232"/>
      <c r="H33" s="47"/>
      <c r="I33" s="2"/>
      <c r="J33" s="34" t="s">
        <v>356</v>
      </c>
      <c r="K33" s="48" t="n">
        <f aca="false">H21-H11+(H16*20%)</f>
        <v>21611.67</v>
      </c>
      <c r="L33" s="1" t="n">
        <f aca="false">H21-H11+(H16*20%)</f>
        <v>21611.67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566.273057245104</v>
      </c>
      <c r="B36" s="232" t="n">
        <f aca="false">IF(B26="YES", K42, "0.00")</f>
        <v>50.13</v>
      </c>
      <c r="C36" s="232"/>
      <c r="D36" s="232"/>
      <c r="E36" s="232" t="n">
        <f aca="false">K31</f>
        <v>5250</v>
      </c>
      <c r="F36" s="232"/>
      <c r="G36" s="232"/>
      <c r="H36" s="47"/>
      <c r="I36" s="2"/>
      <c r="J36" s="2" t="s">
        <v>50</v>
      </c>
      <c r="K36" s="2" t="n">
        <f aca="false">K29</f>
        <v>35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21611.67</v>
      </c>
      <c r="L39" s="2" t="n">
        <f aca="false">(L47*K46)+K44</f>
        <v>27450.8277595291</v>
      </c>
      <c r="N39" s="1" t="n">
        <f aca="false">K39-L39</f>
        <v>-5839.15775952915</v>
      </c>
      <c r="P39" s="212"/>
    </row>
    <row r="40" customFormat="false" ht="17.35" hidden="false" customHeight="false" outlineLevel="0" collapsed="false">
      <c r="A40" s="313" t="n">
        <f aca="false">E36*A45/100</f>
        <v>5250</v>
      </c>
      <c r="B40" s="107" t="n">
        <f aca="false">IF(B26="YES", K42, "0.00")</f>
        <v>50.13</v>
      </c>
      <c r="C40" s="107"/>
      <c r="D40" s="107"/>
      <c r="E40" s="182" t="n">
        <f aca="false">K32</f>
        <v>1754.55</v>
      </c>
      <c r="F40" s="186"/>
      <c r="G40" s="186"/>
      <c r="H40" s="47"/>
      <c r="J40" s="2" t="s">
        <v>106</v>
      </c>
      <c r="K40" s="2" t="n">
        <f aca="false">(A40)/1.2</f>
        <v>4375</v>
      </c>
      <c r="L40" s="2" t="n">
        <f aca="false">K39-L39</f>
        <v>-5839.15775952915</v>
      </c>
      <c r="N40" s="1" t="n">
        <f aca="false">N38-N39</f>
        <v>8750.83775952915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(K32/K36/100)*C45</f>
        <v>50.13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3601.79648789393</v>
      </c>
      <c r="L44" s="2"/>
      <c r="P44" s="212"/>
    </row>
    <row r="45" customFormat="false" ht="17.35" hidden="false" customHeight="false" outlineLevel="0" collapsed="false">
      <c r="A45" s="507" t="n">
        <v>100</v>
      </c>
      <c r="B45" s="93"/>
      <c r="C45" s="506" t="n">
        <v>100</v>
      </c>
      <c r="D45" s="506"/>
      <c r="E45" s="506"/>
      <c r="F45" s="93"/>
      <c r="G45" s="93"/>
      <c r="H45" s="33"/>
      <c r="J45" s="2" t="s">
        <v>367</v>
      </c>
      <c r="K45" s="2" t="n">
        <f aca="false">(K39-K44)</f>
        <v>18009.8735121061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31.8042210938366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566.273057245104</v>
      </c>
      <c r="L47" s="2" t="n">
        <f aca="false">L49-K42</f>
        <v>749.87</v>
      </c>
      <c r="M47" s="1" t="n">
        <f aca="false">K47-L47</f>
        <v>-183.596942754896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616.403057245105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616.403057245105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34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34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34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34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25640.004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25640.004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25640.004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25640.004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0.024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9788.53095194232</v>
      </c>
      <c r="C65" s="93"/>
      <c r="D65" s="93"/>
      <c r="E65" s="113"/>
      <c r="F65" s="113"/>
      <c r="G65" s="113"/>
      <c r="H65" s="33"/>
      <c r="J65" s="56" t="s">
        <v>90</v>
      </c>
      <c r="K65" s="65" t="n">
        <f aca="false">(K89*K59)-(K47*K29)</f>
        <v>31081.2649617922</v>
      </c>
      <c r="L65" s="93"/>
      <c r="M65" s="93"/>
      <c r="N65" s="113"/>
      <c r="O65" s="113"/>
      <c r="P65" s="113"/>
      <c r="Q65" s="33"/>
      <c r="S65" s="56" t="s">
        <v>90</v>
      </c>
      <c r="T65" s="65" t="n">
        <f aca="false">(T89*T59)-(K47*K29)</f>
        <v>8107.06209418189</v>
      </c>
      <c r="U65" s="93"/>
      <c r="V65" s="93"/>
      <c r="W65" s="113"/>
      <c r="X65" s="113"/>
      <c r="Y65" s="113"/>
      <c r="Z65" s="33"/>
      <c r="AB65" s="56" t="s">
        <v>90</v>
      </c>
      <c r="AC65" s="65" t="n">
        <f aca="false">(AC89*AC59)-(K47*K29)</f>
        <v>1022.69481951427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0.00979166666666667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0.0739583333333333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0.00979166666666667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0.00979166666666667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245.922669444444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1896.2919625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251.0583725</v>
      </c>
      <c r="U68" s="93"/>
      <c r="V68" s="93"/>
      <c r="W68" s="113"/>
      <c r="X68" s="113"/>
      <c r="Y68" s="113"/>
      <c r="Z68" s="33"/>
      <c r="AB68" s="56" t="s">
        <v>93</v>
      </c>
      <c r="AC68" s="65" t="n">
        <f aca="false">AH158*AC67</f>
        <v>204.878424583333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B73*B29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11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113"/>
      <c r="G77" s="11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B77/H29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566.273057245104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566.273057245104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616.403057245105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616.403057245105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30138.608</v>
      </c>
      <c r="C81" s="93"/>
      <c r="D81" s="93"/>
      <c r="E81" s="113"/>
      <c r="F81" s="25" t="s">
        <v>105</v>
      </c>
      <c r="G81" s="27" t="n">
        <f aca="false">G158</f>
        <v>30138.608</v>
      </c>
      <c r="H81" s="33"/>
      <c r="J81" s="25" t="s">
        <v>105</v>
      </c>
      <c r="K81" s="27" t="n">
        <f aca="false">P158</f>
        <v>37425.008</v>
      </c>
      <c r="L81" s="93"/>
      <c r="M81" s="93"/>
      <c r="N81" s="113"/>
      <c r="O81" s="113"/>
      <c r="P81" s="113"/>
      <c r="Q81" s="33"/>
      <c r="S81" s="25" t="s">
        <v>105</v>
      </c>
      <c r="T81" s="27" t="n">
        <f aca="false">Y158</f>
        <v>26815.4915</v>
      </c>
      <c r="U81" s="93"/>
      <c r="V81" s="93"/>
      <c r="W81" s="113"/>
      <c r="X81" s="113"/>
      <c r="Y81" s="113"/>
      <c r="Z81" s="33"/>
      <c r="AB81" s="25" t="s">
        <v>105</v>
      </c>
      <c r="AC81" s="27" t="n">
        <f aca="false">AH158</f>
        <v>20923.754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IF(A111="YES",A40,0)</f>
        <v>5250</v>
      </c>
      <c r="C82" s="93"/>
      <c r="D82" s="93"/>
      <c r="E82" s="113"/>
      <c r="F82" s="31" t="s">
        <v>106</v>
      </c>
      <c r="G82" s="33" t="n">
        <f aca="false">IF(A111="YES",A40,0)</f>
        <v>5250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5250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5250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2" t="n">
        <f aca="false">B62+B63+B64</f>
        <v>0.089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0.00741666666666667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34</v>
      </c>
      <c r="C85" s="93"/>
      <c r="D85" s="93"/>
      <c r="E85" s="113"/>
      <c r="F85" s="31" t="s">
        <v>109</v>
      </c>
      <c r="G85" s="33" t="n">
        <f aca="false">IF(G82=0, (B59+B58), (B59))</f>
        <v>34</v>
      </c>
      <c r="H85" s="33"/>
      <c r="J85" s="31" t="s">
        <v>109</v>
      </c>
      <c r="K85" s="33" t="n">
        <f aca="false">IF(K82=0, (K59+K58), (K59))</f>
        <v>35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34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34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4053.58887818967</v>
      </c>
      <c r="C86" s="93"/>
      <c r="D86" s="93"/>
      <c r="E86" s="113"/>
      <c r="F86" s="31" t="s">
        <v>110</v>
      </c>
      <c r="G86" s="33" t="n">
        <f aca="false">(G82/((1+G84)^(G85+1)))</f>
        <v>4345.56746264402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3590.2262635627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3590.2262635627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29.9543371890103</v>
      </c>
      <c r="C87" s="93"/>
      <c r="D87" s="93"/>
      <c r="E87" s="113"/>
      <c r="F87" s="31" t="s">
        <v>111</v>
      </c>
      <c r="G87" s="33" t="n">
        <f aca="false">((1-(1/((1+G84)^G85)))/G84)</f>
        <v>30.9764939580949</v>
      </c>
      <c r="H87" s="33"/>
      <c r="J87" s="31" t="s">
        <v>111</v>
      </c>
      <c r="K87" s="33" t="n">
        <f aca="false">((1-(1/((1+K84)^K85)))/K84)</f>
        <v>24.9986193320352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28.2762125724768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28.2762125724768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26085.0191218103</v>
      </c>
      <c r="C88" s="93"/>
      <c r="D88" s="93"/>
      <c r="E88" s="113"/>
      <c r="F88" s="31" t="s">
        <v>112</v>
      </c>
      <c r="G88" s="33" t="n">
        <f aca="false">G81-G86</f>
        <v>25793.040537356</v>
      </c>
      <c r="H88" s="33"/>
      <c r="J88" s="31" t="s">
        <v>112</v>
      </c>
      <c r="K88" s="33" t="n">
        <f aca="false">K81-K86</f>
        <v>37425.008</v>
      </c>
      <c r="L88" s="93"/>
      <c r="M88" s="93"/>
      <c r="N88" s="113"/>
      <c r="O88" s="113"/>
      <c r="P88" s="113"/>
      <c r="Q88" s="33"/>
      <c r="S88" s="31" t="s">
        <v>112</v>
      </c>
      <c r="T88" s="33" t="n">
        <f aca="false">T81-T86</f>
        <v>23225.2652364373</v>
      </c>
      <c r="U88" s="93"/>
      <c r="V88" s="93"/>
      <c r="W88" s="113"/>
      <c r="X88" s="113"/>
      <c r="Y88" s="113"/>
      <c r="Z88" s="33"/>
      <c r="AB88" s="31" t="s">
        <v>112</v>
      </c>
      <c r="AC88" s="33" t="n">
        <f aca="false">AC81-AC86</f>
        <v>17333.5277364373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870.826116338852</v>
      </c>
      <c r="C89" s="93"/>
      <c r="D89" s="93"/>
      <c r="E89" s="113"/>
      <c r="F89" s="31" t="s">
        <v>113</v>
      </c>
      <c r="G89" s="33" t="n">
        <f aca="false">(G88/G87)</f>
        <v>832.664941753864</v>
      </c>
      <c r="H89" s="33"/>
      <c r="J89" s="31" t="s">
        <v>113</v>
      </c>
      <c r="K89" s="33" t="n">
        <f aca="false">(K88/K87)</f>
        <v>1497.0829989815</v>
      </c>
      <c r="L89" s="93"/>
      <c r="M89" s="93"/>
      <c r="N89" s="113"/>
      <c r="O89" s="113"/>
      <c r="P89" s="113"/>
      <c r="Q89" s="33"/>
      <c r="S89" s="31" t="s">
        <v>113</v>
      </c>
      <c r="T89" s="33" t="n">
        <f aca="false">(T88/T87)</f>
        <v>821.371149934134</v>
      </c>
      <c r="U89" s="93"/>
      <c r="V89" s="93"/>
      <c r="W89" s="113"/>
      <c r="X89" s="113"/>
      <c r="Y89" s="113"/>
      <c r="Z89" s="33"/>
      <c r="AB89" s="31" t="s">
        <v>113</v>
      </c>
      <c r="AC89" s="33" t="n">
        <f aca="false">(AC88/AC87)</f>
        <v>613.007406561557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29608.087955521</v>
      </c>
      <c r="C90" s="93"/>
      <c r="D90" s="93"/>
      <c r="E90" s="113"/>
      <c r="F90" s="31" t="s">
        <v>114</v>
      </c>
      <c r="G90" s="33" t="n">
        <f aca="false">((G89*(G85))+G77)</f>
        <v>28310.6080196314</v>
      </c>
      <c r="H90" s="33"/>
      <c r="J90" s="31" t="s">
        <v>114</v>
      </c>
      <c r="K90" s="33" t="n">
        <f aca="false">((K89*(K85))+K77)</f>
        <v>52397.9049643524</v>
      </c>
      <c r="L90" s="93"/>
      <c r="M90" s="93"/>
      <c r="N90" s="113"/>
      <c r="O90" s="113"/>
      <c r="P90" s="113"/>
      <c r="Q90" s="33"/>
      <c r="S90" s="31" t="s">
        <v>114</v>
      </c>
      <c r="T90" s="33" t="n">
        <f aca="false">(T89*(T85))+T77</f>
        <v>27926.6190977605</v>
      </c>
      <c r="U90" s="93"/>
      <c r="V90" s="93"/>
      <c r="W90" s="113"/>
      <c r="X90" s="113"/>
      <c r="Y90" s="113"/>
      <c r="Z90" s="33"/>
      <c r="AB90" s="31" t="s">
        <v>114</v>
      </c>
      <c r="AC90" s="33" t="n">
        <f aca="false">(AC89*(AC59))+AC77</f>
        <v>20842.2518230929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(B90/(1-B71))*B71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n">
        <f aca="false">(K90/(1-K71))*K71</f>
        <v>0</v>
      </c>
      <c r="L91" s="93"/>
      <c r="M91" s="93"/>
      <c r="N91" s="113"/>
      <c r="O91" s="113"/>
      <c r="P91" s="113"/>
      <c r="Q91" s="33"/>
      <c r="S91" s="31" t="s">
        <v>115</v>
      </c>
      <c r="T91" s="33" t="n">
        <f aca="false">(T90/(1-T71))*T71</f>
        <v>0</v>
      </c>
      <c r="U91" s="93"/>
      <c r="V91" s="93"/>
      <c r="W91" s="113"/>
      <c r="X91" s="113"/>
      <c r="Y91" s="113"/>
      <c r="Z91" s="33"/>
      <c r="AB91" s="31" t="s">
        <v>115</v>
      </c>
      <c r="AC91" s="33" t="n">
        <f aca="false">(AC90/(1-AC71))*AC71</f>
        <v>0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29608.087955521</v>
      </c>
      <c r="C92" s="93"/>
      <c r="D92" s="93"/>
      <c r="E92" s="113"/>
      <c r="F92" s="56" t="s">
        <v>116</v>
      </c>
      <c r="G92" s="65" t="n">
        <f aca="false">(G90+G91)</f>
        <v>28310.6080196314</v>
      </c>
      <c r="H92" s="33"/>
      <c r="J92" s="56" t="s">
        <v>116</v>
      </c>
      <c r="K92" s="65" t="n">
        <f aca="false">(K90+K91)</f>
        <v>52397.9049643524</v>
      </c>
      <c r="L92" s="93"/>
      <c r="M92" s="93"/>
      <c r="N92" s="113"/>
      <c r="O92" s="113"/>
      <c r="P92" s="113"/>
      <c r="Q92" s="33"/>
      <c r="S92" s="56" t="s">
        <v>116</v>
      </c>
      <c r="T92" s="65" t="n">
        <f aca="false">(T90+T91)</f>
        <v>27926.6190977605</v>
      </c>
      <c r="U92" s="93"/>
      <c r="V92" s="93"/>
      <c r="W92" s="113"/>
      <c r="X92" s="113"/>
      <c r="Y92" s="113"/>
      <c r="Z92" s="33"/>
      <c r="AB92" s="56" t="s">
        <v>116</v>
      </c>
      <c r="AC92" s="65" t="n">
        <f aca="false">(AC90+AC91)</f>
        <v>20842.2518230929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89" t="n">
        <f aca="false">IF(B26="YES",((E40/B85)*(1+A108)*(C45/100)),"0")</f>
        <v>61.9252941176471</v>
      </c>
      <c r="C94" s="93"/>
      <c r="D94" s="93"/>
      <c r="E94" s="113"/>
      <c r="F94" s="88" t="s">
        <v>117</v>
      </c>
      <c r="G94" s="94" t="n">
        <f aca="false">IF(B26="YES",((E40/B85)*(1+A108)*(C45/100)),"0")</f>
        <v>61.9252941176471</v>
      </c>
      <c r="H94" s="33"/>
      <c r="J94" s="88" t="s">
        <v>117</v>
      </c>
      <c r="K94" s="89" t="n">
        <f aca="false">((E40/K85)*(1+J108))*1.2</f>
        <v>78.2028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61.9252941176471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74.3103529411765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870.826116338852</v>
      </c>
      <c r="C95" s="93"/>
      <c r="D95" s="93"/>
      <c r="E95" s="113"/>
      <c r="F95" s="95" t="s">
        <v>118</v>
      </c>
      <c r="G95" s="96" t="n">
        <f aca="false">G92/(G85)</f>
        <v>832.664941753864</v>
      </c>
      <c r="H95" s="33"/>
      <c r="J95" s="95" t="s">
        <v>118</v>
      </c>
      <c r="K95" s="96" t="n">
        <f aca="false">K92/(K85)</f>
        <v>1497.0829989815</v>
      </c>
      <c r="L95" s="93"/>
      <c r="M95" s="93"/>
      <c r="N95" s="113"/>
      <c r="O95" s="113"/>
      <c r="P95" s="113"/>
      <c r="Q95" s="33"/>
      <c r="S95" s="95" t="s">
        <v>118</v>
      </c>
      <c r="T95" s="96" t="n">
        <f aca="false">T92/(T85)</f>
        <v>821.371149934134</v>
      </c>
      <c r="U95" s="93"/>
      <c r="V95" s="93"/>
      <c r="W95" s="113"/>
      <c r="X95" s="113"/>
      <c r="Y95" s="113"/>
      <c r="Z95" s="33"/>
      <c r="AB95" s="95" t="s">
        <v>118</v>
      </c>
      <c r="AC95" s="96" t="n">
        <f aca="false">AC92/(AC59)</f>
        <v>613.007406561557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(B94+B95)</f>
        <v>932.751410456499</v>
      </c>
      <c r="C96" s="93"/>
      <c r="D96" s="93"/>
      <c r="E96" s="113"/>
      <c r="F96" s="97" t="s">
        <v>119</v>
      </c>
      <c r="G96" s="98" t="n">
        <f aca="false">G94+G95</f>
        <v>894.590235871511</v>
      </c>
      <c r="H96" s="33"/>
      <c r="J96" s="97" t="s">
        <v>119</v>
      </c>
      <c r="K96" s="98" t="n">
        <f aca="false">(K94+K95)</f>
        <v>1575.2857989815</v>
      </c>
      <c r="L96" s="93"/>
      <c r="M96" s="93"/>
      <c r="N96" s="113"/>
      <c r="O96" s="113"/>
      <c r="P96" s="113"/>
      <c r="Q96" s="33"/>
      <c r="S96" s="97" t="s">
        <v>119</v>
      </c>
      <c r="T96" s="98" t="n">
        <f aca="false">T94+T95</f>
        <v>883.296444051781</v>
      </c>
      <c r="U96" s="93"/>
      <c r="V96" s="93"/>
      <c r="W96" s="113"/>
      <c r="X96" s="113"/>
      <c r="Y96" s="113"/>
      <c r="Z96" s="33"/>
      <c r="AB96" s="97" t="s">
        <v>119</v>
      </c>
      <c r="AC96" s="98" t="n">
        <f aca="false">AC94+AC95</f>
        <v>687.317759502733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18</v>
      </c>
      <c r="F105" s="104"/>
      <c r="G105" s="104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s">
        <v>273</v>
      </c>
      <c r="C108" s="107"/>
      <c r="D108" s="107"/>
      <c r="E108" s="108" t="n">
        <f aca="false">B83</f>
        <v>0.089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236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n">
        <v>0.3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B3</f>
        <v>19837.5</v>
      </c>
      <c r="C121" s="121" t="n">
        <f aca="false">B121</f>
        <v>19837.5</v>
      </c>
      <c r="D121" s="120" t="n">
        <f aca="false">D3</f>
        <v>479.17</v>
      </c>
      <c r="E121" s="121" t="n">
        <f aca="false">D121</f>
        <v>479.17</v>
      </c>
      <c r="F121" s="120" t="n">
        <f aca="false">F3</f>
        <v>500</v>
      </c>
      <c r="G121" s="121" t="n">
        <f aca="false">F121</f>
        <v>500</v>
      </c>
      <c r="H121" s="122" t="n">
        <f aca="false">H3</f>
        <v>0</v>
      </c>
      <c r="J121" s="25" t="s">
        <v>149</v>
      </c>
      <c r="K121" s="120" t="n">
        <f aca="false">B3</f>
        <v>19837.5</v>
      </c>
      <c r="L121" s="121" t="n">
        <v>28629.17</v>
      </c>
      <c r="M121" s="120" t="n">
        <f aca="false">D3</f>
        <v>479.17</v>
      </c>
      <c r="N121" s="121" t="n">
        <f aca="false">M121</f>
        <v>479.17</v>
      </c>
      <c r="O121" s="120" t="n">
        <f aca="false">F3</f>
        <v>500</v>
      </c>
      <c r="P121" s="121" t="n">
        <f aca="false">O121</f>
        <v>500</v>
      </c>
      <c r="Q121" s="122" t="n">
        <f aca="false">H3</f>
        <v>0</v>
      </c>
      <c r="S121" s="25" t="s">
        <v>149</v>
      </c>
      <c r="T121" s="120" t="n">
        <f aca="false">B3</f>
        <v>19837.5</v>
      </c>
      <c r="U121" s="121" t="n">
        <f aca="false">T121</f>
        <v>19837.5</v>
      </c>
      <c r="V121" s="120" t="n">
        <f aca="false">D3</f>
        <v>479.17</v>
      </c>
      <c r="W121" s="121" t="n">
        <f aca="false">V121</f>
        <v>479.17</v>
      </c>
      <c r="X121" s="120" t="n">
        <f aca="false">F3</f>
        <v>500</v>
      </c>
      <c r="Y121" s="121" t="n">
        <f aca="false">X121</f>
        <v>500</v>
      </c>
      <c r="Z121" s="122" t="n">
        <f aca="false">H3</f>
        <v>0</v>
      </c>
      <c r="AB121" s="25" t="s">
        <v>149</v>
      </c>
      <c r="AC121" s="120" t="n">
        <f aca="false">B3</f>
        <v>19837.5</v>
      </c>
      <c r="AD121" s="121" t="n">
        <f aca="false">AC121</f>
        <v>19837.5</v>
      </c>
      <c r="AE121" s="120" t="n">
        <f aca="false">D3</f>
        <v>479.17</v>
      </c>
      <c r="AF121" s="121" t="n">
        <f aca="false">AE121</f>
        <v>479.17</v>
      </c>
      <c r="AG121" s="120" t="n">
        <f aca="false">F3</f>
        <v>500</v>
      </c>
      <c r="AH121" s="121" t="n">
        <f aca="false">AG121</f>
        <v>500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v>0</v>
      </c>
      <c r="D122" s="123" t="n">
        <f aca="false">D4</f>
        <v>0</v>
      </c>
      <c r="E122" s="124" t="n">
        <v>0</v>
      </c>
      <c r="F122" s="123" t="n">
        <f aca="false">F4</f>
        <v>0</v>
      </c>
      <c r="G122" s="452" t="n">
        <v>0</v>
      </c>
      <c r="H122" s="126"/>
      <c r="J122" s="31" t="s">
        <v>150</v>
      </c>
      <c r="K122" s="123" t="n">
        <f aca="false">B4</f>
        <v>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n">
        <f aca="false">F4</f>
        <v>0</v>
      </c>
      <c r="P122" s="452" t="n">
        <f aca="false">O122</f>
        <v>0</v>
      </c>
      <c r="Q122" s="126"/>
      <c r="S122" s="31" t="s">
        <v>150</v>
      </c>
      <c r="T122" s="123" t="n">
        <f aca="false">B4</f>
        <v>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n">
        <f aca="false">F4</f>
        <v>0</v>
      </c>
      <c r="Y122" s="452" t="n">
        <f aca="false">X122</f>
        <v>0</v>
      </c>
      <c r="Z122" s="126"/>
      <c r="AB122" s="31" t="s">
        <v>150</v>
      </c>
      <c r="AC122" s="123" t="n">
        <f aca="false">B4</f>
        <v>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n">
        <f aca="false">F4</f>
        <v>0</v>
      </c>
      <c r="AH122" s="452" t="n">
        <f aca="false">AG122</f>
        <v>0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v>-3544.67</v>
      </c>
      <c r="D123" s="130" t="n">
        <f aca="false">D5</f>
        <v>0</v>
      </c>
      <c r="E123" s="121" t="n">
        <v>0</v>
      </c>
      <c r="F123" s="130" t="n">
        <f aca="false">F5</f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n">
        <f aca="false">F5</f>
        <v>0</v>
      </c>
      <c r="P123" s="121" t="n">
        <f aca="false">O123</f>
        <v>0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n">
        <f aca="false">F5</f>
        <v>0</v>
      </c>
      <c r="Y123" s="121" t="n">
        <f aca="false">X123</f>
        <v>0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n">
        <f aca="false">F5</f>
        <v>0</v>
      </c>
      <c r="AH123" s="121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-3544.67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n">
        <f aca="false">(O121*O122)+O123</f>
        <v>0</v>
      </c>
      <c r="P124" s="131" t="n">
        <f aca="false">(P121*P122)+P123</f>
        <v>0</v>
      </c>
      <c r="Q124" s="33"/>
      <c r="S124" s="31" t="s">
        <v>152</v>
      </c>
      <c r="T124" s="130" t="n">
        <f aca="false">(T121*T122)+T123</f>
        <v>0</v>
      </c>
      <c r="U124" s="131" t="n">
        <f aca="false">(U121*U122/100)+U123</f>
        <v>49.59375</v>
      </c>
      <c r="V124" s="130" t="n">
        <f aca="false">(V121*V122)+V123</f>
        <v>0</v>
      </c>
      <c r="W124" s="131" t="n">
        <f aca="false">(W121*W122/100)+W123</f>
        <v>0</v>
      </c>
      <c r="X124" s="130" t="n">
        <f aca="false">(X121*X122)+X123</f>
        <v>0</v>
      </c>
      <c r="Y124" s="131" t="n">
        <f aca="false">(Y121*Y122/100)+Y123</f>
        <v>0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4959.375</v>
      </c>
      <c r="AE124" s="130" t="n">
        <f aca="false">(AE121*AE122)+AE123</f>
        <v>0</v>
      </c>
      <c r="AF124" s="131" t="n">
        <f aca="false">(AF121*AF122)+AF123</f>
        <v>0</v>
      </c>
      <c r="AG124" s="130" t="n">
        <f aca="false">(AG121*AG122)+AG123</f>
        <v>0</v>
      </c>
      <c r="AH124" s="131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19837.5</v>
      </c>
      <c r="C125" s="133" t="n">
        <f aca="false">C121-C124</f>
        <v>23382.17</v>
      </c>
      <c r="D125" s="132" t="n">
        <f aca="false">D121-D124</f>
        <v>479.17</v>
      </c>
      <c r="E125" s="133" t="n">
        <f aca="false">E121-E124</f>
        <v>479.17</v>
      </c>
      <c r="F125" s="132" t="n">
        <f aca="false">F121-F124</f>
        <v>500</v>
      </c>
      <c r="G125" s="133" t="n">
        <f aca="false">G121-G124</f>
        <v>500</v>
      </c>
      <c r="H125" s="65"/>
      <c r="J125" s="56" t="s">
        <v>153</v>
      </c>
      <c r="K125" s="132" t="n">
        <f aca="false">K121-K124</f>
        <v>19837.5</v>
      </c>
      <c r="L125" s="133" t="n">
        <f aca="false">L121-L124</f>
        <v>28629.17</v>
      </c>
      <c r="M125" s="132" t="n">
        <f aca="false">M121-M124</f>
        <v>479.17</v>
      </c>
      <c r="N125" s="133" t="n">
        <f aca="false">N121-N124</f>
        <v>479.17</v>
      </c>
      <c r="O125" s="132" t="n">
        <f aca="false">O121-O124</f>
        <v>500</v>
      </c>
      <c r="P125" s="133" t="n">
        <f aca="false">P121-P124</f>
        <v>500</v>
      </c>
      <c r="Q125" s="65"/>
      <c r="S125" s="56" t="s">
        <v>153</v>
      </c>
      <c r="T125" s="132" t="n">
        <f aca="false">T121-T124</f>
        <v>19837.5</v>
      </c>
      <c r="U125" s="133" t="n">
        <f aca="false">U121-U124</f>
        <v>19787.90625</v>
      </c>
      <c r="V125" s="132" t="n">
        <f aca="false">V121-V124</f>
        <v>479.17</v>
      </c>
      <c r="W125" s="133" t="n">
        <f aca="false">W121-W124</f>
        <v>479.17</v>
      </c>
      <c r="X125" s="132" t="n">
        <f aca="false">X121-X124</f>
        <v>500</v>
      </c>
      <c r="Y125" s="133" t="n">
        <f aca="false">Y121-Y124</f>
        <v>500</v>
      </c>
      <c r="Z125" s="65"/>
      <c r="AB125" s="56" t="s">
        <v>153</v>
      </c>
      <c r="AC125" s="132" t="n">
        <f aca="false">AC121-AC124</f>
        <v>19837.5</v>
      </c>
      <c r="AD125" s="133" t="n">
        <f aca="false">AD121-AD124</f>
        <v>14878.125</v>
      </c>
      <c r="AE125" s="132" t="n">
        <f aca="false">AE121-AE124</f>
        <v>479.17</v>
      </c>
      <c r="AF125" s="133" t="n">
        <f aca="false">AF121-AF124</f>
        <v>479.17</v>
      </c>
      <c r="AG125" s="132" t="n">
        <f aca="false">AG121-AG124</f>
        <v>500</v>
      </c>
      <c r="AH125" s="133" t="n">
        <f aca="false">AH121-AH124</f>
        <v>500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20816.67</v>
      </c>
      <c r="H135" s="153" t="n">
        <f aca="false">C125+E125+G125+H128</f>
        <v>24361.34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20816.67</v>
      </c>
      <c r="Q135" s="153" t="n">
        <f aca="false">L125+N125+P125+Q128</f>
        <v>29608.34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20816.67</v>
      </c>
      <c r="Z135" s="153" t="n">
        <f aca="false">U125+W125+Y125+Z128</f>
        <v>20767.07625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20816.67</v>
      </c>
      <c r="AI135" s="153" t="n">
        <f aca="false">AD125+AF125+AH125+AI128</f>
        <v>15857.295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550</v>
      </c>
      <c r="Q136" s="33" t="n">
        <f aca="false">P136</f>
        <v>550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550</v>
      </c>
      <c r="Z136" s="33" t="n">
        <f aca="false">Y136</f>
        <v>550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550</v>
      </c>
      <c r="AI136" s="33" t="n">
        <f aca="false">AH136</f>
        <v>550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4273.334</v>
      </c>
      <c r="H137" s="33" t="n">
        <f aca="false">(H135+H136)*20%</f>
        <v>4982.268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4273.334</v>
      </c>
      <c r="Q137" s="33" t="n">
        <f aca="false">(Q135+Q136)*20%</f>
        <v>6031.668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4273.334</v>
      </c>
      <c r="Z137" s="33" t="n">
        <f aca="false">(Z135+Z136)*20%</f>
        <v>4263.41525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4273.334</v>
      </c>
      <c r="AI137" s="33" t="n">
        <f aca="false">(AI135+AI136)*20%</f>
        <v>3281.459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f aca="false">G138</f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180</v>
      </c>
      <c r="H139" s="33" t="n">
        <f aca="false">G139</f>
        <v>180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180</v>
      </c>
      <c r="Q139" s="33" t="n">
        <f aca="false">P139</f>
        <v>180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180</v>
      </c>
      <c r="Z139" s="33" t="n">
        <f aca="false">Y139</f>
        <v>180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180</v>
      </c>
      <c r="AI139" s="33" t="n">
        <f aca="false">AH139</f>
        <v>180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65</v>
      </c>
      <c r="H140" s="33" t="n">
        <f aca="false">G140</f>
        <v>65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65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65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65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25885.004</v>
      </c>
      <c r="H141" s="157" t="n">
        <f aca="false">(H135+H136+H139+H140+H137)-H138</f>
        <v>30138.608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25885.004</v>
      </c>
      <c r="Q141" s="157" t="n">
        <f aca="false">(Q135+Q136+Q139+Q140+Q137)-Q138</f>
        <v>36425.008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25885.004</v>
      </c>
      <c r="Z141" s="157" t="n">
        <f aca="false">(Z135+Z136+Z139+Z140+Z137)-Z138</f>
        <v>25815.4915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25885.004</v>
      </c>
      <c r="AI141" s="157" t="n">
        <f aca="false">(AI135+AI136+AI139+AI140+AI137)-AI138</f>
        <v>19923.754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s">
        <v>170</v>
      </c>
      <c r="C144" s="161"/>
      <c r="D144" s="161"/>
      <c r="E144" s="161"/>
      <c r="F144" s="161"/>
      <c r="G144" s="155" t="n">
        <f aca="false">H18</f>
        <v>0</v>
      </c>
      <c r="H144" s="40" t="n">
        <f aca="false">G144</f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f aca="false">G145</f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f aca="false">G146</f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25885.004</v>
      </c>
      <c r="H147" s="164" t="n">
        <f aca="false">H141-((H144*1.2)+(H145*1.2)+(H146*1.2)+(H142*1.2))</f>
        <v>30138.608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25885.004</v>
      </c>
      <c r="Q147" s="164" t="n">
        <f aca="false">Q141-((Q144*1.2)+(Q145*1.2)+(Q146*1.2)+(Q142*1.2))</f>
        <v>36425.008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25885.004</v>
      </c>
      <c r="Z147" s="164" t="n">
        <f aca="false">Z141-((Z144*1.2)+(Z145*1.2)+(Z146*1.2)+(Z142*1.2))</f>
        <v>25815.4915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25885.004</v>
      </c>
      <c r="AI147" s="164" t="n">
        <f aca="false">AI141-((AI144*1.2)+(AI145*1.2)+(AI146*1.2)+(AI142*1.2))</f>
        <v>19923.754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3544.67</v>
      </c>
      <c r="I148" s="1" t="n">
        <f aca="false">(H148-G81)/1.2</f>
        <v>-22161.615</v>
      </c>
      <c r="J148" s="154" t="s">
        <v>172</v>
      </c>
      <c r="K148" s="154"/>
      <c r="L148" s="154"/>
      <c r="M148" s="154"/>
      <c r="N148" s="154"/>
      <c r="O148" s="154"/>
      <c r="P148" s="155"/>
      <c r="Q148" s="40" t="n">
        <f aca="false">Q147-P147</f>
        <v>10540.004</v>
      </c>
      <c r="S148" s="154" t="s">
        <v>172</v>
      </c>
      <c r="T148" s="154"/>
      <c r="U148" s="154"/>
      <c r="V148" s="154"/>
      <c r="W148" s="154"/>
      <c r="X148" s="154"/>
      <c r="Y148" s="155"/>
      <c r="Z148" s="40" t="n">
        <f aca="false">Z147-Y147</f>
        <v>-69.5125000000007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n">
        <f aca="false">AI147-AH147</f>
        <v>-5961.25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30138.608</v>
      </c>
      <c r="H158" s="170"/>
      <c r="J158" s="169" t="s">
        <v>179</v>
      </c>
      <c r="K158" s="93"/>
      <c r="L158" s="93"/>
      <c r="M158" s="113"/>
      <c r="N158" s="93"/>
      <c r="O158" s="113"/>
      <c r="P158" s="170" t="n">
        <f aca="false">Q147-P154-P157</f>
        <v>37425.008</v>
      </c>
      <c r="Q158" s="170"/>
      <c r="S158" s="169" t="s">
        <v>179</v>
      </c>
      <c r="T158" s="93"/>
      <c r="U158" s="93"/>
      <c r="V158" s="113"/>
      <c r="W158" s="93"/>
      <c r="X158" s="113"/>
      <c r="Y158" s="170" t="n">
        <f aca="false">Z147-Y154-Y157</f>
        <v>26815.4915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n">
        <f aca="false">AI147-AH154-AH157</f>
        <v>20923.754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870.826116338852</v>
      </c>
      <c r="B167" s="177" t="n">
        <f aca="false">B94</f>
        <v>61.9252941176471</v>
      </c>
      <c r="C167" s="174"/>
      <c r="D167" s="174"/>
      <c r="E167" s="177" t="n">
        <f aca="false">B96</f>
        <v>932.751410456499</v>
      </c>
      <c r="F167" s="23"/>
      <c r="G167" s="23" t="n">
        <f aca="false">G95</f>
        <v>832.664941753864</v>
      </c>
      <c r="H167" s="33"/>
      <c r="J167" s="176" t="n">
        <f aca="false">K95</f>
        <v>1497.0829989815</v>
      </c>
      <c r="K167" s="177" t="n">
        <f aca="false">K94</f>
        <v>78.2028</v>
      </c>
      <c r="L167" s="174"/>
      <c r="M167" s="174"/>
      <c r="N167" s="177" t="n">
        <f aca="false">K96</f>
        <v>1575.2857989815</v>
      </c>
      <c r="O167" s="23"/>
      <c r="P167" s="23"/>
      <c r="Q167" s="33"/>
      <c r="S167" s="176" t="n">
        <f aca="false">T95</f>
        <v>821.371149934134</v>
      </c>
      <c r="T167" s="177" t="n">
        <f aca="false">T94</f>
        <v>61.9252941176471</v>
      </c>
      <c r="U167" s="174"/>
      <c r="V167" s="174"/>
      <c r="W167" s="177" t="n">
        <f aca="false">T96</f>
        <v>883.296444051781</v>
      </c>
      <c r="X167" s="23"/>
      <c r="Y167" s="23"/>
      <c r="Z167" s="33"/>
      <c r="AB167" s="176" t="n">
        <f aca="false">AC95</f>
        <v>613.007406561557</v>
      </c>
      <c r="AC167" s="177" t="n">
        <f aca="false">AC94</f>
        <v>74.3103529411765</v>
      </c>
      <c r="AD167" s="174"/>
      <c r="AE167" s="174"/>
      <c r="AF167" s="177" t="n">
        <f aca="false">AC96</f>
        <v>687.317759502733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35</v>
      </c>
      <c r="B170" s="180" t="n">
        <f aca="false">K30</f>
        <v>35000</v>
      </c>
      <c r="C170" s="181"/>
      <c r="D170" s="23"/>
      <c r="E170" s="182" t="n">
        <f aca="false">IF(A111="YES",A40, 0)</f>
        <v>5250</v>
      </c>
      <c r="F170" s="23"/>
      <c r="G170" s="23"/>
      <c r="H170" s="33"/>
      <c r="J170" s="179" t="n">
        <f aca="false">K29</f>
        <v>35</v>
      </c>
      <c r="K170" s="180" t="n">
        <f aca="false">K30</f>
        <v>35000</v>
      </c>
      <c r="L170" s="181"/>
      <c r="M170" s="23"/>
      <c r="N170" s="182" t="n">
        <f aca="false">IF(A111="YES", A40, 0)</f>
        <v>5250</v>
      </c>
      <c r="O170" s="23"/>
      <c r="P170" s="23"/>
      <c r="Q170" s="33"/>
      <c r="S170" s="179" t="n">
        <f aca="false">K29</f>
        <v>35</v>
      </c>
      <c r="T170" s="180" t="n">
        <f aca="false">K30</f>
        <v>35000</v>
      </c>
      <c r="U170" s="181"/>
      <c r="V170" s="23"/>
      <c r="W170" s="182" t="n">
        <f aca="false">IF(A111="YES", A40, 0)</f>
        <v>5250</v>
      </c>
      <c r="X170" s="23"/>
      <c r="Y170" s="23"/>
      <c r="Z170" s="33"/>
      <c r="AB170" s="179" t="n">
        <f aca="false">K29</f>
        <v>35</v>
      </c>
      <c r="AC170" s="180" t="n">
        <f aca="false">K30</f>
        <v>35000</v>
      </c>
      <c r="AD170" s="181"/>
      <c r="AE170" s="23"/>
      <c r="AF170" s="182" t="n">
        <f aca="false">IF(A111="YES", A40, 0)</f>
        <v>5250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24911.34</v>
      </c>
      <c r="B173" s="103" t="n">
        <f aca="false">H137</f>
        <v>4982.268</v>
      </c>
      <c r="C173" s="186"/>
      <c r="D173" s="23"/>
      <c r="E173" s="182" t="n">
        <f aca="false">H139+H140</f>
        <v>245</v>
      </c>
      <c r="F173" s="23"/>
      <c r="G173" s="23"/>
      <c r="H173" s="33"/>
      <c r="J173" s="185" t="n">
        <f aca="false">Q141-Q137-Q139-Q140</f>
        <v>30158.34</v>
      </c>
      <c r="K173" s="103" t="n">
        <f aca="false">Q137</f>
        <v>6031.668</v>
      </c>
      <c r="L173" s="186"/>
      <c r="M173" s="23"/>
      <c r="N173" s="182" t="n">
        <f aca="false">Q139+Q140</f>
        <v>235</v>
      </c>
      <c r="O173" s="23"/>
      <c r="P173" s="23"/>
      <c r="Q173" s="33"/>
      <c r="S173" s="185" t="n">
        <f aca="false">Z141-Z137-Z139-Z140</f>
        <v>21317.07625</v>
      </c>
      <c r="T173" s="103" t="n">
        <f aca="false">Z137</f>
        <v>4263.41525</v>
      </c>
      <c r="U173" s="186"/>
      <c r="V173" s="23"/>
      <c r="W173" s="182" t="n">
        <f aca="false">Z139+Z140</f>
        <v>235</v>
      </c>
      <c r="X173" s="23"/>
      <c r="Y173" s="23"/>
      <c r="Z173" s="33"/>
      <c r="AB173" s="185" t="n">
        <f aca="false">AI141-AI137-AI139-AI140</f>
        <v>16407.295</v>
      </c>
      <c r="AC173" s="103" t="n">
        <f aca="false">AI137</f>
        <v>3281.459</v>
      </c>
      <c r="AD173" s="186"/>
      <c r="AE173" s="23"/>
      <c r="AF173" s="182" t="n">
        <f aca="false">AI139+AI140</f>
        <v>235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H141</f>
        <v>30138.608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185" t="n">
        <f aca="false">Q141</f>
        <v>36425.008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n">
        <f aca="false">Z141</f>
        <v>25815.4915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n">
        <f aca="false">AI141</f>
        <v>19923.754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30138.608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n">
        <f aca="false">J176-J179-K179</f>
        <v>37425.008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n">
        <f aca="false">S176-S179-T179</f>
        <v>26815.4915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n">
        <f aca="false">AB176-AB179-AC179</f>
        <v>20923.754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4719.47995552099</v>
      </c>
      <c r="B182" s="103" t="str">
        <f aca="false">B114</f>
        <v>199.99</v>
      </c>
      <c r="C182" s="103"/>
      <c r="D182" s="23"/>
      <c r="E182" s="103" t="n">
        <f aca="false">E179+A182+(B182*1.2)+A185</f>
        <v>35108.075955521</v>
      </c>
      <c r="F182" s="23"/>
      <c r="G182" s="23"/>
      <c r="H182" s="105"/>
      <c r="J182" s="111" t="n">
        <f aca="false">(J167*K59)+N185-N179-J185</f>
        <v>18725.8139653709</v>
      </c>
      <c r="K182" s="103" t="n">
        <f aca="false">K114</f>
        <v>239.99</v>
      </c>
      <c r="L182" s="103"/>
      <c r="M182" s="23"/>
      <c r="N182" s="103" t="n">
        <f aca="false">N179+J182+K182+J185</f>
        <v>56410.8119653709</v>
      </c>
      <c r="O182" s="23"/>
      <c r="P182" s="23"/>
      <c r="Q182" s="105"/>
      <c r="S182" s="111" t="n">
        <f aca="false">(S167*T59)+W185-W179-S185</f>
        <v>6361.12759776055</v>
      </c>
      <c r="T182" s="103" t="n">
        <f aca="false">T114</f>
        <v>199.99</v>
      </c>
      <c r="U182" s="103"/>
      <c r="V182" s="23"/>
      <c r="W182" s="103" t="n">
        <f aca="false">W179+S182+T182+S185</f>
        <v>33386.6090977605</v>
      </c>
      <c r="X182" s="23"/>
      <c r="Y182" s="23"/>
      <c r="Z182" s="105"/>
      <c r="AB182" s="111" t="n">
        <f aca="false">(AB167*AC59)+AF185-AF179-AB185</f>
        <v>5168.49782309293</v>
      </c>
      <c r="AC182" s="103" t="n">
        <f aca="false">AC114</f>
        <v>239.99</v>
      </c>
      <c r="AD182" s="103"/>
      <c r="AE182" s="23"/>
      <c r="AF182" s="103" t="n">
        <f aca="false">AF179+AB182+AC182+AB185</f>
        <v>26342.2418230929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239.988</v>
      </c>
      <c r="C185" s="103"/>
      <c r="D185" s="23"/>
      <c r="E185" s="103" t="n">
        <f aca="false">IF(A40=0,(E167),(E170+A185))</f>
        <v>5260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5270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5260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5260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</f>
        <v>5.1280008</v>
      </c>
      <c r="B188" s="103" t="n">
        <f aca="false">(G158*B67)/1.2</f>
        <v>245.922669444444</v>
      </c>
      <c r="C188" s="93"/>
      <c r="D188" s="93"/>
      <c r="E188" s="103" t="n">
        <f aca="false">(E40*A108)*0.1*(C45/100)</f>
        <v>35.091</v>
      </c>
      <c r="F188" s="23"/>
      <c r="G188" s="23"/>
      <c r="H188" s="33"/>
      <c r="J188" s="111" t="n">
        <f aca="false">IF(N105="YES", H15*0.000002, 0)</f>
        <v>0.051770008</v>
      </c>
      <c r="K188" s="103" t="n">
        <f aca="false">(P158*K67)/1.2</f>
        <v>2306.57601388889</v>
      </c>
      <c r="L188" s="93"/>
      <c r="M188" s="93"/>
      <c r="N188" s="103" t="n">
        <f aca="false">(E40*J108)*0.1</f>
        <v>52.6365</v>
      </c>
      <c r="O188" s="23"/>
      <c r="P188" s="23"/>
      <c r="Q188" s="33"/>
      <c r="S188" s="111" t="n">
        <f aca="false">IF(W105="YES", Z15*0.000002, 0)</f>
        <v>0</v>
      </c>
      <c r="T188" s="103" t="n">
        <f aca="false">(Y158*T67)/1.2</f>
        <v>218.806961892361</v>
      </c>
      <c r="U188" s="93"/>
      <c r="V188" s="93"/>
      <c r="W188" s="103" t="n">
        <f aca="false">(E40*S108)*0.1</f>
        <v>35.091</v>
      </c>
      <c r="X188" s="32"/>
      <c r="Y188" s="32"/>
      <c r="Z188" s="33"/>
      <c r="AB188" s="111" t="n">
        <f aca="false">IF(AF105="YES", AI15*0.000002, 0)</f>
        <v>0</v>
      </c>
      <c r="AC188" s="103" t="n">
        <f aca="false">(AH158*AC67)/1.2</f>
        <v>170.732020486111</v>
      </c>
      <c r="AD188" s="93"/>
      <c r="AE188" s="93"/>
      <c r="AF188" s="103" t="n">
        <f aca="false">(E40*AB108)*0.1</f>
        <v>35.091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381.003669444444</v>
      </c>
      <c r="C191" s="93"/>
      <c r="D191" s="93"/>
      <c r="E191" s="103" t="n">
        <f aca="false">H148</f>
        <v>3544.67</v>
      </c>
      <c r="F191" s="23"/>
      <c r="G191" s="23"/>
      <c r="H191" s="33"/>
      <c r="J191" s="111" t="n">
        <f aca="false">K185-100</f>
        <v>1139.99</v>
      </c>
      <c r="K191" s="103" t="n">
        <f aca="false">K188+N188+J191</f>
        <v>3499.20251388889</v>
      </c>
      <c r="L191" s="93"/>
      <c r="M191" s="93"/>
      <c r="N191" s="103" t="n">
        <f aca="false">Q148</f>
        <v>10540.004</v>
      </c>
      <c r="O191" s="23"/>
      <c r="P191" s="23"/>
      <c r="Q191" s="33"/>
      <c r="S191" s="111" t="n">
        <f aca="false">T185-100</f>
        <v>1099.99</v>
      </c>
      <c r="T191" s="103" t="n">
        <f aca="false">T188+W188+S191</f>
        <v>1353.88796189236</v>
      </c>
      <c r="U191" s="93"/>
      <c r="V191" s="93"/>
      <c r="W191" s="103" t="n">
        <f aca="false">Z148</f>
        <v>-69.5125000000007</v>
      </c>
      <c r="X191" s="32"/>
      <c r="Y191" s="32"/>
      <c r="Z191" s="33"/>
      <c r="AB191" s="111" t="n">
        <f aca="false">AC185-100</f>
        <v>1139.99</v>
      </c>
      <c r="AC191" s="103" t="n">
        <f aca="false">AC188+AF188+AB191</f>
        <v>1345.81302048611</v>
      </c>
      <c r="AD191" s="93"/>
      <c r="AE191" s="93"/>
      <c r="AF191" s="103" t="n">
        <f aca="false">AI148</f>
        <v>-5961.25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932.751410456499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1575.2857989815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883.296444051781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687.317759502733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3422.00001963139</v>
      </c>
      <c r="B201" s="186" t="n">
        <f aca="false">E179+A201+(B182*1.2)+A185</f>
        <v>33810.5960196314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35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870.826116338852</v>
      </c>
      <c r="B212" s="177" t="n">
        <f aca="false">B167</f>
        <v>61.9252941176471</v>
      </c>
      <c r="C212" s="174"/>
      <c r="D212" s="174"/>
      <c r="E212" s="177" t="n">
        <f aca="false">E167</f>
        <v>932.751410456499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24911.34</v>
      </c>
      <c r="B215" s="103" t="n">
        <f aca="false">B173</f>
        <v>4982.268</v>
      </c>
      <c r="C215" s="186"/>
      <c r="D215" s="113"/>
      <c r="E215" s="182" t="n">
        <f aca="false">E173</f>
        <v>245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30138.608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30138.608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4719.47995552099</v>
      </c>
      <c r="B224" s="103" t="str">
        <f aca="false">B182</f>
        <v>199.99</v>
      </c>
      <c r="C224" s="103"/>
      <c r="D224" s="113"/>
      <c r="E224" s="103" t="n">
        <f aca="false">E182</f>
        <v>35108.075955521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34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870.826116338852</v>
      </c>
      <c r="B230" s="103" t="n">
        <f aca="false">B167</f>
        <v>61.9252941176471</v>
      </c>
      <c r="C230" s="186"/>
      <c r="D230" s="186"/>
      <c r="E230" s="103" t="n">
        <f aca="false">E167</f>
        <v>932.751410456499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5250</v>
      </c>
      <c r="B233" s="103" t="n">
        <f aca="false">E185</f>
        <v>5260</v>
      </c>
      <c r="C233" s="93"/>
      <c r="D233" s="93"/>
      <c r="E233" s="103" t="n">
        <f aca="false">J18*0.000006*100</f>
        <v>15.3840024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</f>
        <v>5.1280008</v>
      </c>
      <c r="B236" s="103" t="n">
        <f aca="false">E233+A236</f>
        <v>20.5120032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3544.67</v>
      </c>
      <c r="B240" s="103" t="n">
        <f aca="false">B68</f>
        <v>245.922669444444</v>
      </c>
      <c r="C240" s="93"/>
      <c r="D240" s="93"/>
      <c r="E240" s="103" t="n">
        <f aca="false">E188</f>
        <v>35.091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3925.67366944444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0.065</v>
      </c>
      <c r="C253" s="197"/>
      <c r="D253" s="198" t="s">
        <v>214</v>
      </c>
      <c r="E253" s="198"/>
      <c r="F253" s="196" t="n">
        <f aca="false">B83</f>
        <v>0.089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1307.4799358896</v>
      </c>
      <c r="C254" s="197"/>
      <c r="D254" s="198" t="s">
        <v>216</v>
      </c>
      <c r="E254" s="198"/>
      <c r="F254" s="200" t="n">
        <f aca="false">F261+F267+F269+B270+B271</f>
        <v>295.107203333333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450.9</v>
      </c>
      <c r="C255" s="197"/>
      <c r="D255" s="198" t="s">
        <v>218</v>
      </c>
      <c r="E255" s="198"/>
      <c r="F255" s="200" t="n">
        <f aca="false">(B254-F254)+B255</f>
        <v>1463.27273255626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0.024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0.089</v>
      </c>
      <c r="C260" s="43"/>
      <c r="D260" s="166" t="s">
        <v>215</v>
      </c>
      <c r="E260" s="166"/>
      <c r="F260" s="146" t="n">
        <f aca="false">B254</f>
        <v>1307.4799358896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0.00979166666666667</v>
      </c>
      <c r="C261" s="32"/>
      <c r="D261" s="166" t="s">
        <v>221</v>
      </c>
      <c r="E261" s="166"/>
      <c r="F261" s="151" t="n">
        <f aca="false">B68*1.2</f>
        <v>295.107203333333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350.91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1463.27273255626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A111 J111 S111 AB111" type="list">
      <formula1>#ref!</formula1>
      <formula2>0</formula2>
    </dataValidation>
    <dataValidation allowBlank="true" operator="between" showDropDown="false" showErrorMessage="true" showInputMessage="true" sqref="B26" type="list">
      <formula1>ContractPurchase!$Z$19:$Z$20</formula1>
      <formula2>0</formula2>
    </dataValidation>
    <dataValidation allowBlank="true" operator="between" showDropDown="false" showErrorMessage="true" showInputMessage="true" sqref="E105" type="list">
      <formula1>ContractPurchase!$Z$19:$Z$20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0"/>
  <sheetViews>
    <sheetView showFormulas="false" showGridLines="true" showRowColHeaders="true" showZeros="true" rightToLeft="false" tabSelected="false" showOutlineSymbols="true" defaultGridColor="true" view="normal" topLeftCell="A89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 t="s">
        <v>18</v>
      </c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263" t="n">
        <v>16745</v>
      </c>
      <c r="C3" s="498" t="n">
        <v>0</v>
      </c>
      <c r="D3" s="263" t="n">
        <v>0</v>
      </c>
      <c r="E3" s="499" t="n">
        <v>0</v>
      </c>
      <c r="F3" s="63"/>
      <c r="G3" s="63" t="n">
        <v>25000</v>
      </c>
      <c r="H3" s="63"/>
      <c r="I3" s="63" t="s">
        <v>19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0" t="n">
        <v>0</v>
      </c>
      <c r="C4" s="0" t="n">
        <v>0</v>
      </c>
      <c r="D4" s="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16745</v>
      </c>
      <c r="C7" s="291" t="n">
        <f aca="false">C3-C6</f>
        <v>0</v>
      </c>
      <c r="D7" s="291" t="n">
        <f aca="false">D3-D6</f>
        <v>0</v>
      </c>
      <c r="E7" s="300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455" t="n">
        <f aca="false">G9*100/B3</f>
        <v>-809.375933114363</v>
      </c>
      <c r="H8" s="63"/>
      <c r="I8" s="13" t="s">
        <v>3</v>
      </c>
      <c r="J8" s="14" t="n">
        <f aca="false">E13+E14</f>
        <v>340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8" t="n">
        <f aca="false">(B7+C7+D7+E3)</f>
        <v>16745</v>
      </c>
      <c r="F9" s="63"/>
      <c r="G9" s="454" t="n">
        <f aca="false">E9-G11</f>
        <v>-135530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695</v>
      </c>
      <c r="F10" s="63"/>
      <c r="G10" s="454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 E9 + E10 ) * 0.2</f>
        <v>3488</v>
      </c>
      <c r="F11" s="63"/>
      <c r="G11" s="454" t="n">
        <f aca="false">G13/1.2</f>
        <v>152275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275</v>
      </c>
      <c r="F13" s="63"/>
      <c r="G13" s="454" t="n">
        <f aca="false">G15-E14-E13-E12</f>
        <v>182730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9" t="n">
        <f aca="false">(E9+E10+E13+E14+E11) - E12</f>
        <v>21268</v>
      </c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456" t="n">
        <f aca="false">(B3+C3+E10)*1.2</f>
        <v>20928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 t="n">
        <v>0</v>
      </c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21268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22</v>
      </c>
      <c r="I29" s="63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349</v>
      </c>
      <c r="C30" s="172"/>
      <c r="D30" s="215"/>
      <c r="E30" s="216"/>
      <c r="F30" s="63"/>
      <c r="G30" s="218" t="s">
        <v>32</v>
      </c>
      <c r="H30" s="457" t="n">
        <v>22000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8730</v>
      </c>
      <c r="I31" s="238" t="n">
        <f aca="false">IF(C107="YES",H31,0)</f>
        <v>8730</v>
      </c>
      <c r="J31" s="63"/>
      <c r="K31" s="63" t="n">
        <v>20000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1024.1</v>
      </c>
      <c r="J32" s="63"/>
      <c r="K32" s="63" t="n">
        <v>2160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22</v>
      </c>
      <c r="B33" s="229" t="n">
        <v>10000</v>
      </c>
      <c r="C33" s="230"/>
      <c r="D33" s="459" t="n">
        <f aca="false">H48</f>
        <v>595.445083902158</v>
      </c>
      <c r="E33" s="216"/>
      <c r="F33" s="63"/>
      <c r="G33" s="219" t="s">
        <v>356</v>
      </c>
      <c r="H33" s="460" t="n">
        <f aca="false">E21-E11+((E16*20%)+(E19*20%)+(E20*20%))</f>
        <v>17780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22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548.895083902158</v>
      </c>
      <c r="B36" s="103" t="n">
        <f aca="false">IF(B26="YES", H42, "")</f>
        <v>46.55</v>
      </c>
      <c r="C36" s="221"/>
      <c r="D36" s="184" t="n">
        <f aca="false">I31</f>
        <v>8730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17780</v>
      </c>
      <c r="I39" s="238" t="n">
        <f aca="false">(I48*H46)+H44</f>
        <v>34423.8379370532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8730</v>
      </c>
      <c r="B40" s="107" t="n">
        <f aca="false">IF(B26="YES",H42,"0")</f>
        <v>46.55</v>
      </c>
      <c r="C40" s="107"/>
      <c r="D40" s="184" t="n">
        <f aca="false">I32</f>
        <v>1024.1</v>
      </c>
      <c r="E40" s="216"/>
      <c r="F40" s="63"/>
      <c r="G40" s="63" t="s">
        <v>106</v>
      </c>
      <c r="H40" s="238" t="n">
        <f aca="false">A40/1.2</f>
        <v>7275</v>
      </c>
      <c r="I40" s="238" t="n">
        <f aca="false">H39-I39</f>
        <v>-16643.8379370533</v>
      </c>
      <c r="J40" s="63" t="n">
        <v>24583.34</v>
      </c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0.00541666666666667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46.55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6425.00031244387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</v>
      </c>
      <c r="B45" s="215"/>
      <c r="C45" s="463" t="n">
        <v>100</v>
      </c>
      <c r="D45" s="463"/>
      <c r="E45" s="216"/>
      <c r="F45" s="63"/>
      <c r="G45" s="63" t="s">
        <v>374</v>
      </c>
      <c r="H45" s="238" t="n">
        <f aca="false">(H39-H44)</f>
        <v>11354.9996875561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20.6870129111599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548.895083902158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595.445083902158</v>
      </c>
      <c r="I48" s="238" t="n">
        <f aca="false">I49-H42</f>
        <v>1353.45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22000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22</v>
      </c>
      <c r="B52" s="74" t="n">
        <f aca="false">H48</f>
        <v>595.445083902158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21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21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21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20928</v>
      </c>
      <c r="C61" s="215"/>
      <c r="D61" s="215"/>
      <c r="E61" s="216"/>
      <c r="F61" s="63"/>
      <c r="G61" s="214" t="s">
        <v>14</v>
      </c>
      <c r="H61" s="291" t="n">
        <f aca="false">G18</f>
        <v>20928</v>
      </c>
      <c r="I61" s="215"/>
      <c r="J61" s="215"/>
      <c r="K61" s="216"/>
      <c r="L61" s="63"/>
      <c r="M61" s="214" t="s">
        <v>14</v>
      </c>
      <c r="N61" s="291" t="n">
        <f aca="false">G18</f>
        <v>20928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292" t="s">
        <v>278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B62+(B62*0.25*(H29/12-1))</f>
        <v>0.0845833333333333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0.0845833333333333</v>
      </c>
      <c r="I63" s="215"/>
      <c r="J63" s="215"/>
      <c r="K63" s="216"/>
      <c r="L63" s="63"/>
      <c r="M63" s="214" t="s">
        <v>279</v>
      </c>
      <c r="N63" s="294" t="n">
        <f aca="false">N62+(N62*0.25*(H29/12-1))</f>
        <v>0.0845833333333333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B61*B63</f>
        <v>1770.16</v>
      </c>
      <c r="C64" s="215" t="n">
        <v>10000</v>
      </c>
      <c r="D64" s="291" t="n">
        <f aca="false">B64-A143</f>
        <v>1770.16</v>
      </c>
      <c r="E64" s="216"/>
      <c r="F64" s="63"/>
      <c r="G64" s="285" t="s">
        <v>90</v>
      </c>
      <c r="H64" s="133" t="n">
        <f aca="false">H61*H63</f>
        <v>1770.16</v>
      </c>
      <c r="I64" s="215"/>
      <c r="J64" s="291" t="n">
        <f aca="false">H64-G145</f>
        <v>1770.16</v>
      </c>
      <c r="K64" s="216"/>
      <c r="L64" s="63"/>
      <c r="M64" s="285" t="s">
        <v>90</v>
      </c>
      <c r="N64" s="133" t="n">
        <f aca="false">N61*N63</f>
        <v>1770.16</v>
      </c>
      <c r="O64" s="215"/>
      <c r="P64" s="291" t="n">
        <f aca="false">N64-M145</f>
        <v>1770.16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0.0141666666666667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0.0141666666666667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0.0141666666666667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B61*B66</f>
        <v>296.48</v>
      </c>
      <c r="C67" s="215"/>
      <c r="D67" s="291"/>
      <c r="E67" s="216"/>
      <c r="F67" s="63"/>
      <c r="G67" s="285" t="s">
        <v>93</v>
      </c>
      <c r="H67" s="133" t="n">
        <f aca="false">(H61*H66)/1.2</f>
        <v>247.066666666667</v>
      </c>
      <c r="I67" s="215"/>
      <c r="J67" s="291"/>
      <c r="K67" s="216"/>
      <c r="L67" s="63"/>
      <c r="M67" s="285" t="s">
        <v>93</v>
      </c>
      <c r="N67" s="133" t="n">
        <f aca="false">(N61*N66)/1.2</f>
        <v>247.066666666667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471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110</v>
      </c>
      <c r="C73" s="215"/>
      <c r="D73" s="291" t="n">
        <f aca="false">B73+B71</f>
        <v>310</v>
      </c>
      <c r="E73" s="216"/>
      <c r="F73" s="63"/>
      <c r="G73" s="285" t="s">
        <v>99</v>
      </c>
      <c r="H73" s="133" t="n">
        <f aca="false">H72*H29</f>
        <v>99</v>
      </c>
      <c r="I73" s="215"/>
      <c r="J73" s="291" t="n">
        <f aca="false">H73+H71</f>
        <v>259</v>
      </c>
      <c r="K73" s="216"/>
      <c r="L73" s="63"/>
      <c r="M73" s="285" t="s">
        <v>99</v>
      </c>
      <c r="N73" s="133" t="n">
        <f aca="false">N72*H29</f>
        <v>99</v>
      </c>
      <c r="O73" s="215"/>
      <c r="P73" s="291" t="n">
        <f aca="false">N73+N71</f>
        <v>259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431" t="s">
        <v>280</v>
      </c>
      <c r="B74" s="432" t="n">
        <v>0</v>
      </c>
      <c r="C74" s="215"/>
      <c r="D74" s="215"/>
      <c r="E74" s="216"/>
      <c r="F74" s="63"/>
      <c r="G74" s="292" t="s">
        <v>280</v>
      </c>
      <c r="H74" s="298" t="n">
        <v>165</v>
      </c>
      <c r="I74" s="215"/>
      <c r="J74" s="215"/>
      <c r="K74" s="216"/>
      <c r="L74" s="63"/>
      <c r="M74" s="431" t="s">
        <v>280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433" t="s">
        <v>281</v>
      </c>
      <c r="B75" s="434" t="n">
        <v>0</v>
      </c>
      <c r="C75" s="215"/>
      <c r="D75" s="215"/>
      <c r="E75" s="216"/>
      <c r="F75" s="63"/>
      <c r="G75" s="295" t="s">
        <v>281</v>
      </c>
      <c r="H75" s="299" t="n">
        <v>0</v>
      </c>
      <c r="I75" s="215"/>
      <c r="J75" s="215"/>
      <c r="K75" s="216"/>
      <c r="L75" s="63"/>
      <c r="M75" s="433" t="s">
        <v>281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435" t="s">
        <v>282</v>
      </c>
      <c r="B76" s="436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282</v>
      </c>
      <c r="H76" s="133" t="n">
        <f aca="false">((H74+H75)/12)*(H29-11)</f>
        <v>151.25</v>
      </c>
      <c r="I76" s="215"/>
      <c r="J76" s="291" t="n">
        <f aca="false">H76</f>
        <v>151.25</v>
      </c>
      <c r="K76" s="216"/>
      <c r="L76" s="63"/>
      <c r="M76" s="435" t="s">
        <v>282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283</v>
      </c>
      <c r="B77" s="131" t="n">
        <f aca="false">B102/(1-0.1)</f>
        <v>0</v>
      </c>
      <c r="C77" s="215"/>
      <c r="D77" s="291" t="n">
        <f aca="false">B77</f>
        <v>0</v>
      </c>
      <c r="E77" s="216"/>
      <c r="F77" s="63"/>
      <c r="G77" s="292" t="s">
        <v>283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283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0</v>
      </c>
      <c r="C78" s="215"/>
      <c r="D78" s="291" t="n">
        <f aca="false">B78</f>
        <v>0</v>
      </c>
      <c r="E78" s="216"/>
      <c r="F78" s="63"/>
      <c r="G78" s="214" t="s">
        <v>284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284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215"/>
      <c r="D79" s="291" t="n">
        <f aca="false">B79</f>
        <v>200</v>
      </c>
      <c r="E79" s="21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215"/>
      <c r="D80" s="291" t="n">
        <f aca="false">B80</f>
        <v>200</v>
      </c>
      <c r="E80" s="216"/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2480.16</v>
      </c>
      <c r="C81" s="215"/>
      <c r="D81" s="215"/>
      <c r="E81" s="216"/>
      <c r="F81" s="63"/>
      <c r="G81" s="303" t="s">
        <v>102</v>
      </c>
      <c r="H81" s="304" t="n">
        <f aca="false">SUM(J64:J80)</f>
        <v>2580.41</v>
      </c>
      <c r="I81" s="215"/>
      <c r="J81" s="215"/>
      <c r="K81" s="216"/>
      <c r="L81" s="63"/>
      <c r="M81" s="303" t="s">
        <v>102</v>
      </c>
      <c r="N81" s="304" t="n">
        <f aca="false">SUM(P64:P80)</f>
        <v>2429.16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112.734545454545</v>
      </c>
      <c r="C82" s="215"/>
      <c r="D82" s="215"/>
      <c r="E82" s="216"/>
      <c r="F82" s="63"/>
      <c r="G82" s="214" t="s">
        <v>103</v>
      </c>
      <c r="H82" s="300" t="n">
        <f aca="false">H81/H29</f>
        <v>117.291363636364</v>
      </c>
      <c r="I82" s="215"/>
      <c r="J82" s="215"/>
      <c r="K82" s="216"/>
      <c r="L82" s="63"/>
      <c r="M82" s="214" t="s">
        <v>103</v>
      </c>
      <c r="N82" s="300" t="n">
        <f aca="false">N81/H29</f>
        <v>110.416363636364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548.895083902158</v>
      </c>
      <c r="C83" s="215"/>
      <c r="D83" s="215"/>
      <c r="E83" s="216"/>
      <c r="F83" s="63"/>
      <c r="G83" s="305" t="s">
        <v>104</v>
      </c>
      <c r="H83" s="306" t="n">
        <f aca="false">H47</f>
        <v>548.895083902158</v>
      </c>
      <c r="I83" s="215"/>
      <c r="J83" s="215"/>
      <c r="K83" s="216"/>
      <c r="L83" s="63"/>
      <c r="M83" s="305" t="s">
        <v>104</v>
      </c>
      <c r="N83" s="306" t="n">
        <f aca="false">H47</f>
        <v>548.895083902158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14555.8518458475</v>
      </c>
      <c r="C85" s="215"/>
      <c r="D85" s="215"/>
      <c r="E85" s="216"/>
      <c r="F85" s="63"/>
      <c r="G85" s="288" t="s">
        <v>114</v>
      </c>
      <c r="H85" s="131" t="n">
        <f aca="false">((H83*H29)+H81)*1.2</f>
        <v>17587.322215017</v>
      </c>
      <c r="I85" s="215"/>
      <c r="J85" s="215"/>
      <c r="K85" s="216"/>
      <c r="L85" s="63"/>
      <c r="M85" s="288" t="s">
        <v>114</v>
      </c>
      <c r="N85" s="131" t="n">
        <f aca="false">((N83*H29)+N81)</f>
        <v>14504.8518458475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(B85/(1-B70))*B70</f>
        <v>123.304916806292</v>
      </c>
      <c r="C86" s="215"/>
      <c r="D86" s="215"/>
      <c r="E86" s="216"/>
      <c r="F86" s="63"/>
      <c r="G86" s="214" t="s">
        <v>115</v>
      </c>
      <c r="H86" s="300" t="n">
        <f aca="false">((((H83*H29)+H81))/(1-H70))*H70</f>
        <v>124.154150368212</v>
      </c>
      <c r="I86" s="215"/>
      <c r="J86" s="215"/>
      <c r="K86" s="216"/>
      <c r="L86" s="63"/>
      <c r="M86" s="214" t="s">
        <v>115</v>
      </c>
      <c r="N86" s="300" t="n">
        <f aca="false">(N85/(1-N70))*N70</f>
        <v>122.872887762322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IF(B110="YES",((B85+B86)-E114),(B85+B86))</f>
        <v>14679.1567626538</v>
      </c>
      <c r="C87" s="215"/>
      <c r="D87" s="215"/>
      <c r="E87" s="216"/>
      <c r="F87" s="63"/>
      <c r="G87" s="285" t="s">
        <v>116</v>
      </c>
      <c r="H87" s="133" t="n">
        <f aca="false">IF(H110="YES",((H85+H86)-K114),(H85+H86))</f>
        <v>17711.4763653852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14627.7247336098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(D40+(D40*B105))/(B58), (D40+(D40*B105))/(B57+B58))*(C45/100)</f>
        <v>60.515</v>
      </c>
      <c r="C89" s="215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54.6186666666667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45.5155555555556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667.234398302444</v>
      </c>
      <c r="C90" s="215"/>
      <c r="D90" s="215"/>
      <c r="E90" s="216"/>
      <c r="F90" s="63"/>
      <c r="G90" s="308" t="s">
        <v>118</v>
      </c>
      <c r="H90" s="309" t="n">
        <f aca="false">IF(H99=Y98, (H87-J105)/(H58), H87/(H57+H58))</f>
        <v>655.980606125377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541.767582726288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727.749398302444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710.599272792043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587.283138281844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343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213" t="s">
        <v>343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214" t="s">
        <v>125</v>
      </c>
      <c r="N98" s="215" t="s">
        <v>23</v>
      </c>
      <c r="O98" s="215"/>
      <c r="P98" s="215" t="s">
        <v>286</v>
      </c>
      <c r="Q98" s="216"/>
      <c r="R98" s="63"/>
      <c r="S98" s="63"/>
      <c r="T98" s="63"/>
      <c r="U98" s="63"/>
      <c r="V98" s="63"/>
      <c r="W98" s="63"/>
      <c r="X98" s="63"/>
      <c r="Y98" s="63" t="s">
        <v>264</v>
      </c>
      <c r="Z98" s="63"/>
    </row>
    <row r="99" customFormat="false" ht="18.75" hidden="false" customHeight="true" outlineLevel="0" collapsed="false">
      <c r="A99" s="220" t="s">
        <v>287</v>
      </c>
      <c r="B99" s="312" t="s">
        <v>128</v>
      </c>
      <c r="C99" s="312"/>
      <c r="D99" s="107" t="n">
        <v>1000</v>
      </c>
      <c r="E99" s="107"/>
      <c r="F99" s="63"/>
      <c r="G99" s="220" t="s">
        <v>287</v>
      </c>
      <c r="H99" s="312" t="s">
        <v>266</v>
      </c>
      <c r="I99" s="312"/>
      <c r="J99" s="107" t="n">
        <v>0</v>
      </c>
      <c r="K99" s="107"/>
      <c r="L99" s="63"/>
      <c r="M99" s="220" t="s">
        <v>287</v>
      </c>
      <c r="N99" s="312" t="s">
        <v>266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265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266</v>
      </c>
      <c r="Z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291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214" t="s">
        <v>289</v>
      </c>
      <c r="N101" s="215" t="s">
        <v>290</v>
      </c>
      <c r="O101" s="215"/>
      <c r="P101" s="215" t="s">
        <v>291</v>
      </c>
      <c r="Q101" s="216"/>
      <c r="R101" s="63"/>
      <c r="S101" s="63"/>
      <c r="T101" s="63"/>
      <c r="U101" s="63"/>
      <c r="V101" s="63"/>
      <c r="W101" s="63"/>
      <c r="X101" s="63"/>
      <c r="Y101" s="63" t="s">
        <v>267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0</v>
      </c>
      <c r="C102" s="107"/>
      <c r="D102" s="107" t="n">
        <v>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268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269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270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0.3</v>
      </c>
      <c r="C105" s="314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271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 t="s">
        <v>344</v>
      </c>
      <c r="C107" s="222" t="s">
        <v>18</v>
      </c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344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s">
        <v>293</v>
      </c>
      <c r="B108" s="217"/>
      <c r="C108" s="217"/>
      <c r="D108" s="217"/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217" t="s">
        <v>293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294</v>
      </c>
      <c r="B110" s="222" t="s">
        <v>19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214" t="s">
        <v>294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18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(E118*1.2)+E117-E114</f>
        <v>-2760.012</v>
      </c>
      <c r="F119" s="63"/>
      <c r="G119" s="315" t="s">
        <v>295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295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217" t="s">
        <v>296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22</v>
      </c>
      <c r="C125" s="325"/>
      <c r="D125" s="324" t="n">
        <f aca="false">B160</f>
        <v>22000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299</v>
      </c>
      <c r="H126" s="328" t="s">
        <v>300</v>
      </c>
      <c r="I126" s="328"/>
      <c r="J126" s="328" t="s">
        <v>301</v>
      </c>
      <c r="K126" s="216"/>
      <c r="L126" s="63"/>
      <c r="M126" s="327" t="s">
        <v>345</v>
      </c>
      <c r="N126" s="328" t="s">
        <v>253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333" t="n">
        <f aca="false">H90</f>
        <v>655.980606125377</v>
      </c>
      <c r="H127" s="177" t="n">
        <f aca="false">IF(G105="YES", H89*H57, 0)</f>
        <v>327.712</v>
      </c>
      <c r="I127" s="177"/>
      <c r="J127" s="334" t="n">
        <f aca="false">H91</f>
        <v>710.599272792043</v>
      </c>
      <c r="K127" s="216"/>
      <c r="L127" s="63"/>
      <c r="M127" s="333" t="n">
        <f aca="false">N90</f>
        <v>541.767582726288</v>
      </c>
      <c r="N127" s="177" t="n">
        <f aca="false">IF(M105="YES", N89*N57, 0)</f>
        <v>273.093333333333</v>
      </c>
      <c r="O127" s="177"/>
      <c r="P127" s="177" t="n">
        <f aca="false">N91</f>
        <v>587.283138281844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667.234398302444</v>
      </c>
      <c r="B128" s="321" t="n">
        <f aca="false">IF(A105="YES", B89, 0)</f>
        <v>60.515</v>
      </c>
      <c r="C128" s="325"/>
      <c r="D128" s="321" t="n">
        <f aca="false">B91</f>
        <v>727.749398302444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228" t="n">
        <f aca="false">G152</f>
        <v>22</v>
      </c>
      <c r="H130" s="229" t="n">
        <f aca="false">B151</f>
        <v>0</v>
      </c>
      <c r="I130" s="230"/>
      <c r="J130" s="229" t="n">
        <f aca="false">B58</f>
        <v>21</v>
      </c>
      <c r="K130" s="216"/>
      <c r="L130" s="63"/>
      <c r="M130" s="228" t="n">
        <f aca="false">M155</f>
        <v>22</v>
      </c>
      <c r="N130" s="229" t="n">
        <f aca="false">B151</f>
        <v>0</v>
      </c>
      <c r="O130" s="230"/>
      <c r="P130" s="229" t="n">
        <f aca="false">B58</f>
        <v>21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667.234398302444</v>
      </c>
      <c r="C131" s="317"/>
      <c r="D131" s="38" t="n">
        <f aca="false">IF(A105="YES", B89*B57, 0)</f>
        <v>60.515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214" t="s">
        <v>346</v>
      </c>
      <c r="N132" s="215" t="s">
        <v>242</v>
      </c>
      <c r="O132" s="215"/>
      <c r="P132" s="215" t="s">
        <v>246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3935.88363675226</v>
      </c>
      <c r="H133" s="103" t="n">
        <f aca="false">IF(G105="YES", H89*H57, 0)</f>
        <v>327.712</v>
      </c>
      <c r="I133" s="221"/>
      <c r="J133" s="184" t="n">
        <f aca="false">H91*H57</f>
        <v>4263.59563675226</v>
      </c>
      <c r="K133" s="216"/>
      <c r="L133" s="63"/>
      <c r="M133" s="185" t="n">
        <f aca="false">N90*N57</f>
        <v>3250.60549635773</v>
      </c>
      <c r="N133" s="103" t="n">
        <f aca="false">IF(M105="YES", N89*N57, 0)</f>
        <v>273.093333333333</v>
      </c>
      <c r="O133" s="221"/>
      <c r="P133" s="184" t="n">
        <f aca="false">N91*N57</f>
        <v>3523.69882969106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727.749398302444</v>
      </c>
      <c r="B134" s="38" t="n">
        <f aca="false">E114</f>
        <v>4000</v>
      </c>
      <c r="C134" s="317"/>
      <c r="D134" s="337" t="n">
        <f aca="false">B58</f>
        <v>21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214" t="s">
        <v>255</v>
      </c>
      <c r="N135" s="215" t="s">
        <v>256</v>
      </c>
      <c r="O135" s="215"/>
      <c r="P135" s="215" t="s">
        <v>260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0.127608</v>
      </c>
      <c r="H136" s="103" t="n">
        <f aca="false">IF(G105="YES", E15*0.000002, 0)</f>
        <v>0.042536</v>
      </c>
      <c r="I136" s="103"/>
      <c r="J136" s="103" t="n">
        <f aca="false">G136+H136</f>
        <v>0.170144</v>
      </c>
      <c r="K136" s="105"/>
      <c r="L136" s="63"/>
      <c r="M136" s="111" t="n">
        <f aca="false">E15*0.000006</f>
        <v>0.127608</v>
      </c>
      <c r="N136" s="103" t="n">
        <f aca="false">IF(M105="YES", E15*0.000002, 0)</f>
        <v>0.042536</v>
      </c>
      <c r="O136" s="103"/>
      <c r="P136" s="103" t="n">
        <f aca="false">M136+N136</f>
        <v>0.170144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667.234398302444</v>
      </c>
      <c r="B137" s="38" t="n">
        <f aca="false">IF(A105="YES", B89, 0)</f>
        <v>60.515</v>
      </c>
      <c r="C137" s="317"/>
      <c r="D137" s="38" t="n">
        <f aca="false">B91</f>
        <v>727.749398302444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214" t="s">
        <v>139</v>
      </c>
      <c r="N138" s="215" t="s">
        <v>313</v>
      </c>
      <c r="O138" s="215"/>
      <c r="P138" s="215" t="s">
        <v>314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247.066666666667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247.066666666667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15.06816</v>
      </c>
      <c r="B140" s="343" t="n">
        <f aca="false">IF(A105="YES", G18*0.000002, 0)*1.2*100</f>
        <v>5.02272</v>
      </c>
      <c r="C140" s="317"/>
      <c r="D140" s="343" t="n">
        <f aca="false">A140+B140</f>
        <v>20.09088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214" t="s">
        <v>316</v>
      </c>
      <c r="N141" s="215" t="s">
        <v>317</v>
      </c>
      <c r="O141" s="215"/>
      <c r="P141" s="215" t="s">
        <v>318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((B36*H105)*0.1)*(G130), 0)</f>
        <v>20.482</v>
      </c>
      <c r="H142" s="103" t="n">
        <f aca="false">G102-100</f>
        <v>99.99</v>
      </c>
      <c r="I142" s="103"/>
      <c r="J142" s="103" t="n">
        <f aca="false">(H139+J139+G142+H142)-H145</f>
        <v>367.538666666667</v>
      </c>
      <c r="K142" s="105"/>
      <c r="L142" s="63"/>
      <c r="M142" s="111" t="n">
        <f aca="false">IF(M105="YES", ((B36*N105)*0.1)*(M130), 0)</f>
        <v>20.482</v>
      </c>
      <c r="N142" s="103" t="n">
        <f aca="false">M102-100</f>
        <v>99.99</v>
      </c>
      <c r="O142" s="103"/>
      <c r="P142" s="103" t="n">
        <f aca="false">(N139+P139+M142+N142)-N145</f>
        <v>367.538666666667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214" t="s">
        <v>320</v>
      </c>
      <c r="N144" s="215" t="s">
        <v>321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111" t="n">
        <v>0</v>
      </c>
      <c r="N145" s="103" t="n">
        <f aca="false">(N139+P139+M142+N142)*(M145/N64)</f>
        <v>0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347</v>
      </c>
      <c r="N147" s="166" t="s">
        <v>348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296.48</v>
      </c>
      <c r="B148" s="38" t="n">
        <f aca="false">B102</f>
        <v>0</v>
      </c>
      <c r="C148" s="38"/>
      <c r="D148" s="38" t="n">
        <f aca="false">IF(A105="YES", (B40*B105)*B125, 0)*0.1</f>
        <v>30.723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427.193</v>
      </c>
      <c r="E151" s="105"/>
      <c r="F151" s="63"/>
      <c r="G151" s="250"/>
      <c r="H151" s="252" t="n">
        <f aca="false">B51</f>
        <v>22000</v>
      </c>
      <c r="I151" s="252"/>
      <c r="J151" s="215"/>
      <c r="K151" s="216"/>
      <c r="L151" s="63"/>
      <c r="M151" s="281" t="s">
        <v>326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22</v>
      </c>
      <c r="H152" s="74" t="n">
        <f aca="false">H91</f>
        <v>710.599272792043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22000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22</v>
      </c>
      <c r="N155" s="74" t="n">
        <f aca="false">N91</f>
        <v>587.283138281844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22000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22</v>
      </c>
      <c r="B161" s="74" t="n">
        <f aca="false">B91</f>
        <v>727.749398302444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24" t="n">
        <f aca="false">A161</f>
        <v>22</v>
      </c>
      <c r="C174" s="357"/>
      <c r="D174" s="324" t="n">
        <f aca="false">D125</f>
        <v>22000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667.234398302444</v>
      </c>
      <c r="B177" s="355" t="n">
        <f aca="false">IF(A105="YES", B89, 0)</f>
        <v>60.515</v>
      </c>
      <c r="C177" s="357"/>
      <c r="D177" s="355" t="n">
        <f aca="false">B91</f>
        <v>727.749398302444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667.234398302444</v>
      </c>
      <c r="C180" s="353"/>
      <c r="D180" s="103" t="n">
        <f aca="false">IF(A105="YES", B89*B57, 0)</f>
        <v>60.515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727.749398302444</v>
      </c>
      <c r="B183" s="103" t="n">
        <f aca="false">E114</f>
        <v>4000</v>
      </c>
      <c r="C183" s="353"/>
      <c r="D183" s="361" t="n">
        <f aca="false">B58</f>
        <v>21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667.234398302444</v>
      </c>
      <c r="B186" s="103" t="n">
        <f aca="false">IF(A105="YES", B89, 0)</f>
        <v>60.515</v>
      </c>
      <c r="C186" s="353"/>
      <c r="D186" s="103" t="n">
        <f aca="false">B91</f>
        <v>727.749398302444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15.06816</v>
      </c>
      <c r="B189" s="365" t="n">
        <f aca="false">IF(A105="YES", G18*0.000002, 0)*1.2*100</f>
        <v>5.02272</v>
      </c>
      <c r="C189" s="353"/>
      <c r="D189" s="365" t="n">
        <f aca="false">A189+B189</f>
        <v>20.09088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296.48</v>
      </c>
      <c r="B197" s="103" t="n">
        <f aca="false">B102</f>
        <v>0</v>
      </c>
      <c r="C197" s="103"/>
      <c r="D197" s="103" t="n">
        <f aca="false">IF(A105="YES", (B40*B105)*B125, 0)*0.1</f>
        <v>30.723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427.193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D64</f>
        <v>1770.16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296.48</v>
      </c>
      <c r="C211" s="320" t="s">
        <v>217</v>
      </c>
      <c r="D211" s="370" t="n">
        <f aca="false">B225+E221+B221+B223</f>
        <v>407.22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1880.9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1770.16</v>
      </c>
      <c r="C217" s="375" t="s">
        <v>221</v>
      </c>
      <c r="D217" s="317"/>
      <c r="E217" s="376" t="n">
        <f aca="false">B66</f>
        <v>0.0141666666666667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296.48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B78-(B78*(E219*100))</f>
        <v>0</v>
      </c>
      <c r="C223" s="336" t="s">
        <v>218</v>
      </c>
      <c r="D223" s="317"/>
      <c r="E223" s="33" t="n">
        <f aca="false">(B217-B211+D211)</f>
        <v>1880.9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307.23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200</v>
      </c>
      <c r="C229" s="336" t="s">
        <v>226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310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123.304916806292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200</v>
      </c>
      <c r="C233" s="382" t="s">
        <v>333</v>
      </c>
      <c r="D233" s="383"/>
      <c r="E233" s="149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200</v>
      </c>
      <c r="C235" s="386" t="s">
        <v>334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8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'Formula1-FL'!$Y$97:$Y$105</formula1>
      <formula2>0</formula2>
    </dataValidation>
    <dataValidation allowBlank="true" operator="between" showDropDown="false" showErrorMessage="true" showInputMessage="false" sqref="C107" type="list">
      <formula1>"YES,NO"</formula1>
      <formula2>0</formula2>
    </dataValidation>
    <dataValidation allowBlank="true" operator="between" showDropDown="false" showErrorMessage="true" showInputMessage="false" sqref="B26" type="list">
      <formula1>'Formula1-FL'!$I$2:$I$3</formula1>
      <formula2>0</formula2>
    </dataValidation>
    <dataValidation allowBlank="true" operator="between" showDropDown="false" showErrorMessage="true" showInputMessage="false" sqref="A105" type="list">
      <formula1>'Formula1-FL'!$I$2:$I$3</formula1>
      <formula2>0</formula2>
    </dataValidation>
    <dataValidation allowBlank="true" operator="between" showDropDown="false" showErrorMessage="true" showInputMessage="false" sqref="B110" type="list">
      <formula1>'Formula1-FL'!$I$2:$I$3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0"/>
  <sheetViews>
    <sheetView showFormulas="false" showGridLines="true" showRowColHeaders="true" showZeros="true" rightToLeft="false" tabSelected="false" showOutlineSymbols="true" defaultGridColor="true" view="normal" topLeftCell="A93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263" t="n">
        <v>16745</v>
      </c>
      <c r="C3" s="498" t="n">
        <v>0</v>
      </c>
      <c r="D3" s="263" t="n">
        <v>0</v>
      </c>
      <c r="E3" s="499" t="n">
        <v>0</v>
      </c>
      <c r="F3" s="63"/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0" t="n">
        <v>0</v>
      </c>
      <c r="C4" s="0" t="n">
        <v>0</v>
      </c>
      <c r="D4" s="0" t="n">
        <v>0</v>
      </c>
      <c r="E4" s="294"/>
      <c r="F4" s="63"/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16745</v>
      </c>
      <c r="C7" s="291" t="n">
        <f aca="false">C3-C6</f>
        <v>0</v>
      </c>
      <c r="D7" s="291" t="n">
        <f aca="false">D3-D6</f>
        <v>0</v>
      </c>
      <c r="E7" s="300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455" t="n">
        <f aca="false">G9*100/B3</f>
        <v>-809.375933114363</v>
      </c>
      <c r="H8" s="63"/>
      <c r="I8" s="13" t="s">
        <v>3</v>
      </c>
      <c r="J8" s="14" t="n">
        <f aca="false">E13+E14</f>
        <v>340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8" t="n">
        <f aca="false">(B7+C7+D7+E3)</f>
        <v>16745</v>
      </c>
      <c r="F9" s="63"/>
      <c r="G9" s="454" t="n">
        <f aca="false">E9-G11</f>
        <v>-135530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695</v>
      </c>
      <c r="F10" s="63"/>
      <c r="G10" s="454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 E9 + E10 ) * 0.2</f>
        <v>3488</v>
      </c>
      <c r="F11" s="63"/>
      <c r="G11" s="454" t="n">
        <f aca="false">G13/1.2</f>
        <v>152275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275</v>
      </c>
      <c r="F13" s="63"/>
      <c r="G13" s="454" t="n">
        <f aca="false">G15-E14-E13-E12</f>
        <v>182730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9" t="n">
        <f aca="false">(E9+E10+E13+E14+E11) - E12</f>
        <v>21268</v>
      </c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456" t="n">
        <f aca="false">(B3+C3+E10)*1.2</f>
        <v>20928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 t="n">
        <v>0</v>
      </c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21268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22</v>
      </c>
      <c r="I29" s="63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349</v>
      </c>
      <c r="C30" s="172"/>
      <c r="D30" s="215"/>
      <c r="E30" s="216"/>
      <c r="F30" s="63"/>
      <c r="G30" s="218" t="s">
        <v>32</v>
      </c>
      <c r="H30" s="457" t="n">
        <v>22000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8730</v>
      </c>
      <c r="I31" s="63"/>
      <c r="J31" s="63"/>
      <c r="K31" s="63" t="n">
        <v>20000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1024.1</v>
      </c>
      <c r="J32" s="63"/>
      <c r="K32" s="63" t="n">
        <v>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22</v>
      </c>
      <c r="B33" s="229" t="n">
        <v>10000</v>
      </c>
      <c r="C33" s="230"/>
      <c r="D33" s="459" t="n">
        <f aca="false">H48</f>
        <v>595.445083902158</v>
      </c>
      <c r="E33" s="216"/>
      <c r="F33" s="63"/>
      <c r="G33" s="219" t="s">
        <v>356</v>
      </c>
      <c r="H33" s="460" t="n">
        <f aca="false">E21-E11+((E16*20%)+(E19*20%)+(E20*20%))</f>
        <v>17780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22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548.895083902158</v>
      </c>
      <c r="B36" s="103" t="n">
        <f aca="false">IF(B26="YES", H42, "")</f>
        <v>46.55</v>
      </c>
      <c r="C36" s="221"/>
      <c r="D36" s="184" t="n">
        <f aca="false">H31</f>
        <v>8730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17780</v>
      </c>
      <c r="I39" s="238" t="n">
        <f aca="false">(I48*H46)+H44</f>
        <v>34423.8379370532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8730</v>
      </c>
      <c r="B40" s="107" t="n">
        <f aca="false">IF(B26="YES",H42,"0")</f>
        <v>46.55</v>
      </c>
      <c r="C40" s="107"/>
      <c r="D40" s="184" t="n">
        <f aca="false">I32</f>
        <v>1024.1</v>
      </c>
      <c r="E40" s="216"/>
      <c r="F40" s="63"/>
      <c r="G40" s="63" t="s">
        <v>106</v>
      </c>
      <c r="H40" s="238" t="n">
        <f aca="false">(A40)/1.2</f>
        <v>7275</v>
      </c>
      <c r="I40" s="238" t="n">
        <f aca="false">H39-I39</f>
        <v>-16643.8379370533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0.00541666666666667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46.55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6425.00031244387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</v>
      </c>
      <c r="B45" s="215"/>
      <c r="C45" s="510" t="n">
        <v>100</v>
      </c>
      <c r="D45" s="510"/>
      <c r="E45" s="216"/>
      <c r="F45" s="63"/>
      <c r="G45" s="63" t="s">
        <v>374</v>
      </c>
      <c r="H45" s="238" t="n">
        <f aca="false">(H39-H44)</f>
        <v>11354.9996875561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20.6870129111599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548.895083902158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595.445083902158</v>
      </c>
      <c r="I48" s="238" t="n">
        <f aca="false">I49-H42</f>
        <v>1353.45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22000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22</v>
      </c>
      <c r="B52" s="74" t="n">
        <f aca="false">H48</f>
        <v>595.445083902158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21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21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21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20928</v>
      </c>
      <c r="C61" s="215"/>
      <c r="D61" s="215"/>
      <c r="E61" s="216"/>
      <c r="F61" s="63"/>
      <c r="G61" s="214" t="s">
        <v>14</v>
      </c>
      <c r="H61" s="291" t="n">
        <f aca="false">G18</f>
        <v>20928</v>
      </c>
      <c r="I61" s="215"/>
      <c r="J61" s="215"/>
      <c r="K61" s="216"/>
      <c r="L61" s="63"/>
      <c r="M61" s="214" t="s">
        <v>14</v>
      </c>
      <c r="N61" s="291" t="n">
        <f aca="false">G18</f>
        <v>20928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292" t="s">
        <v>278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B62+(B62*0.25*(H29/12-1))</f>
        <v>0.0845833333333333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0.0845833333333333</v>
      </c>
      <c r="I63" s="215"/>
      <c r="J63" s="215"/>
      <c r="K63" s="216"/>
      <c r="L63" s="63"/>
      <c r="M63" s="214" t="s">
        <v>279</v>
      </c>
      <c r="N63" s="294" t="n">
        <f aca="false">N62+(N62*0.25*(H29/12-1))</f>
        <v>0.0845833333333333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B61*B63</f>
        <v>1770.16</v>
      </c>
      <c r="C64" s="215" t="n">
        <v>10000</v>
      </c>
      <c r="D64" s="291" t="n">
        <f aca="false">B64-A143</f>
        <v>1770.16</v>
      </c>
      <c r="E64" s="466" t="n">
        <f aca="false">D64/(B58+B57)</f>
        <v>80.4618181818182</v>
      </c>
      <c r="F64" s="63"/>
      <c r="G64" s="285" t="s">
        <v>90</v>
      </c>
      <c r="H64" s="133" t="n">
        <f aca="false">H61*H63</f>
        <v>1770.16</v>
      </c>
      <c r="I64" s="215"/>
      <c r="J64" s="291" t="n">
        <f aca="false">H64-G145</f>
        <v>1770.16</v>
      </c>
      <c r="K64" s="216"/>
      <c r="L64" s="63"/>
      <c r="M64" s="285" t="s">
        <v>90</v>
      </c>
      <c r="N64" s="133" t="n">
        <f aca="false">N61*N63</f>
        <v>1770.16</v>
      </c>
      <c r="O64" s="215"/>
      <c r="P64" s="291" t="n">
        <f aca="false">N64-M145</f>
        <v>1770.16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0.0141666666666667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0.0141666666666667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0.0141666666666667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B61*B66</f>
        <v>296.48</v>
      </c>
      <c r="C67" s="215"/>
      <c r="D67" s="291"/>
      <c r="E67" s="216"/>
      <c r="F67" s="63"/>
      <c r="G67" s="285" t="s">
        <v>93</v>
      </c>
      <c r="H67" s="133" t="n">
        <f aca="false">(H61*H66)/1.2</f>
        <v>247.066666666667</v>
      </c>
      <c r="I67" s="215"/>
      <c r="J67" s="291"/>
      <c r="K67" s="216"/>
      <c r="L67" s="63"/>
      <c r="M67" s="285" t="s">
        <v>93</v>
      </c>
      <c r="N67" s="133" t="n">
        <f aca="false">(N61*N66)/1.2</f>
        <v>247.066666666667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110</v>
      </c>
      <c r="C73" s="215"/>
      <c r="D73" s="291" t="n">
        <f aca="false">B73+B71</f>
        <v>310</v>
      </c>
      <c r="E73" s="216"/>
      <c r="F73" s="63"/>
      <c r="G73" s="285" t="s">
        <v>99</v>
      </c>
      <c r="H73" s="133" t="n">
        <f aca="false">H72*H29</f>
        <v>99</v>
      </c>
      <c r="I73" s="215"/>
      <c r="J73" s="291" t="n">
        <f aca="false">H73+H71</f>
        <v>259</v>
      </c>
      <c r="K73" s="216"/>
      <c r="L73" s="63"/>
      <c r="M73" s="285" t="s">
        <v>99</v>
      </c>
      <c r="N73" s="133" t="n">
        <f aca="false">N72*H29</f>
        <v>99</v>
      </c>
      <c r="O73" s="215"/>
      <c r="P73" s="291" t="n">
        <f aca="false">N73+N71</f>
        <v>259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0</v>
      </c>
      <c r="C74" s="215"/>
      <c r="D74" s="215"/>
      <c r="E74" s="216"/>
      <c r="F74" s="63"/>
      <c r="G74" s="292" t="s">
        <v>280</v>
      </c>
      <c r="H74" s="298" t="n">
        <v>165</v>
      </c>
      <c r="I74" s="215"/>
      <c r="J74" s="215"/>
      <c r="K74" s="216"/>
      <c r="L74" s="63"/>
      <c r="M74" s="431" t="s">
        <v>280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</v>
      </c>
      <c r="C75" s="215"/>
      <c r="D75" s="215"/>
      <c r="E75" s="216"/>
      <c r="F75" s="63"/>
      <c r="G75" s="295" t="s">
        <v>281</v>
      </c>
      <c r="H75" s="299" t="n">
        <v>0</v>
      </c>
      <c r="I75" s="215"/>
      <c r="J75" s="215"/>
      <c r="K75" s="216"/>
      <c r="L75" s="63"/>
      <c r="M75" s="433" t="s">
        <v>281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282</v>
      </c>
      <c r="H76" s="133" t="n">
        <f aca="false">((H74+H75)/12)*(H29-11)</f>
        <v>151.25</v>
      </c>
      <c r="I76" s="215"/>
      <c r="J76" s="291" t="n">
        <f aca="false">H76</f>
        <v>151.25</v>
      </c>
      <c r="K76" s="216"/>
      <c r="L76" s="63"/>
      <c r="M76" s="435" t="s">
        <v>282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283</v>
      </c>
      <c r="B77" s="131" t="n">
        <f aca="false">B102/(1-0.1)</f>
        <v>444.444444444444</v>
      </c>
      <c r="C77" s="215"/>
      <c r="D77" s="291" t="n">
        <f aca="false">B77</f>
        <v>444.444444444444</v>
      </c>
      <c r="E77" s="466" t="n">
        <f aca="false">D77/(B58+B57)</f>
        <v>20.2020202020202</v>
      </c>
      <c r="F77" s="63"/>
      <c r="G77" s="292" t="s">
        <v>283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283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466"/>
      <c r="F78" s="63"/>
      <c r="G78" s="214" t="s">
        <v>284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284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215"/>
      <c r="D79" s="291" t="n">
        <f aca="false">B79</f>
        <v>200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215"/>
      <c r="D80" s="291" t="n">
        <f aca="false">B80</f>
        <v>200</v>
      </c>
      <c r="E80" s="466" t="n">
        <f aca="false">(D73+D76+D79+D80)/(B58+B57)</f>
        <v>32.2727272727273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3146.82666666667</v>
      </c>
      <c r="C81" s="215"/>
      <c r="D81" s="215"/>
      <c r="E81" s="466"/>
      <c r="F81" s="63"/>
      <c r="G81" s="303" t="s">
        <v>102</v>
      </c>
      <c r="H81" s="304" t="n">
        <f aca="false">SUM(J64:J80)</f>
        <v>2580.41</v>
      </c>
      <c r="I81" s="215"/>
      <c r="J81" s="215"/>
      <c r="K81" s="216"/>
      <c r="L81" s="63"/>
      <c r="M81" s="303" t="s">
        <v>102</v>
      </c>
      <c r="N81" s="304" t="n">
        <f aca="false">SUM(P64:P80)</f>
        <v>2429.16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143.037575757576</v>
      </c>
      <c r="C82" s="215"/>
      <c r="D82" s="215"/>
      <c r="E82" s="466"/>
      <c r="F82" s="63"/>
      <c r="G82" s="214" t="s">
        <v>103</v>
      </c>
      <c r="H82" s="300" t="n">
        <f aca="false">H81/H29</f>
        <v>117.291363636364</v>
      </c>
      <c r="I82" s="215"/>
      <c r="J82" s="215"/>
      <c r="K82" s="216"/>
      <c r="L82" s="63"/>
      <c r="M82" s="214" t="s">
        <v>103</v>
      </c>
      <c r="N82" s="300" t="n">
        <f aca="false">N81/H29</f>
        <v>110.416363636364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548.895083902158</v>
      </c>
      <c r="C83" s="215"/>
      <c r="D83" s="215"/>
      <c r="E83" s="466" t="n">
        <f aca="false">B83+E80+E77+E64</f>
        <v>681.831649558723</v>
      </c>
      <c r="F83" s="63"/>
      <c r="G83" s="305" t="s">
        <v>104</v>
      </c>
      <c r="H83" s="306" t="n">
        <f aca="false">H47</f>
        <v>548.895083902158</v>
      </c>
      <c r="I83" s="215"/>
      <c r="J83" s="215"/>
      <c r="K83" s="216"/>
      <c r="L83" s="63"/>
      <c r="M83" s="305" t="s">
        <v>104</v>
      </c>
      <c r="N83" s="306" t="n">
        <f aca="false">H47</f>
        <v>548.895083902158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((B83*H29)+B81)*1.2</f>
        <v>18267.022215017</v>
      </c>
      <c r="C85" s="215"/>
      <c r="D85" s="215"/>
      <c r="E85" s="466" t="n">
        <f aca="false">B85/(B58+B57)</f>
        <v>830.31919159168</v>
      </c>
      <c r="F85" s="63"/>
      <c r="G85" s="288" t="s">
        <v>114</v>
      </c>
      <c r="H85" s="131" t="n">
        <f aca="false">((H83*H29)+H81)*1.2</f>
        <v>17587.322215017</v>
      </c>
      <c r="I85" s="215"/>
      <c r="J85" s="215"/>
      <c r="K85" s="216"/>
      <c r="L85" s="63"/>
      <c r="M85" s="288" t="s">
        <v>114</v>
      </c>
      <c r="N85" s="131" t="n">
        <f aca="false">((N83*H29)+N81)</f>
        <v>14504.8518458475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((((B83*H29)+B81))/(1-B70))*B70</f>
        <v>128.952355289551</v>
      </c>
      <c r="C86" s="215"/>
      <c r="D86" s="215"/>
      <c r="E86" s="466" t="n">
        <f aca="false">B86/(B58+B57)</f>
        <v>5.86147069497959</v>
      </c>
      <c r="F86" s="63"/>
      <c r="G86" s="214" t="s">
        <v>115</v>
      </c>
      <c r="H86" s="300" t="n">
        <f aca="false">((((H83*H29)+H81))/(1-H70))*H70</f>
        <v>124.154150368212</v>
      </c>
      <c r="I86" s="215"/>
      <c r="J86" s="215"/>
      <c r="K86" s="216"/>
      <c r="L86" s="63"/>
      <c r="M86" s="214" t="s">
        <v>115</v>
      </c>
      <c r="N86" s="300" t="n">
        <f aca="false">(N85/(1-N70))*N70</f>
        <v>122.872887762322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IF(B110="YES",((B85+B86)-E114),(B85+B86))</f>
        <v>18395.9745703065</v>
      </c>
      <c r="C87" s="215"/>
      <c r="D87" s="215"/>
      <c r="E87" s="466" t="n">
        <f aca="false">E86+E85</f>
        <v>836.18066228666</v>
      </c>
      <c r="F87" s="63"/>
      <c r="G87" s="285" t="s">
        <v>116</v>
      </c>
      <c r="H87" s="133" t="n">
        <f aca="false">IF(H110="YES",((H85+H86)-K114),(H85+H86))</f>
        <v>17711.4763653852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14627.7247336098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(D40+(D40*B105))/(B58), (D40+(D40*B105))/(B57+B58))*1.2*(C45/100)</f>
        <v>72.618</v>
      </c>
      <c r="C89" s="215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54.6186666666667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45.5155555555556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836.18066228666</v>
      </c>
      <c r="C90" s="215"/>
      <c r="D90" s="215"/>
      <c r="E90" s="216"/>
      <c r="F90" s="63"/>
      <c r="G90" s="308" t="s">
        <v>118</v>
      </c>
      <c r="H90" s="309" t="n">
        <f aca="false">IF(H99=Y98, (H87-J105)/(H58), H87/(H57+H58))</f>
        <v>655.980606125377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541.767582726288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908.798662286659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710.599272792043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587.283138281844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285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213" t="s">
        <v>343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214" t="s">
        <v>125</v>
      </c>
      <c r="N98" s="215" t="s">
        <v>23</v>
      </c>
      <c r="O98" s="215"/>
      <c r="P98" s="215" t="s">
        <v>286</v>
      </c>
      <c r="Q98" s="216"/>
      <c r="R98" s="63"/>
      <c r="S98" s="63"/>
      <c r="T98" s="63"/>
      <c r="U98" s="63"/>
      <c r="V98" s="63"/>
      <c r="W98" s="63"/>
      <c r="X98" s="63"/>
      <c r="Y98" s="63" t="s">
        <v>264</v>
      </c>
      <c r="Z98" s="63"/>
    </row>
    <row r="99" customFormat="false" ht="18.75" hidden="false" customHeight="true" outlineLevel="0" collapsed="false">
      <c r="A99" s="220" t="s">
        <v>287</v>
      </c>
      <c r="B99" s="312" t="s">
        <v>128</v>
      </c>
      <c r="C99" s="312"/>
      <c r="D99" s="107" t="n">
        <v>1000</v>
      </c>
      <c r="E99" s="107"/>
      <c r="F99" s="63"/>
      <c r="G99" s="220" t="s">
        <v>287</v>
      </c>
      <c r="H99" s="312" t="s">
        <v>266</v>
      </c>
      <c r="I99" s="312"/>
      <c r="J99" s="107" t="n">
        <v>0</v>
      </c>
      <c r="K99" s="107"/>
      <c r="L99" s="63"/>
      <c r="M99" s="220" t="s">
        <v>287</v>
      </c>
      <c r="N99" s="312" t="s">
        <v>266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265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266</v>
      </c>
      <c r="Z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291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214" t="s">
        <v>289</v>
      </c>
      <c r="N101" s="215" t="s">
        <v>290</v>
      </c>
      <c r="O101" s="215"/>
      <c r="P101" s="215" t="s">
        <v>291</v>
      </c>
      <c r="Q101" s="216"/>
      <c r="R101" s="63"/>
      <c r="S101" s="63"/>
      <c r="T101" s="63"/>
      <c r="U101" s="63"/>
      <c r="V101" s="63"/>
      <c r="W101" s="63"/>
      <c r="X101" s="63"/>
      <c r="Y101" s="63" t="s">
        <v>267</v>
      </c>
      <c r="Z101" s="63"/>
    </row>
    <row r="102" customFormat="false" ht="18.75" hidden="false" customHeight="true" outlineLevel="0" collapsed="false">
      <c r="A102" s="313" t="n">
        <v>239.99</v>
      </c>
      <c r="B102" s="107" t="n">
        <v>400</v>
      </c>
      <c r="C102" s="107"/>
      <c r="D102" s="107" t="n">
        <v>200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268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269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270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0.3</v>
      </c>
      <c r="C105" s="314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271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344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s">
        <v>293</v>
      </c>
      <c r="B108" s="217"/>
      <c r="C108" s="217"/>
      <c r="D108" s="217"/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217" t="s">
        <v>293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294</v>
      </c>
      <c r="B110" s="222" t="s">
        <v>19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214" t="s">
        <v>294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E118+E117-E114</f>
        <v>-2760.01</v>
      </c>
      <c r="F119" s="63"/>
      <c r="G119" s="315" t="s">
        <v>295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295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217" t="s">
        <v>296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22</v>
      </c>
      <c r="C125" s="325"/>
      <c r="D125" s="324" t="n">
        <f aca="false">B160</f>
        <v>22000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299</v>
      </c>
      <c r="H126" s="328" t="s">
        <v>300</v>
      </c>
      <c r="I126" s="328"/>
      <c r="J126" s="328" t="s">
        <v>301</v>
      </c>
      <c r="K126" s="216"/>
      <c r="L126" s="63"/>
      <c r="M126" s="327" t="s">
        <v>345</v>
      </c>
      <c r="N126" s="328" t="s">
        <v>253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333" t="n">
        <f aca="false">H90</f>
        <v>655.980606125377</v>
      </c>
      <c r="H127" s="177" t="n">
        <f aca="false">IF(G105="YES", H89*H57, 0)</f>
        <v>327.712</v>
      </c>
      <c r="I127" s="177"/>
      <c r="J127" s="334" t="n">
        <f aca="false">H91</f>
        <v>710.599272792043</v>
      </c>
      <c r="K127" s="216"/>
      <c r="L127" s="63"/>
      <c r="M127" s="333" t="n">
        <f aca="false">N90</f>
        <v>541.767582726288</v>
      </c>
      <c r="N127" s="177" t="n">
        <f aca="false">IF(M105="YES", N89*N57, 0)</f>
        <v>273.093333333333</v>
      </c>
      <c r="O127" s="177"/>
      <c r="P127" s="177" t="n">
        <f aca="false">N91</f>
        <v>587.283138281844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836.18066228666</v>
      </c>
      <c r="B128" s="321" t="n">
        <f aca="false">IF(A105="YES", B89, 0)</f>
        <v>72.618</v>
      </c>
      <c r="C128" s="325"/>
      <c r="D128" s="321" t="n">
        <f aca="false">B91</f>
        <v>908.798662286659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228" t="n">
        <f aca="false">G152</f>
        <v>22</v>
      </c>
      <c r="H130" s="229" t="n">
        <f aca="false">B151</f>
        <v>0</v>
      </c>
      <c r="I130" s="230"/>
      <c r="J130" s="229" t="n">
        <f aca="false">B58</f>
        <v>21</v>
      </c>
      <c r="K130" s="216"/>
      <c r="L130" s="63"/>
      <c r="M130" s="228" t="n">
        <f aca="false">M155</f>
        <v>22</v>
      </c>
      <c r="N130" s="229" t="n">
        <f aca="false">B151</f>
        <v>0</v>
      </c>
      <c r="O130" s="230"/>
      <c r="P130" s="229" t="n">
        <f aca="false">B58</f>
        <v>21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836.18066228666</v>
      </c>
      <c r="C131" s="317"/>
      <c r="D131" s="38" t="n">
        <f aca="false">IF(A105="YES", B89*B57, 0)</f>
        <v>72.618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214" t="s">
        <v>346</v>
      </c>
      <c r="N132" s="215" t="s">
        <v>242</v>
      </c>
      <c r="O132" s="215"/>
      <c r="P132" s="215" t="s">
        <v>246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3935.88363675226</v>
      </c>
      <c r="H133" s="103" t="n">
        <f aca="false">IF(G105="YES", H89*H57, 0)</f>
        <v>327.712</v>
      </c>
      <c r="I133" s="221"/>
      <c r="J133" s="184" t="n">
        <f aca="false">H91*H57</f>
        <v>4263.59563675226</v>
      </c>
      <c r="K133" s="216"/>
      <c r="L133" s="63"/>
      <c r="M133" s="185" t="n">
        <f aca="false">N90*N57</f>
        <v>3250.60549635773</v>
      </c>
      <c r="N133" s="103" t="n">
        <f aca="false">IF(M105="YES", N89*N57, 0)</f>
        <v>273.093333333333</v>
      </c>
      <c r="O133" s="221"/>
      <c r="P133" s="184" t="n">
        <f aca="false">N91*N57</f>
        <v>3523.69882969106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908.798662286659</v>
      </c>
      <c r="B134" s="38" t="n">
        <f aca="false">E114</f>
        <v>4000</v>
      </c>
      <c r="C134" s="317"/>
      <c r="D134" s="337" t="n">
        <f aca="false">B58</f>
        <v>21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214" t="s">
        <v>255</v>
      </c>
      <c r="N135" s="215" t="s">
        <v>256</v>
      </c>
      <c r="O135" s="215"/>
      <c r="P135" s="215" t="s">
        <v>260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0.127608</v>
      </c>
      <c r="H136" s="103" t="n">
        <f aca="false">IF(G105="YES", E15*0.000002, 0)</f>
        <v>0.042536</v>
      </c>
      <c r="I136" s="103"/>
      <c r="J136" s="103" t="n">
        <f aca="false">G136+H136</f>
        <v>0.170144</v>
      </c>
      <c r="K136" s="105"/>
      <c r="L136" s="63"/>
      <c r="M136" s="111" t="n">
        <f aca="false">E15*0.000006</f>
        <v>0.127608</v>
      </c>
      <c r="N136" s="103" t="n">
        <f aca="false">IF(M105="YES", E15*0.000002, 0)</f>
        <v>0.042536</v>
      </c>
      <c r="O136" s="103"/>
      <c r="P136" s="103" t="n">
        <f aca="false">M136+N136</f>
        <v>0.170144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836.18066228666</v>
      </c>
      <c r="B137" s="38" t="n">
        <f aca="false">IF(A105="YES", B89, 0)</f>
        <v>72.618</v>
      </c>
      <c r="C137" s="317"/>
      <c r="D137" s="38" t="n">
        <f aca="false">B91</f>
        <v>908.798662286659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214" t="s">
        <v>139</v>
      </c>
      <c r="N138" s="215" t="s">
        <v>313</v>
      </c>
      <c r="O138" s="215"/>
      <c r="P138" s="215" t="s">
        <v>314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247.066666666667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247.066666666667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15.06816</v>
      </c>
      <c r="B140" s="343" t="n">
        <f aca="false">IF(A105="YES", G18*0.000002, 0)*1.2*100</f>
        <v>5.02272</v>
      </c>
      <c r="C140" s="317"/>
      <c r="D140" s="343" t="n">
        <f aca="false">A140+B140</f>
        <v>20.09088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214" t="s">
        <v>316</v>
      </c>
      <c r="N141" s="215" t="s">
        <v>317</v>
      </c>
      <c r="O141" s="215"/>
      <c r="P141" s="215" t="s">
        <v>318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((B36*H105)*0.1)*(G130), 0)</f>
        <v>20.482</v>
      </c>
      <c r="H142" s="103" t="n">
        <f aca="false">G102-100</f>
        <v>99.99</v>
      </c>
      <c r="I142" s="103"/>
      <c r="J142" s="103" t="n">
        <f aca="false">(H139+J139+G142+H142)-H145</f>
        <v>367.538666666667</v>
      </c>
      <c r="K142" s="105"/>
      <c r="L142" s="63"/>
      <c r="M142" s="111" t="n">
        <f aca="false">IF(M105="YES", ((B36*N105)*0.1)*(M130), 0)</f>
        <v>20.482</v>
      </c>
      <c r="N142" s="103" t="n">
        <f aca="false">M102-100</f>
        <v>99.99</v>
      </c>
      <c r="O142" s="103"/>
      <c r="P142" s="103" t="n">
        <f aca="false">(N139+P139+M142+N142)-N145</f>
        <v>367.538666666667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214" t="s">
        <v>320</v>
      </c>
      <c r="N144" s="215" t="s">
        <v>321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111" t="n">
        <v>0</v>
      </c>
      <c r="N145" s="103" t="n">
        <f aca="false">(N139+P139+M142+N142)*(M145/N64)</f>
        <v>0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347</v>
      </c>
      <c r="N147" s="166" t="s">
        <v>348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296.48</v>
      </c>
      <c r="B148" s="38" t="n">
        <f aca="false">B102</f>
        <v>400</v>
      </c>
      <c r="C148" s="38"/>
      <c r="D148" s="38" t="n">
        <f aca="false">IF(A105="YES", (B40*B105)*B125, 0)*0.1</f>
        <v>30.723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E118/1.2-100</f>
        <v>99.9916666666667</v>
      </c>
      <c r="B151" s="38" t="n">
        <f aca="false">(A148+B148+D148+A151)*(A143/B64)</f>
        <v>0</v>
      </c>
      <c r="C151" s="38"/>
      <c r="D151" s="38" t="n">
        <f aca="false">(A148+B148+D148+A151)-B151</f>
        <v>827.194666666667</v>
      </c>
      <c r="E151" s="105"/>
      <c r="F151" s="63"/>
      <c r="G151" s="250"/>
      <c r="H151" s="252" t="n">
        <f aca="false">B51</f>
        <v>22000</v>
      </c>
      <c r="I151" s="252"/>
      <c r="J151" s="215"/>
      <c r="K151" s="216"/>
      <c r="L151" s="63"/>
      <c r="M151" s="281" t="s">
        <v>326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22</v>
      </c>
      <c r="H152" s="74" t="n">
        <f aca="false">H91</f>
        <v>710.599272792043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22000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22</v>
      </c>
      <c r="N155" s="74" t="n">
        <f aca="false">N91</f>
        <v>587.283138281844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22000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22</v>
      </c>
      <c r="B161" s="74" t="n">
        <f aca="false">B91</f>
        <v>908.798662286659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24" t="n">
        <f aca="false">A161</f>
        <v>22</v>
      </c>
      <c r="C174" s="357"/>
      <c r="D174" s="324" t="n">
        <f aca="false">D125</f>
        <v>22000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836.18066228666</v>
      </c>
      <c r="B177" s="355" t="n">
        <f aca="false">IF(A105="YES", B89, 0)</f>
        <v>72.618</v>
      </c>
      <c r="C177" s="357"/>
      <c r="D177" s="355" t="n">
        <f aca="false">B91</f>
        <v>908.798662286659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836.18066228666</v>
      </c>
      <c r="C180" s="353"/>
      <c r="D180" s="103" t="n">
        <f aca="false">IF(A105="YES", B89*B57, 0)</f>
        <v>72.618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908.798662286659</v>
      </c>
      <c r="B183" s="103" t="n">
        <f aca="false">E114</f>
        <v>4000</v>
      </c>
      <c r="C183" s="353"/>
      <c r="D183" s="361" t="n">
        <f aca="false">B58</f>
        <v>21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836.18066228666</v>
      </c>
      <c r="B186" s="103" t="n">
        <f aca="false">IF(A105="YES", B89, 0)</f>
        <v>72.618</v>
      </c>
      <c r="C186" s="353"/>
      <c r="D186" s="103" t="n">
        <f aca="false">B91</f>
        <v>908.798662286659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15.06816</v>
      </c>
      <c r="B189" s="365" t="n">
        <f aca="false">IF(A105="YES", G18*0.000002, 0)*1.2*100</f>
        <v>5.02272</v>
      </c>
      <c r="C189" s="353"/>
      <c r="D189" s="365" t="n">
        <f aca="false">A189+B189</f>
        <v>20.09088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239.99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296.48</v>
      </c>
      <c r="B197" s="103" t="n">
        <f aca="false">B102</f>
        <v>400</v>
      </c>
      <c r="C197" s="103"/>
      <c r="D197" s="103" t="n">
        <f aca="false">IF(A105="YES", (B40*B105)*B125, 0)*0.1</f>
        <v>30.723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(E118/1.2)-100</f>
        <v>99.9916666666667</v>
      </c>
      <c r="B200" s="103" t="n">
        <f aca="false">(A148+B148+D148+A151)*(A143/B64)</f>
        <v>0</v>
      </c>
      <c r="C200" s="103"/>
      <c r="D200" s="103" t="n">
        <f aca="false">(A148+B148+D148+A151)-B151</f>
        <v>827.194666666667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D64</f>
        <v>1770.16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296.48</v>
      </c>
      <c r="C211" s="320" t="s">
        <v>217</v>
      </c>
      <c r="D211" s="370" t="n">
        <f aca="false">B225+E221+B221+B223</f>
        <v>647.221666666667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2120.90166666667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1770.16</v>
      </c>
      <c r="C217" s="375" t="s">
        <v>221</v>
      </c>
      <c r="D217" s="317"/>
      <c r="E217" s="376" t="n">
        <f aca="false">B66</f>
        <v>0.0141666666666667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296.48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B78-(B78*(E219*100))</f>
        <v>200</v>
      </c>
      <c r="C223" s="336" t="s">
        <v>218</v>
      </c>
      <c r="D223" s="317"/>
      <c r="E223" s="33" t="n">
        <f aca="false">(B217-B211+D211)</f>
        <v>2120.90166666667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307.23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200</v>
      </c>
      <c r="C229" s="336" t="s">
        <v>226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310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128.952355289551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200</v>
      </c>
      <c r="C233" s="382" t="s">
        <v>333</v>
      </c>
      <c r="D233" s="383"/>
      <c r="E233" s="149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200</v>
      </c>
      <c r="C235" s="386" t="s">
        <v>334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6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'Formula1-PCH'!$Y$97:$Y$105</formula1>
      <formula2>0</formula2>
    </dataValidation>
    <dataValidation allowBlank="true" operator="between" showDropDown="false" showErrorMessage="true" showInputMessage="false" sqref="B26" type="list">
      <formula1>'Formula1-PCH'!$I$3:$I$4</formula1>
      <formula2>0</formula2>
    </dataValidation>
    <dataValidation allowBlank="true" operator="between" showDropDown="false" showErrorMessage="true" showInputMessage="false" sqref="A105 B110" type="list">
      <formula1>'Formula1-PCH'!$I$3:$I$4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48" colorId="64" zoomScale="85" zoomScaleNormal="85" zoomScalePageLayoutView="100" workbookViewId="0">
      <selection pane="topLeft" activeCell="B67" activeCellId="0" sqref="B67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263" t="n">
        <v>46854.17</v>
      </c>
      <c r="C3" s="498" t="n">
        <v>0.0</v>
      </c>
      <c r="D3" s="263" t="n">
        <v>833.33</v>
      </c>
      <c r="E3" s="499" t="n">
        <v>0</v>
      </c>
      <c r="F3" s="63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0" t="n">
        <v>0.0</v>
      </c>
      <c r="C4" s="0" t="n">
        <v>0.0</v>
      </c>
      <c r="D4" s="0" t="n">
        <v>0.0</v>
      </c>
      <c r="E4" s="294"/>
      <c r="F4" s="63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14"/>
      <c r="B8" s="215"/>
      <c r="C8" s="215"/>
      <c r="D8" s="215"/>
      <c r="E8" s="216"/>
      <c r="F8" s="63"/>
      <c r="G8" s="455" t="n">
        <f aca="false">G9*100/B3</f>
        <v>-222.667836537637</v>
      </c>
      <c r="H8" s="63"/>
      <c r="I8" s="13" t="s">
        <v>3</v>
      </c>
      <c r="J8" s="14" t="n">
        <f aca="false">E13+E14</f>
        <v>650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 t="n">
        <v>23125</v>
      </c>
      <c r="C9" s="486"/>
      <c r="D9" s="486"/>
      <c r="E9" s="508" t="n">
        <f aca="false">(B7+C7+D7+E3)</f>
        <v>47687.5</v>
      </c>
      <c r="F9" s="63"/>
      <c r="G9" s="454" t="n">
        <f aca="false">E9-G11</f>
        <v>-104329.166666667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454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 t="n">
        <v>0</v>
      </c>
      <c r="C11" s="488"/>
      <c r="D11" s="488"/>
      <c r="E11" s="300" t="n">
        <f aca="false">( E9 + E10 ) * 0.2</f>
        <v>9647.5</v>
      </c>
      <c r="F11" s="63"/>
      <c r="G11" s="454" t="n">
        <f aca="false">G13/1.2</f>
        <v>152016.666666667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 t="n">
        <v>0</v>
      </c>
      <c r="C13" s="488"/>
      <c r="D13" s="488"/>
      <c r="E13" s="499" t="n">
        <v>585.0</v>
      </c>
      <c r="F13" s="63"/>
      <c r="G13" s="454" t="n">
        <f aca="false">G15-E14-E13-E12</f>
        <v>182420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9" t="n">
        <f aca="false">(E9+E10+E13+E14+E11) - E12</f>
        <v>58535</v>
      </c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456" t="n">
        <f aca="false">(B3+C3+E10)*1.2</f>
        <v>56885.004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 t="n">
        <v>0</v>
      </c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58415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388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36</v>
      </c>
      <c r="I29" s="387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349</v>
      </c>
      <c r="C30" s="172"/>
      <c r="D30" s="215"/>
      <c r="E30" s="216"/>
      <c r="F30" s="63"/>
      <c r="G30" s="218" t="s">
        <v>32</v>
      </c>
      <c r="H30" s="457" t="n">
        <v>10000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28575</v>
      </c>
      <c r="I31" s="63"/>
      <c r="J31" s="63"/>
      <c r="K31" s="63" t="n">
        <v>10000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1030</v>
      </c>
      <c r="J32" s="63"/>
      <c r="K32" s="63" t="n">
        <v>14400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36</v>
      </c>
      <c r="B33" s="229" t="n">
        <v>10000</v>
      </c>
      <c r="C33" s="230"/>
      <c r="D33" s="459" t="n">
        <f aca="false">H48</f>
        <v>926.291376084132</v>
      </c>
      <c r="E33" s="216"/>
      <c r="F33" s="63"/>
      <c r="G33" s="219" t="s">
        <v>356</v>
      </c>
      <c r="H33" s="460" t="n">
        <f aca="false">E21-E11+((E16*20%)+(E19*20%)+(E20*20%))</f>
        <v>48787.5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36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897.680264973021</v>
      </c>
      <c r="B36" s="103" t="n">
        <f aca="false">IF(B26="YES", H42, "")</f>
        <v>28.6111111111111</v>
      </c>
      <c r="C36" s="221"/>
      <c r="D36" s="184" t="n">
        <f aca="false">H31</f>
        <v>28575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48787.5</v>
      </c>
      <c r="I39" s="238" t="n">
        <f aca="false">(I48*H46)+H44</f>
        <v>64243.4228508843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28575</v>
      </c>
      <c r="B40" s="107" t="n">
        <f aca="false">IF(B26="YES",H42,"0")</f>
        <v>28.6111111111111</v>
      </c>
      <c r="C40" s="107"/>
      <c r="D40" s="184" t="n">
        <f aca="false">I32</f>
        <v>1030</v>
      </c>
      <c r="E40" s="216"/>
      <c r="F40" s="63"/>
      <c r="G40" s="63" t="s">
        <v>106</v>
      </c>
      <c r="H40" s="238" t="n">
        <f aca="false">A40/1.2</f>
        <v>23812.5</v>
      </c>
      <c r="I40" s="238" t="n">
        <f aca="false">H39-I39</f>
        <v>-15455.9228508843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0.00541666666666667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28.6111111111111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19498.4471525085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</v>
      </c>
      <c r="B45" s="215"/>
      <c r="C45" s="463" t="n">
        <v>100</v>
      </c>
      <c r="D45" s="463"/>
      <c r="E45" s="216"/>
      <c r="F45" s="63"/>
      <c r="G45" s="63" t="s">
        <v>374</v>
      </c>
      <c r="H45" s="238" t="n">
        <f aca="false">(H39-H44)</f>
        <v>29289.0528474915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32.627488862498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897.680264973021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926.291376084132</v>
      </c>
      <c r="I48" s="238" t="n">
        <f aca="false">I49-H42</f>
        <v>1371.38888888889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10000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36</v>
      </c>
      <c r="B52" s="74" t="n">
        <f aca="false">H48</f>
        <v>926.291376084132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35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35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35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57885</v>
      </c>
      <c r="C61" s="215"/>
      <c r="D61" s="215"/>
      <c r="E61" s="216"/>
      <c r="F61" s="63"/>
      <c r="G61" s="214" t="s">
        <v>14</v>
      </c>
      <c r="H61" s="291" t="n">
        <f aca="false">G18</f>
        <v>57885</v>
      </c>
      <c r="I61" s="215"/>
      <c r="J61" s="215"/>
      <c r="K61" s="216"/>
      <c r="L61" s="63"/>
      <c r="M61" s="214" t="s">
        <v>14</v>
      </c>
      <c r="N61" s="291" t="n">
        <f aca="false">G18</f>
        <v>57885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292" t="s">
        <v>278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B62+(B62*0.25*((H29/12)-1))</f>
        <v>0.105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0.105</v>
      </c>
      <c r="I63" s="215"/>
      <c r="J63" s="215"/>
      <c r="K63" s="216"/>
      <c r="L63" s="63"/>
      <c r="M63" s="214" t="s">
        <v>279</v>
      </c>
      <c r="N63" s="294" t="n">
        <f aca="false">N62+(N62*0.25*(H29/12-1))</f>
        <v>0.105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C64</f>
        <v>10000</v>
      </c>
      <c r="C64" s="465" t="n">
        <v>10000</v>
      </c>
      <c r="D64" s="291" t="n">
        <f aca="false">B64</f>
        <v>10000</v>
      </c>
      <c r="E64" s="466" t="n">
        <f aca="false">D64/(B58+B57)</f>
        <v>277.777777777778</v>
      </c>
      <c r="F64" s="63"/>
      <c r="G64" s="285" t="s">
        <v>90</v>
      </c>
      <c r="H64" s="133" t="n">
        <f aca="false">H61*H63</f>
        <v>6077.925</v>
      </c>
      <c r="I64" s="215"/>
      <c r="J64" s="291" t="n">
        <f aca="false">H64-G145</f>
        <v>6077.925</v>
      </c>
      <c r="K64" s="216"/>
      <c r="L64" s="63"/>
      <c r="M64" s="285" t="s">
        <v>90</v>
      </c>
      <c r="N64" s="133" t="n">
        <f aca="false">N61*N63</f>
        <v>6077.925</v>
      </c>
      <c r="O64" s="215"/>
      <c r="P64" s="291" t="n">
        <f aca="false">N64-M145</f>
        <v>6077.925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0.02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0.02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0.02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B61*B66</f>
        <v>1157.7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964.75</v>
      </c>
      <c r="I67" s="215"/>
      <c r="J67" s="291"/>
      <c r="K67" s="216"/>
      <c r="L67" s="63"/>
      <c r="M67" s="285" t="s">
        <v>93</v>
      </c>
      <c r="N67" s="133" t="n">
        <f aca="false">(N61*N66)/1.2</f>
        <v>964.75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180</v>
      </c>
      <c r="C73" s="215"/>
      <c r="D73" s="472" t="n">
        <f aca="false">B73+B71</f>
        <v>380</v>
      </c>
      <c r="E73" s="216" t="s">
        <v>227</v>
      </c>
      <c r="F73" s="63"/>
      <c r="G73" s="285" t="s">
        <v>99</v>
      </c>
      <c r="H73" s="133" t="n">
        <f aca="false">H72*H29</f>
        <v>162</v>
      </c>
      <c r="I73" s="215"/>
      <c r="J73" s="291" t="n">
        <f aca="false">H73+H71</f>
        <v>322</v>
      </c>
      <c r="K73" s="216"/>
      <c r="L73" s="63"/>
      <c r="M73" s="285" t="s">
        <v>99</v>
      </c>
      <c r="N73" s="133" t="n">
        <f aca="false">N72*H29</f>
        <v>162</v>
      </c>
      <c r="O73" s="215"/>
      <c r="P73" s="291" t="n">
        <f aca="false">N73+N71</f>
        <v>322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165</v>
      </c>
      <c r="C74" s="215"/>
      <c r="D74" s="215"/>
      <c r="E74" s="216"/>
      <c r="F74" s="63"/>
      <c r="G74" s="292" t="s">
        <v>280</v>
      </c>
      <c r="H74" s="298" t="n">
        <v>165</v>
      </c>
      <c r="I74" s="215"/>
      <c r="J74" s="215"/>
      <c r="K74" s="216"/>
      <c r="L74" s="63"/>
      <c r="M74" s="431" t="s">
        <v>280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355</v>
      </c>
      <c r="C75" s="215"/>
      <c r="D75" s="215"/>
      <c r="E75" s="216"/>
      <c r="F75" s="63"/>
      <c r="G75" s="295" t="s">
        <v>281</v>
      </c>
      <c r="H75" s="299" t="n">
        <v>0</v>
      </c>
      <c r="I75" s="215"/>
      <c r="J75" s="215"/>
      <c r="K75" s="216"/>
      <c r="L75" s="63"/>
      <c r="M75" s="433" t="s">
        <v>281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((B74+B75)/12)*(H29-11)</f>
        <v>1083.33333333333</v>
      </c>
      <c r="C76" s="215"/>
      <c r="D76" s="291" t="n">
        <f aca="false">B76</f>
        <v>1083.33333333333</v>
      </c>
      <c r="E76" s="216"/>
      <c r="F76" s="63"/>
      <c r="G76" s="285" t="s">
        <v>282</v>
      </c>
      <c r="H76" s="133" t="n">
        <f aca="false">((H74+H75)/12)*(H29-11)</f>
        <v>343.75</v>
      </c>
      <c r="I76" s="215"/>
      <c r="J76" s="291" t="n">
        <f aca="false">H76</f>
        <v>343.75</v>
      </c>
      <c r="K76" s="216"/>
      <c r="L76" s="63"/>
      <c r="M76" s="435" t="s">
        <v>282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283</v>
      </c>
      <c r="B77" s="131" t="n">
        <f aca="false">B102/(1-0.1)</f>
        <v>444.444444444444</v>
      </c>
      <c r="C77" s="473"/>
      <c r="D77" s="291" t="n">
        <f aca="false">B77</f>
        <v>444.444444444444</v>
      </c>
      <c r="E77" s="466" t="n">
        <f aca="false">D77/(B58+B57)</f>
        <v>12.3456790123457</v>
      </c>
      <c r="F77" s="63"/>
      <c r="G77" s="292" t="s">
        <v>283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283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222.222222222222</v>
      </c>
      <c r="C78" s="473"/>
      <c r="D78" s="291" t="n">
        <f aca="false">B78</f>
        <v>222.222222222222</v>
      </c>
      <c r="E78" s="466"/>
      <c r="F78" s="63"/>
      <c r="G78" s="214" t="s">
        <v>284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284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473"/>
      <c r="D79" s="291" t="n">
        <f aca="false">B79</f>
        <v>200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473"/>
      <c r="D80" s="291" t="n">
        <f aca="false">B80</f>
        <v>200</v>
      </c>
      <c r="E80" s="466" t="n">
        <f aca="false">(D73+D76+D79+D80)/(B58+B57)</f>
        <v>51.7592592592593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12530</v>
      </c>
      <c r="C81" s="473"/>
      <c r="D81" s="474"/>
      <c r="E81" s="466"/>
      <c r="F81" s="63"/>
      <c r="G81" s="303" t="s">
        <v>102</v>
      </c>
      <c r="H81" s="304" t="n">
        <f aca="false">SUM(J64:J80)</f>
        <v>7143.675</v>
      </c>
      <c r="I81" s="215"/>
      <c r="J81" s="215"/>
      <c r="K81" s="216"/>
      <c r="L81" s="63"/>
      <c r="M81" s="303" t="s">
        <v>102</v>
      </c>
      <c r="N81" s="304" t="n">
        <f aca="false">SUM(P64:P80)</f>
        <v>6799.925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348.055555555556</v>
      </c>
      <c r="C82" s="473"/>
      <c r="D82" s="215"/>
      <c r="E82" s="466"/>
      <c r="F82" s="63"/>
      <c r="G82" s="214" t="s">
        <v>103</v>
      </c>
      <c r="H82" s="300" t="n">
        <f aca="false">H81/H29</f>
        <v>198.435416666667</v>
      </c>
      <c r="I82" s="215"/>
      <c r="J82" s="215"/>
      <c r="K82" s="216"/>
      <c r="L82" s="63"/>
      <c r="M82" s="214" t="s">
        <v>103</v>
      </c>
      <c r="N82" s="300" t="n">
        <f aca="false">N81/H29</f>
        <v>188.886805555556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897.680264973021</v>
      </c>
      <c r="C83" s="473"/>
      <c r="D83" s="215"/>
      <c r="E83" s="466" t="n">
        <f aca="false">B83+E80+E77+E64</f>
        <v>1239.5629810224</v>
      </c>
      <c r="F83" s="63"/>
      <c r="G83" s="305" t="s">
        <v>104</v>
      </c>
      <c r="H83" s="306" t="n">
        <f aca="false">H47</f>
        <v>897.680264973021</v>
      </c>
      <c r="I83" s="215"/>
      <c r="J83" s="215"/>
      <c r="K83" s="216"/>
      <c r="L83" s="63"/>
      <c r="M83" s="305" t="s">
        <v>104</v>
      </c>
      <c r="N83" s="306" t="n">
        <f aca="false">H47</f>
        <v>897.680264973021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44846.4895390288</v>
      </c>
      <c r="C85" s="473"/>
      <c r="D85" s="473"/>
      <c r="E85" s="466" t="n">
        <f aca="false">B85/(B58+B57)</f>
        <v>1245.73582052858</v>
      </c>
      <c r="F85" s="63"/>
      <c r="G85" s="288" t="s">
        <v>114</v>
      </c>
      <c r="H85" s="131" t="n">
        <f aca="false">((H83*H29)+H81)*1.2</f>
        <v>47352.1974468345</v>
      </c>
      <c r="I85" s="215"/>
      <c r="J85" s="215"/>
      <c r="K85" s="216"/>
      <c r="L85" s="63"/>
      <c r="M85" s="288" t="s">
        <v>114</v>
      </c>
      <c r="N85" s="131" t="n">
        <f aca="false">((N83*H29)+N81)</f>
        <v>39116.4145390288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379.9016862927</v>
      </c>
      <c r="C86" s="473" t="s">
        <v>230</v>
      </c>
      <c r="D86" s="215"/>
      <c r="E86" s="466" t="n">
        <f aca="false">B86/(B58+B57)</f>
        <v>10.5528246192417</v>
      </c>
      <c r="F86" s="63"/>
      <c r="G86" s="214" t="s">
        <v>115</v>
      </c>
      <c r="H86" s="300" t="n">
        <f aca="false">((((H83*H29)+H81))/(1-H70))*H70</f>
        <v>334.273277660187</v>
      </c>
      <c r="I86" s="215"/>
      <c r="J86" s="215"/>
      <c r="K86" s="216"/>
      <c r="L86" s="63"/>
      <c r="M86" s="214" t="s">
        <v>115</v>
      </c>
      <c r="N86" s="300" t="n">
        <f aca="false">(N85/(1-N70))*N70</f>
        <v>331.361317192257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45226.3912253215</v>
      </c>
      <c r="C87" s="473"/>
      <c r="D87" s="475"/>
      <c r="E87" s="466" t="n">
        <f aca="false">E86+E85</f>
        <v>1256.28864514782</v>
      </c>
      <c r="F87" s="63"/>
      <c r="G87" s="285" t="s">
        <v>116</v>
      </c>
      <c r="H87" s="133" t="n">
        <f aca="false">IF(H110="YES",((H85+H86)-K114),(H85+H86))</f>
        <v>47686.4707244947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39447.775856221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</f>
        <v>35.3142857142857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36.1756097560976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30.1463414634146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1277.89689215204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1163.08465181694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962.140874541976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1313.21117786633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1199.26026157304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992.287216005391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213" t="s">
        <v>343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214" t="s">
        <v>125</v>
      </c>
      <c r="N98" s="215" t="s">
        <v>23</v>
      </c>
      <c r="O98" s="215"/>
      <c r="P98" s="215" t="s">
        <v>286</v>
      </c>
      <c r="Q98" s="216"/>
      <c r="R98" s="63"/>
      <c r="S98" s="63"/>
      <c r="T98" s="63"/>
      <c r="U98" s="63"/>
      <c r="V98" s="63"/>
      <c r="W98" s="63"/>
      <c r="X98" s="63"/>
      <c r="Y98" s="63" t="s">
        <v>264</v>
      </c>
      <c r="Z98" s="63"/>
    </row>
    <row r="99" customFormat="false" ht="18.75" hidden="false" customHeight="true" outlineLevel="0" collapsed="false">
      <c r="A99" s="220" t="s">
        <v>287</v>
      </c>
      <c r="B99" s="312" t="s">
        <v>264</v>
      </c>
      <c r="C99" s="312"/>
      <c r="D99" s="107" t="n">
        <v>5000</v>
      </c>
      <c r="E99" s="107"/>
      <c r="F99" s="63"/>
      <c r="G99" s="220" t="s">
        <v>287</v>
      </c>
      <c r="H99" s="312" t="s">
        <v>266</v>
      </c>
      <c r="I99" s="312"/>
      <c r="J99" s="107" t="n">
        <v>0</v>
      </c>
      <c r="K99" s="107"/>
      <c r="L99" s="63"/>
      <c r="M99" s="220" t="s">
        <v>287</v>
      </c>
      <c r="N99" s="312" t="s">
        <v>266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265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266</v>
      </c>
      <c r="Z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378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214" t="s">
        <v>289</v>
      </c>
      <c r="N101" s="215" t="s">
        <v>290</v>
      </c>
      <c r="O101" s="215"/>
      <c r="P101" s="215" t="s">
        <v>291</v>
      </c>
      <c r="Q101" s="216"/>
      <c r="R101" s="63"/>
      <c r="S101" s="63"/>
      <c r="T101" s="63"/>
      <c r="U101" s="63"/>
      <c r="V101" s="63"/>
      <c r="W101" s="63"/>
      <c r="X101" s="63"/>
      <c r="Y101" s="63" t="s">
        <v>267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0.0</v>
      </c>
      <c r="C102" s="107"/>
      <c r="D102" s="107" t="n">
        <v>0.0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268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269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270</v>
      </c>
      <c r="Z104" s="63"/>
    </row>
    <row r="105" customFormat="false" ht="18.75" hidden="false" customHeight="true" outlineLevel="0" collapsed="false">
      <c r="A105" s="222" t="s">
        <v>388</v>
      </c>
      <c r="B105" s="314" t="n">
        <v>0.2</v>
      </c>
      <c r="C105" s="314"/>
      <c r="D105" s="107" t="n">
        <v>500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271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344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217" t="s">
        <v>293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294</v>
      </c>
      <c r="B110" s="222" t="s">
        <v>19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214" t="s">
        <v>294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 t="s">
        <v>19</v>
      </c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(E118*1.2)+E117-E114</f>
        <v>-2760.012</v>
      </c>
      <c r="F119" s="63"/>
      <c r="G119" s="315" t="s">
        <v>295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295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217" t="s">
        <v>296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36</v>
      </c>
      <c r="C125" s="325"/>
      <c r="D125" s="324" t="n">
        <f aca="false">B160</f>
        <v>10000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299</v>
      </c>
      <c r="H126" s="328" t="s">
        <v>300</v>
      </c>
      <c r="I126" s="328"/>
      <c r="J126" s="328" t="s">
        <v>301</v>
      </c>
      <c r="K126" s="216"/>
      <c r="L126" s="63"/>
      <c r="M126" s="327" t="s">
        <v>345</v>
      </c>
      <c r="N126" s="328" t="s">
        <v>253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333" t="n">
        <f aca="false">H90</f>
        <v>1163.08465181694</v>
      </c>
      <c r="H127" s="177" t="n">
        <f aca="false">IF(G105="YES", H89*H57, 0)</f>
        <v>217.053658536585</v>
      </c>
      <c r="I127" s="177"/>
      <c r="J127" s="334" t="n">
        <f aca="false">H91</f>
        <v>1199.26026157304</v>
      </c>
      <c r="K127" s="216"/>
      <c r="L127" s="63"/>
      <c r="M127" s="333" t="n">
        <f aca="false">N90</f>
        <v>962.140874541976</v>
      </c>
      <c r="N127" s="177" t="n">
        <f aca="false">IF(M105="YES", N89*N57, 0)</f>
        <v>180.878048780488</v>
      </c>
      <c r="O127" s="177"/>
      <c r="P127" s="177" t="n">
        <f aca="false">N91</f>
        <v>992.287216005391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1277.89689215204</v>
      </c>
      <c r="B128" s="321" t="n">
        <f aca="false">IF(A105="YES", B89, 0)</f>
        <v>35.3142857142857</v>
      </c>
      <c r="C128" s="325"/>
      <c r="D128" s="321" t="n">
        <f aca="false">B91</f>
        <v>1313.21117786633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228" t="n">
        <f aca="false">G152</f>
        <v>36</v>
      </c>
      <c r="H130" s="229" t="n">
        <f aca="false">B151</f>
        <v>0</v>
      </c>
      <c r="I130" s="230"/>
      <c r="J130" s="229" t="n">
        <f aca="false">B58</f>
        <v>35</v>
      </c>
      <c r="K130" s="216"/>
      <c r="L130" s="63"/>
      <c r="M130" s="228" t="n">
        <f aca="false">M155</f>
        <v>36</v>
      </c>
      <c r="N130" s="229" t="n">
        <f aca="false">B151</f>
        <v>0</v>
      </c>
      <c r="O130" s="230"/>
      <c r="P130" s="229" t="n">
        <f aca="false">B58</f>
        <v>35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Spread rentals initial payment </v>
      </c>
      <c r="B131" s="38" t="n">
        <f aca="false">B90*B57</f>
        <v>1277.89689215204</v>
      </c>
      <c r="C131" s="317"/>
      <c r="D131" s="38" t="n">
        <f aca="false">IF(A105="YES", B89*B57, 0)</f>
        <v>35.3142857142857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214" t="s">
        <v>346</v>
      </c>
      <c r="N132" s="215" t="s">
        <v>242</v>
      </c>
      <c r="O132" s="215"/>
      <c r="P132" s="215" t="s">
        <v>246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6978.50791090166</v>
      </c>
      <c r="H133" s="103" t="n">
        <f aca="false">IF(G105="YES", H89*H57, 0)</f>
        <v>217.053658536585</v>
      </c>
      <c r="I133" s="221"/>
      <c r="J133" s="184" t="n">
        <f aca="false">H91*H57</f>
        <v>7195.56156943825</v>
      </c>
      <c r="K133" s="216"/>
      <c r="L133" s="63"/>
      <c r="M133" s="185" t="n">
        <f aca="false">N90*N57</f>
        <v>5772.84524725186</v>
      </c>
      <c r="N133" s="103" t="n">
        <f aca="false">IF(M105="YES", N89*N57, 0)</f>
        <v>180.878048780488</v>
      </c>
      <c r="O133" s="221"/>
      <c r="P133" s="184" t="n">
        <f aca="false">N91*N57</f>
        <v>5953.72329603234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1313.21117786633</v>
      </c>
      <c r="B134" s="38" t="n">
        <f aca="false">E114</f>
        <v>4000</v>
      </c>
      <c r="C134" s="317"/>
      <c r="D134" s="337" t="n">
        <f aca="false">B58</f>
        <v>35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214" t="s">
        <v>255</v>
      </c>
      <c r="N135" s="215" t="s">
        <v>256</v>
      </c>
      <c r="O135" s="215"/>
      <c r="P135" s="215" t="s">
        <v>260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0.35121</v>
      </c>
      <c r="H136" s="103" t="n">
        <f aca="false">IF(G105="YES", E15*0.000002, 0)</f>
        <v>0.11707</v>
      </c>
      <c r="I136" s="103"/>
      <c r="J136" s="103" t="n">
        <f aca="false">G136+H136</f>
        <v>0.46828</v>
      </c>
      <c r="K136" s="105"/>
      <c r="L136" s="63"/>
      <c r="M136" s="111" t="n">
        <f aca="false">E15*0.000006</f>
        <v>0.35121</v>
      </c>
      <c r="N136" s="103" t="n">
        <f aca="false">IF(M105="YES", E15*0.000002, 0)</f>
        <v>0.11707</v>
      </c>
      <c r="O136" s="103"/>
      <c r="P136" s="103" t="n">
        <f aca="false">M136+N136</f>
        <v>0.46828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1277.89689215204</v>
      </c>
      <c r="B137" s="38" t="n">
        <f aca="false">IF(A105="YES", B89, 0)</f>
        <v>35.3142857142857</v>
      </c>
      <c r="C137" s="317"/>
      <c r="D137" s="38" t="n">
        <f aca="false">B91</f>
        <v>1313.21117786633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214" t="s">
        <v>139</v>
      </c>
      <c r="N138" s="215" t="s">
        <v>313</v>
      </c>
      <c r="O138" s="215"/>
      <c r="P138" s="215" t="s">
        <v>314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964.75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964.75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41.6772</v>
      </c>
      <c r="B140" s="343" t="n">
        <f aca="false">IF(A105="YES", G18*0.000002, 0)*1.2*100</f>
        <v>13.8924</v>
      </c>
      <c r="C140" s="317"/>
      <c r="D140" s="343" t="n">
        <f aca="false">A140+B140</f>
        <v>55.5696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214" t="s">
        <v>316</v>
      </c>
      <c r="N141" s="215" t="s">
        <v>317</v>
      </c>
      <c r="O141" s="215"/>
      <c r="P141" s="215" t="s">
        <v>318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((B36*H105)*0.1)*(G130), 0)</f>
        <v>20.6</v>
      </c>
      <c r="H142" s="103" t="n">
        <f aca="false">G102-100</f>
        <v>99.99</v>
      </c>
      <c r="I142" s="103"/>
      <c r="J142" s="103" t="n">
        <f aca="false">(H139+J139+G142+H142)-H145</f>
        <v>1085.34</v>
      </c>
      <c r="K142" s="105"/>
      <c r="L142" s="63"/>
      <c r="M142" s="111" t="n">
        <f aca="false">IF(M105="YES", ((B36*N105)*0.1)*(M130), 0)</f>
        <v>20.6</v>
      </c>
      <c r="N142" s="103" t="n">
        <f aca="false">M102-100</f>
        <v>99.99</v>
      </c>
      <c r="O142" s="103"/>
      <c r="P142" s="103" t="n">
        <f aca="false">(N139+P139+M142+N142)-N145</f>
        <v>1085.34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214" t="s">
        <v>320</v>
      </c>
      <c r="N144" s="215" t="s">
        <v>321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111" t="n">
        <v>0</v>
      </c>
      <c r="N145" s="103" t="n">
        <f aca="false">(N139+P139+M142+N142)*(M145/N64)</f>
        <v>0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347</v>
      </c>
      <c r="N147" s="166" t="s">
        <v>348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1157.7</v>
      </c>
      <c r="B148" s="103" t="n">
        <f aca="false">B102</f>
        <v>400</v>
      </c>
      <c r="C148" s="38"/>
      <c r="D148" s="38" t="n">
        <f aca="false">IF(A105="YES", (B40*B105)*B125, 0)*0.1</f>
        <v>20.6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1678.29</v>
      </c>
      <c r="E151" s="105"/>
      <c r="F151" s="63"/>
      <c r="G151" s="250"/>
      <c r="H151" s="252" t="n">
        <f aca="false">B51</f>
        <v>10000</v>
      </c>
      <c r="I151" s="252"/>
      <c r="J151" s="215"/>
      <c r="K151" s="216"/>
      <c r="L151" s="63"/>
      <c r="M151" s="281" t="s">
        <v>326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36</v>
      </c>
      <c r="H152" s="74" t="n">
        <f aca="false">H91</f>
        <v>1199.26026157304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10000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36</v>
      </c>
      <c r="N155" s="74" t="n">
        <f aca="false">N91</f>
        <v>992.287216005391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10000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36</v>
      </c>
      <c r="B161" s="74" t="n">
        <f aca="false">B91</f>
        <v>1313.21117786633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24" t="n">
        <f aca="false">A161</f>
        <v>36</v>
      </c>
      <c r="C174" s="357"/>
      <c r="D174" s="324" t="n">
        <f aca="false">D125</f>
        <v>10000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1277.89689215204</v>
      </c>
      <c r="B177" s="355" t="n">
        <f aca="false">IF(A105="YES", B89, 0)</f>
        <v>35.3142857142857</v>
      </c>
      <c r="C177" s="357"/>
      <c r="D177" s="355" t="n">
        <f aca="false">B91</f>
        <v>1313.21117786633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Spread rentals initial payment </v>
      </c>
      <c r="B180" s="103" t="n">
        <f aca="false">B90*B57</f>
        <v>1277.89689215204</v>
      </c>
      <c r="C180" s="353"/>
      <c r="D180" s="103" t="n">
        <f aca="false">IF(A105="YES", B89*B57, 0)</f>
        <v>35.3142857142857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1313.21117786633</v>
      </c>
      <c r="B183" s="103" t="n">
        <f aca="false">E114</f>
        <v>4000</v>
      </c>
      <c r="C183" s="353"/>
      <c r="D183" s="361" t="n">
        <f aca="false">B58</f>
        <v>35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1277.89689215204</v>
      </c>
      <c r="B186" s="103" t="n">
        <f aca="false">IF(A105="YES", B89, 0)</f>
        <v>35.3142857142857</v>
      </c>
      <c r="C186" s="353"/>
      <c r="D186" s="103" t="n">
        <f aca="false">B91</f>
        <v>1313.21117786633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IF(A105="YES", G18*0.000002, 0)*1.2*100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1157.7</v>
      </c>
      <c r="B197" s="103" t="n">
        <f aca="false">B102</f>
        <v>400</v>
      </c>
      <c r="C197" s="103"/>
      <c r="D197" s="103" t="n">
        <f aca="false">IF(A105="YES", (B40*B105)*B125, 0)*0.1</f>
        <v>20.6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1678.29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D64</f>
        <v>10000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1157.7</v>
      </c>
      <c r="C211" s="320" t="s">
        <v>217</v>
      </c>
      <c r="D211" s="370" t="n">
        <f aca="false">B225+E221+B221+B223</f>
        <v>545.99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9388.29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10000</v>
      </c>
      <c r="C217" s="375" t="s">
        <v>221</v>
      </c>
      <c r="D217" s="317"/>
      <c r="E217" s="376" t="n">
        <f aca="false">B66</f>
        <v>0.02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1157.7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(B77-(B77*(E219*100)))*0.1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B78-(B78*(E219*100))</f>
        <v>200</v>
      </c>
      <c r="C223" s="336" t="s">
        <v>218</v>
      </c>
      <c r="D223" s="317"/>
      <c r="E223" s="33" t="n">
        <f aca="false">(B217-B211+D211)</f>
        <v>9388.29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206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200</v>
      </c>
      <c r="C229" s="336" t="s">
        <v>226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380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379.9016862927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200</v>
      </c>
      <c r="C233" s="382" t="s">
        <v>333</v>
      </c>
      <c r="D233" s="383"/>
      <c r="E233" s="149" t="n">
        <f aca="false">B74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200</v>
      </c>
      <c r="C235" s="386" t="s">
        <v>334</v>
      </c>
      <c r="D235" s="386"/>
      <c r="E235" s="149" t="n">
        <f aca="false">B75</f>
        <v>355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7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6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4" colorId="64" zoomScale="85" zoomScaleNormal="85" zoomScalePageLayoutView="100" workbookViewId="0">
      <selection pane="topLeft" activeCell="B97" activeCellId="0" sqref="B97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</v>
      </c>
      <c r="C4" s="500" t="n">
        <v>0</v>
      </c>
      <c r="D4" s="50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</v>
      </c>
      <c r="F10" s="63"/>
      <c r="G10" s="63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9647.5</v>
      </c>
      <c r="F11" s="63"/>
      <c r="G11" s="63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58525</v>
      </c>
      <c r="F15" s="63"/>
      <c r="G15" s="274" t="n">
        <f aca="false">E15</f>
        <v>58525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18.7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45295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50</v>
      </c>
      <c r="E32" s="226"/>
      <c r="F32" s="63"/>
      <c r="G32" s="227" t="s">
        <v>244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n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</v>
      </c>
      <c r="B41" s="241" t="n">
        <f aca="false">IF(B38="YES", D38+A41, D38)</f>
        <v>550</v>
      </c>
      <c r="C41" s="241"/>
      <c r="D41" s="104" t="n">
        <v>6000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12</v>
      </c>
      <c r="B44" s="104" t="n">
        <v>1</v>
      </c>
      <c r="C44" s="104"/>
      <c r="D44" s="104" t="n">
        <v>1</v>
      </c>
      <c r="E44" s="104"/>
      <c r="F44" s="63"/>
      <c r="G44" s="63" t="s">
        <v>258</v>
      </c>
      <c r="H44" s="238" t="n">
        <f aca="false">H32</f>
        <v>50</v>
      </c>
      <c r="I44" s="394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n">
        <v>0.01</v>
      </c>
      <c r="C47" s="429"/>
      <c r="D47" s="104" t="n">
        <v>1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 t="s">
        <v>389</v>
      </c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22" t="s">
        <v>19</v>
      </c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275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81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551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12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57885</v>
      </c>
      <c r="C67" s="215"/>
      <c r="D67" s="215"/>
      <c r="E67" s="216"/>
      <c r="F67" s="63"/>
      <c r="G67" s="214" t="s">
        <v>14</v>
      </c>
      <c r="H67" s="291" t="n">
        <f aca="false">G18</f>
        <v>57885</v>
      </c>
      <c r="I67" s="215"/>
      <c r="J67" s="215"/>
      <c r="K67" s="216"/>
      <c r="L67" s="63"/>
      <c r="M67" s="214" t="s">
        <v>14</v>
      </c>
      <c r="N67" s="291" t="n">
        <f aca="false">G18</f>
        <v>57885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4051.95</v>
      </c>
      <c r="C70" s="215"/>
      <c r="D70" s="291" t="n">
        <f aca="false">B70-A151</f>
        <v>4051.95</v>
      </c>
      <c r="E70" s="216" t="n">
        <f aca="false">D70/12</f>
        <v>337.6625</v>
      </c>
      <c r="F70" s="63"/>
      <c r="G70" s="285" t="s">
        <v>90</v>
      </c>
      <c r="H70" s="133" t="n">
        <f aca="false">H67*H69</f>
        <v>4051.95</v>
      </c>
      <c r="I70" s="215"/>
      <c r="J70" s="291" t="n">
        <f aca="false">H70-G151</f>
        <v>4051.95</v>
      </c>
      <c r="K70" s="216"/>
      <c r="L70" s="63"/>
      <c r="M70" s="285" t="s">
        <v>90</v>
      </c>
      <c r="N70" s="133" t="n">
        <f aca="false">N67*N69</f>
        <v>4051.95</v>
      </c>
      <c r="O70" s="215"/>
      <c r="P70" s="291" t="n">
        <f aca="false">N70-M151</f>
        <v>4051.95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578.85</v>
      </c>
      <c r="C73" s="215"/>
      <c r="D73" s="291"/>
      <c r="E73" s="216"/>
      <c r="F73" s="63"/>
      <c r="G73" s="285" t="s">
        <v>93</v>
      </c>
      <c r="H73" s="133" t="n">
        <f aca="false">H67*H72</f>
        <v>289.425</v>
      </c>
      <c r="I73" s="215"/>
      <c r="J73" s="291"/>
      <c r="K73" s="216"/>
      <c r="L73" s="63"/>
      <c r="M73" s="285" t="s">
        <v>93</v>
      </c>
      <c r="N73" s="133" t="n">
        <f aca="false">N67*N72</f>
        <v>289.425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0</v>
      </c>
      <c r="C80" s="215"/>
      <c r="D80" s="215"/>
      <c r="E80" s="430" t="n">
        <f aca="false">E79+D82</f>
        <v>660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0</v>
      </c>
      <c r="C81" s="215"/>
      <c r="D81" s="215"/>
      <c r="E81" s="216" t="n">
        <f aca="false">E80/12</f>
        <v>55</v>
      </c>
      <c r="F81" s="63"/>
      <c r="G81" s="295" t="s">
        <v>281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282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v>0</v>
      </c>
      <c r="C83" s="215"/>
      <c r="D83" s="291" t="n">
        <f aca="false">B83</f>
        <v>0</v>
      </c>
      <c r="E83" s="216" t="n">
        <f aca="false">D83/12</f>
        <v>0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v>0</v>
      </c>
      <c r="C84" s="215"/>
      <c r="D84" s="291" t="n">
        <f aca="false">B84</f>
        <v>0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4711.95</v>
      </c>
      <c r="C87" s="215"/>
      <c r="D87" s="215"/>
      <c r="E87" s="216"/>
      <c r="F87" s="63"/>
      <c r="G87" s="303" t="s">
        <v>102</v>
      </c>
      <c r="H87" s="304" t="n">
        <f aca="false">SUM(J70:J86)</f>
        <v>7205.53333333333</v>
      </c>
      <c r="I87" s="215"/>
      <c r="J87" s="215"/>
      <c r="K87" s="216"/>
      <c r="L87" s="63"/>
      <c r="M87" s="303" t="s">
        <v>102</v>
      </c>
      <c r="N87" s="304" t="n">
        <f aca="false">SUM(P70:P86)</f>
        <v>7165.95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392.6625</v>
      </c>
      <c r="C88" s="215"/>
      <c r="D88" s="215"/>
      <c r="E88" s="216"/>
      <c r="F88" s="63"/>
      <c r="G88" s="214" t="s">
        <v>103</v>
      </c>
      <c r="H88" s="300" t="n">
        <f aca="false">H87/H29</f>
        <v>600.461111111111</v>
      </c>
      <c r="I88" s="215"/>
      <c r="J88" s="215"/>
      <c r="K88" s="216"/>
      <c r="L88" s="63"/>
      <c r="M88" s="214" t="s">
        <v>103</v>
      </c>
      <c r="N88" s="300" t="n">
        <f aca="false">N87/H29</f>
        <v>597.1625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10723.95</v>
      </c>
      <c r="C91" s="215"/>
      <c r="D91" s="215"/>
      <c r="E91" s="216"/>
      <c r="F91" s="63"/>
      <c r="G91" s="288" t="s">
        <v>114</v>
      </c>
      <c r="H91" s="131" t="n">
        <f aca="false">((H89*H29)+H87)*1.2</f>
        <v>15861.04</v>
      </c>
      <c r="I91" s="215"/>
      <c r="J91" s="215"/>
      <c r="K91" s="216"/>
      <c r="L91" s="63"/>
      <c r="M91" s="288" t="s">
        <v>114</v>
      </c>
      <c r="N91" s="131" t="n">
        <f aca="false">((N89*H29)+N87)</f>
        <v>13177.95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90.8442718838241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111.967809600645</v>
      </c>
      <c r="I92" s="215"/>
      <c r="J92" s="215"/>
      <c r="K92" s="216"/>
      <c r="L92" s="63"/>
      <c r="M92" s="214" t="s">
        <v>115</v>
      </c>
      <c r="N92" s="300" t="n">
        <f aca="false">(N91/(1-N76))*N76</f>
        <v>111.632492940702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10814.7942718838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17973.0078096006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15289.5824929407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((H44*B35)+((H44*B35)*B111))/(B63+B64)</f>
        <v>31.304347826087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IF(B105=Y104, (B93-D111)/(B64), B93/(B63+B64))</f>
        <v>470.208446603645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501.512794429732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 t="s">
        <v>287</v>
      </c>
      <c r="B105" s="312" t="s">
        <v>268</v>
      </c>
      <c r="C105" s="312"/>
      <c r="D105" s="421" t="n">
        <v>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0</v>
      </c>
      <c r="C108" s="107"/>
      <c r="D108" s="107" t="n">
        <v>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18</v>
      </c>
      <c r="B111" s="314" t="n">
        <v>0.2</v>
      </c>
      <c r="C111" s="314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/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0</v>
      </c>
      <c r="E119" s="107" t="n">
        <v>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0</v>
      </c>
      <c r="E120" s="167" t="n">
        <f aca="false">E118-E119</f>
        <v>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(E124+E123)-E120</f>
        <v>199.99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214"/>
      <c r="B129" s="215"/>
      <c r="C129" s="215"/>
      <c r="D129" s="215"/>
      <c r="E129" s="216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214" t="s">
        <v>181</v>
      </c>
      <c r="B130" s="172" t="n">
        <v>1200</v>
      </c>
      <c r="C130" s="172"/>
      <c r="D130" s="215"/>
      <c r="E130" s="216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214"/>
      <c r="B131" s="215"/>
      <c r="C131" s="215"/>
      <c r="D131" s="215"/>
      <c r="E131" s="216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214" t="s">
        <v>82</v>
      </c>
      <c r="B132" s="215" t="s">
        <v>83</v>
      </c>
      <c r="C132" s="215"/>
      <c r="D132" s="215" t="s">
        <v>85</v>
      </c>
      <c r="E132" s="216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228" t="n">
        <f aca="false">A158</f>
        <v>12</v>
      </c>
      <c r="B133" s="229" t="n">
        <f aca="false">B157</f>
        <v>5000</v>
      </c>
      <c r="C133" s="230"/>
      <c r="D133" s="229" t="n">
        <f aca="false">B64</f>
        <v>11</v>
      </c>
      <c r="E133" s="216"/>
      <c r="F133" s="63"/>
      <c r="G133" s="228" t="n">
        <f aca="false">G158</f>
        <v>12</v>
      </c>
      <c r="H133" s="229" t="n">
        <f aca="false">B157</f>
        <v>5000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5000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214"/>
      <c r="B134" s="215"/>
      <c r="C134" s="215"/>
      <c r="D134" s="215"/>
      <c r="E134" s="216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27" t="s">
        <v>345</v>
      </c>
      <c r="B135" s="328" t="s">
        <v>253</v>
      </c>
      <c r="C135" s="328"/>
      <c r="D135" s="328" t="s">
        <v>119</v>
      </c>
      <c r="E135" s="216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3" t="n">
        <f aca="false">B96</f>
        <v>470.208446603645</v>
      </c>
      <c r="B136" s="177" t="n">
        <f aca="false">IF(A111="YES", B95*B63, 0)</f>
        <v>375.652173913043</v>
      </c>
      <c r="C136" s="177"/>
      <c r="D136" s="177" t="n">
        <f aca="false">B97</f>
        <v>501.512794429732</v>
      </c>
      <c r="E136" s="216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214"/>
      <c r="B137" s="215"/>
      <c r="C137" s="215"/>
      <c r="D137" s="215"/>
      <c r="E137" s="216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214" t="s">
        <v>346</v>
      </c>
      <c r="B138" s="215" t="s">
        <v>242</v>
      </c>
      <c r="C138" s="215"/>
      <c r="D138" s="215" t="s">
        <v>246</v>
      </c>
      <c r="E138" s="216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85" t="n">
        <f aca="false">B96*B63</f>
        <v>5642.50135924373</v>
      </c>
      <c r="B139" s="103" t="n">
        <f aca="false">IF(A111="YES", B95*B63, 0)</f>
        <v>375.652173913043</v>
      </c>
      <c r="C139" s="221"/>
      <c r="D139" s="184" t="n">
        <f aca="false">B97*B63</f>
        <v>6018.15353315678</v>
      </c>
      <c r="E139" s="216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214"/>
      <c r="B140" s="215"/>
      <c r="C140" s="215"/>
      <c r="D140" s="215"/>
      <c r="E140" s="216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214" t="s">
        <v>255</v>
      </c>
      <c r="B141" s="215" t="s">
        <v>256</v>
      </c>
      <c r="C141" s="215"/>
      <c r="D141" s="215" t="s">
        <v>260</v>
      </c>
      <c r="E141" s="216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111" t="n">
        <f aca="false">E15*0.000006</f>
        <v>0.35115</v>
      </c>
      <c r="B142" s="103" t="n">
        <f aca="false">IF(A111="YES", E15*0.000002, 0)</f>
        <v>0.11705</v>
      </c>
      <c r="C142" s="103"/>
      <c r="D142" s="103" t="n">
        <f aca="false">A142+B142</f>
        <v>0.4682</v>
      </c>
      <c r="E142" s="105"/>
      <c r="F142" s="63"/>
      <c r="G142" s="111" t="n">
        <f aca="false">E15*0.000006</f>
        <v>0.35115</v>
      </c>
      <c r="H142" s="103" t="n">
        <f aca="false">IF(G111="YES", E15*0.000002, 0)</f>
        <v>0.11705</v>
      </c>
      <c r="I142" s="103"/>
      <c r="J142" s="103" t="n">
        <f aca="false">G142+H142</f>
        <v>0.4682</v>
      </c>
      <c r="K142" s="105"/>
      <c r="L142" s="63"/>
      <c r="M142" s="111" t="n">
        <f aca="false">E15*0.000006</f>
        <v>0.35115</v>
      </c>
      <c r="N142" s="103" t="n">
        <f aca="false">IF(M111="YES", E15*0.000002, 0)</f>
        <v>0.11705</v>
      </c>
      <c r="O142" s="103"/>
      <c r="P142" s="103" t="n">
        <f aca="false">M142+N142</f>
        <v>0.4682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214"/>
      <c r="B143" s="215"/>
      <c r="C143" s="215"/>
      <c r="D143" s="215"/>
      <c r="E143" s="216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214" t="s">
        <v>139</v>
      </c>
      <c r="B144" s="215" t="s">
        <v>313</v>
      </c>
      <c r="C144" s="215"/>
      <c r="D144" s="215" t="s">
        <v>314</v>
      </c>
      <c r="E144" s="216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111" t="n">
        <f aca="false">A108</f>
        <v>199.99</v>
      </c>
      <c r="B145" s="103" t="n">
        <f aca="false">B73/1.2</f>
        <v>482.375</v>
      </c>
      <c r="C145" s="103"/>
      <c r="D145" s="103" t="n">
        <f aca="false">B108*0.9</f>
        <v>0</v>
      </c>
      <c r="E145" s="105"/>
      <c r="F145" s="63"/>
      <c r="G145" s="111" t="n">
        <f aca="false">G108</f>
        <v>239.988</v>
      </c>
      <c r="H145" s="103" t="n">
        <f aca="false">H73/1.2</f>
        <v>241.1875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241.1875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214"/>
      <c r="B146" s="215"/>
      <c r="C146" s="215"/>
      <c r="D146" s="215"/>
      <c r="E146" s="216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214" t="s">
        <v>316</v>
      </c>
      <c r="B147" s="215" t="s">
        <v>317</v>
      </c>
      <c r="C147" s="215"/>
      <c r="D147" s="215" t="s">
        <v>318</v>
      </c>
      <c r="E147" s="216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IF(A111="YES", ((A41*B111)*0.1)*(A133), 0)</f>
        <v>12</v>
      </c>
      <c r="B148" s="103" t="n">
        <f aca="false">A108-100</f>
        <v>99.99</v>
      </c>
      <c r="C148" s="103"/>
      <c r="D148" s="103" t="n">
        <f aca="false">(B145+D145+A148+B148)-B151</f>
        <v>594.365</v>
      </c>
      <c r="E148" s="105"/>
      <c r="F148" s="63"/>
      <c r="G148" s="111" t="n">
        <f aca="false">IF(G111="YES", ((A41*H111)*0.1)*(G133), 0)</f>
        <v>12</v>
      </c>
      <c r="H148" s="103" t="n">
        <f aca="false">G108-100</f>
        <v>139.988</v>
      </c>
      <c r="I148" s="103"/>
      <c r="J148" s="103" t="n">
        <f aca="false">(H145+J145+G148+H148)-H151</f>
        <v>1473.1755</v>
      </c>
      <c r="K148" s="105"/>
      <c r="L148" s="63"/>
      <c r="M148" s="111" t="n">
        <f aca="false">IF(M111="YES", ((A41*N111)*0.1)*(M133), 0)</f>
        <v>12</v>
      </c>
      <c r="N148" s="103" t="n">
        <f aca="false">M108-100</f>
        <v>99.99</v>
      </c>
      <c r="O148" s="103"/>
      <c r="P148" s="103" t="n">
        <f aca="false">(N145+P145+M148+N148)-N151</f>
        <v>1433.1775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214"/>
      <c r="B149" s="215"/>
      <c r="C149" s="215"/>
      <c r="D149" s="215"/>
      <c r="E149" s="216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214" t="s">
        <v>320</v>
      </c>
      <c r="B150" s="215" t="s">
        <v>321</v>
      </c>
      <c r="C150" s="215"/>
      <c r="D150" s="215"/>
      <c r="E150" s="216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v>0</v>
      </c>
      <c r="B151" s="103" t="n">
        <f aca="false">(B145+D145+A148+B148)*(A151/B70)</f>
        <v>0</v>
      </c>
      <c r="C151" s="215"/>
      <c r="D151" s="215"/>
      <c r="E151" s="216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214"/>
      <c r="B152" s="215"/>
      <c r="C152" s="215"/>
      <c r="D152" s="215"/>
      <c r="E152" s="216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214"/>
      <c r="B153" s="215"/>
      <c r="C153" s="215"/>
      <c r="D153" s="215"/>
      <c r="E153" s="216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281" t="s">
        <v>326</v>
      </c>
      <c r="B154" s="215"/>
      <c r="C154" s="215"/>
      <c r="D154" s="282"/>
      <c r="E154" s="283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214"/>
      <c r="B155" s="249"/>
      <c r="C155" s="249"/>
      <c r="D155" s="215"/>
      <c r="E155" s="216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250" t="s">
        <v>82</v>
      </c>
      <c r="B156" s="251" t="s">
        <v>83</v>
      </c>
      <c r="C156" s="251"/>
      <c r="D156" s="215"/>
      <c r="E156" s="216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250"/>
      <c r="B157" s="252" t="n">
        <f aca="false">B57</f>
        <v>5000</v>
      </c>
      <c r="C157" s="252"/>
      <c r="D157" s="215"/>
      <c r="E157" s="216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254" t="n">
        <f aca="false">A58</f>
        <v>12</v>
      </c>
      <c r="B158" s="74" t="n">
        <f aca="false">B97</f>
        <v>501.512794429732</v>
      </c>
      <c r="C158" s="74"/>
      <c r="D158" s="215"/>
      <c r="E158" s="216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14"/>
      <c r="B159" s="215"/>
      <c r="C159" s="215"/>
      <c r="D159" s="215"/>
      <c r="E159" s="216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14"/>
      <c r="B160" s="215"/>
      <c r="C160" s="215"/>
      <c r="D160" s="215"/>
      <c r="E160" s="216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14"/>
      <c r="B161" s="215"/>
      <c r="C161" s="215"/>
      <c r="D161" s="215"/>
      <c r="E161" s="216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214"/>
      <c r="B162" s="215"/>
      <c r="C162" s="215"/>
      <c r="D162" s="215"/>
      <c r="E162" s="216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285"/>
      <c r="B163" s="286"/>
      <c r="C163" s="286"/>
      <c r="D163" s="286"/>
      <c r="E163" s="287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63"/>
      <c r="B164" s="63"/>
      <c r="C164" s="63"/>
      <c r="D164" s="63"/>
      <c r="E164" s="63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63"/>
      <c r="B165" s="63"/>
      <c r="C165" s="63"/>
      <c r="D165" s="63"/>
      <c r="E165" s="63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63"/>
      <c r="B166" s="63"/>
      <c r="C166" s="63"/>
      <c r="D166" s="63"/>
      <c r="E166" s="63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63"/>
      <c r="B167" s="63"/>
      <c r="C167" s="63"/>
      <c r="D167" s="63"/>
      <c r="E167" s="63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63"/>
      <c r="B168" s="63"/>
      <c r="C168" s="63"/>
      <c r="D168" s="63"/>
      <c r="E168" s="63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63"/>
      <c r="B169" s="63"/>
      <c r="C169" s="63"/>
      <c r="D169" s="63"/>
      <c r="E169" s="63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63"/>
      <c r="B170" s="63"/>
      <c r="C170" s="63"/>
      <c r="D170" s="63"/>
      <c r="E170" s="63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63"/>
      <c r="B171" s="63"/>
      <c r="C171" s="63"/>
      <c r="D171" s="63"/>
      <c r="E171" s="63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63"/>
      <c r="B172" s="63"/>
      <c r="C172" s="63"/>
      <c r="D172" s="63"/>
      <c r="E172" s="63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63"/>
      <c r="B173" s="63"/>
      <c r="C173" s="63"/>
      <c r="D173" s="63"/>
      <c r="E173" s="63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63"/>
      <c r="B174" s="63"/>
      <c r="C174" s="63"/>
      <c r="D174" s="63"/>
      <c r="E174" s="63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63"/>
      <c r="B175" s="63"/>
      <c r="C175" s="63"/>
      <c r="D175" s="63"/>
      <c r="E175" s="63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63"/>
      <c r="B176" s="63"/>
      <c r="C176" s="63"/>
      <c r="D176" s="63"/>
      <c r="E176" s="63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63"/>
      <c r="B177" s="63"/>
      <c r="C177" s="63"/>
      <c r="D177" s="63"/>
      <c r="E177" s="63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63"/>
      <c r="B178" s="63"/>
      <c r="C178" s="63"/>
      <c r="D178" s="63"/>
      <c r="E178" s="63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3"/>
      <c r="B179" s="63"/>
      <c r="C179" s="63"/>
      <c r="D179" s="63"/>
      <c r="E179" s="63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63"/>
      <c r="B180" s="63"/>
      <c r="C180" s="63"/>
      <c r="D180" s="63"/>
      <c r="E180" s="63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63"/>
      <c r="B181" s="63"/>
      <c r="C181" s="63"/>
      <c r="D181" s="63"/>
      <c r="E181" s="63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63"/>
      <c r="B182" s="63"/>
      <c r="C182" s="63"/>
      <c r="D182" s="63"/>
      <c r="E182" s="63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63"/>
      <c r="B183" s="63"/>
      <c r="C183" s="63"/>
      <c r="D183" s="63"/>
      <c r="E183" s="63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63"/>
      <c r="B184" s="63"/>
      <c r="C184" s="63"/>
      <c r="D184" s="63"/>
      <c r="E184" s="63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3"/>
      <c r="B185" s="63"/>
      <c r="C185" s="63"/>
      <c r="D185" s="63"/>
      <c r="E185" s="63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63"/>
      <c r="B186" s="63"/>
      <c r="C186" s="63"/>
      <c r="D186" s="63"/>
      <c r="E186" s="63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63"/>
      <c r="B187" s="63"/>
      <c r="C187" s="63"/>
      <c r="D187" s="63"/>
      <c r="E187" s="63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63"/>
      <c r="B188" s="63"/>
      <c r="C188" s="63"/>
      <c r="D188" s="63"/>
      <c r="E188" s="63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63"/>
      <c r="B189" s="63"/>
      <c r="C189" s="63"/>
      <c r="D189" s="63"/>
      <c r="E189" s="63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63"/>
      <c r="B190" s="63"/>
      <c r="C190" s="63"/>
      <c r="D190" s="63"/>
      <c r="E190" s="63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63"/>
      <c r="B191" s="63"/>
      <c r="C191" s="63"/>
      <c r="D191" s="63"/>
      <c r="E191" s="63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63"/>
      <c r="B192" s="63"/>
      <c r="C192" s="63"/>
      <c r="D192" s="63"/>
      <c r="E192" s="63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63"/>
      <c r="B193" s="63"/>
      <c r="C193" s="63"/>
      <c r="D193" s="63"/>
      <c r="E193" s="63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63"/>
      <c r="B194" s="63"/>
      <c r="C194" s="63"/>
      <c r="D194" s="63"/>
      <c r="E194" s="63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63"/>
      <c r="B195" s="63"/>
      <c r="C195" s="63"/>
      <c r="D195" s="63"/>
      <c r="E195" s="63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63"/>
      <c r="B196" s="63"/>
      <c r="C196" s="63"/>
      <c r="D196" s="63"/>
      <c r="E196" s="63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63"/>
      <c r="B197" s="63"/>
      <c r="C197" s="63"/>
      <c r="D197" s="63"/>
      <c r="E197" s="63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63"/>
      <c r="B198" s="63"/>
      <c r="C198" s="63"/>
      <c r="D198" s="63"/>
      <c r="E198" s="63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63"/>
      <c r="B201" s="63"/>
      <c r="C201" s="63"/>
      <c r="D201" s="63"/>
      <c r="E201" s="63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63"/>
      <c r="B202" s="63"/>
      <c r="C202" s="63"/>
      <c r="D202" s="63"/>
      <c r="E202" s="63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63"/>
      <c r="B203" s="63"/>
      <c r="C203" s="63"/>
      <c r="D203" s="63"/>
      <c r="E203" s="63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63"/>
      <c r="B204" s="63"/>
      <c r="C204" s="63"/>
      <c r="D204" s="63"/>
      <c r="E204" s="63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63"/>
      <c r="B207" s="63"/>
      <c r="C207" s="63"/>
      <c r="D207" s="63"/>
      <c r="E207" s="63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63"/>
      <c r="B208" s="63"/>
      <c r="C208" s="63"/>
      <c r="D208" s="63"/>
      <c r="E208" s="63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63"/>
      <c r="B209" s="63"/>
      <c r="C209" s="63"/>
      <c r="D209" s="63"/>
      <c r="E209" s="63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63"/>
      <c r="B210" s="63"/>
      <c r="C210" s="63"/>
      <c r="D210" s="63"/>
      <c r="E210" s="63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63"/>
      <c r="B211" s="63"/>
      <c r="C211" s="63"/>
      <c r="D211" s="63"/>
      <c r="E211" s="63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63"/>
      <c r="B212" s="63"/>
      <c r="C212" s="63"/>
      <c r="D212" s="63"/>
      <c r="E212" s="63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63"/>
      <c r="B213" s="63"/>
      <c r="C213" s="63"/>
      <c r="D213" s="63"/>
      <c r="E213" s="63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63"/>
      <c r="B214" s="63"/>
      <c r="C214" s="63"/>
      <c r="D214" s="63"/>
      <c r="E214" s="63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63"/>
      <c r="B215" s="63"/>
      <c r="C215" s="63"/>
      <c r="D215" s="63"/>
      <c r="E215" s="63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63"/>
      <c r="B216" s="63"/>
      <c r="C216" s="63"/>
      <c r="D216" s="63"/>
      <c r="E216" s="63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63"/>
      <c r="B217" s="63"/>
      <c r="C217" s="63"/>
      <c r="D217" s="63"/>
      <c r="E217" s="63"/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63"/>
      <c r="B218" s="63"/>
      <c r="C218" s="63"/>
      <c r="D218" s="63"/>
      <c r="E218" s="63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63"/>
      <c r="B219" s="63"/>
      <c r="C219" s="63"/>
      <c r="D219" s="63"/>
      <c r="E219" s="63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63"/>
      <c r="B220" s="63"/>
      <c r="C220" s="63"/>
      <c r="D220" s="63"/>
      <c r="E220" s="63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63"/>
      <c r="B221" s="63"/>
      <c r="C221" s="63"/>
      <c r="D221" s="63"/>
      <c r="E221" s="63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63"/>
      <c r="B222" s="63"/>
      <c r="C222" s="63"/>
      <c r="D222" s="63"/>
      <c r="E222" s="63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63"/>
      <c r="B223" s="63"/>
      <c r="C223" s="63"/>
      <c r="D223" s="63"/>
      <c r="E223" s="63"/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63"/>
      <c r="B224" s="63"/>
      <c r="C224" s="63"/>
      <c r="D224" s="63"/>
      <c r="E224" s="63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63"/>
      <c r="B225" s="63"/>
      <c r="C225" s="63"/>
      <c r="D225" s="63"/>
      <c r="E225" s="63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63"/>
      <c r="B226" s="63"/>
      <c r="C226" s="63"/>
      <c r="D226" s="63"/>
      <c r="E226" s="63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63"/>
      <c r="B227" s="63"/>
      <c r="C227" s="63"/>
      <c r="D227" s="63"/>
      <c r="E227" s="63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63"/>
      <c r="B228" s="63"/>
      <c r="C228" s="63"/>
      <c r="D228" s="63"/>
      <c r="E228" s="63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63"/>
      <c r="B229" s="63"/>
      <c r="C229" s="63"/>
      <c r="D229" s="63"/>
      <c r="E229" s="63"/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63"/>
      <c r="B230" s="63"/>
      <c r="C230" s="63"/>
      <c r="D230" s="63"/>
      <c r="E230" s="63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63"/>
      <c r="B231" s="63"/>
      <c r="C231" s="63"/>
      <c r="D231" s="63"/>
      <c r="E231" s="63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63"/>
      <c r="B232" s="63"/>
      <c r="C232" s="63"/>
      <c r="D232" s="63"/>
      <c r="E232" s="63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63"/>
      <c r="B233" s="63"/>
      <c r="C233" s="63"/>
      <c r="D233" s="63"/>
      <c r="E233" s="63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63"/>
      <c r="B234" s="63"/>
      <c r="C234" s="63"/>
      <c r="D234" s="63"/>
      <c r="E234" s="63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63"/>
      <c r="B235" s="63"/>
      <c r="C235" s="63"/>
      <c r="D235" s="63"/>
      <c r="E235" s="63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63"/>
      <c r="B236" s="63"/>
      <c r="C236" s="63"/>
      <c r="D236" s="63"/>
      <c r="E236" s="63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B130:C130"/>
    <mergeCell ref="H130:I130"/>
    <mergeCell ref="N130:O130"/>
    <mergeCell ref="N154:O154"/>
    <mergeCell ref="A156:A157"/>
    <mergeCell ref="B156:C156"/>
    <mergeCell ref="G156:G157"/>
    <mergeCell ref="H156:I156"/>
    <mergeCell ref="B157:C157"/>
    <mergeCell ref="H157:I157"/>
    <mergeCell ref="B158:C158"/>
    <mergeCell ref="H158:I158"/>
    <mergeCell ref="M159:M160"/>
    <mergeCell ref="N159:O159"/>
    <mergeCell ref="N160:O160"/>
    <mergeCell ref="N161:O161"/>
  </mergeCells>
  <dataValidations count="5">
    <dataValidation allowBlank="true" operator="between" showDropDown="false" showErrorMessage="true" showInputMessage="false" sqref="B38 A50 A111 G111 M111 O113 B116 H116 N116" type="list">
      <formula1>$Z$19:$Z$20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  <dataValidation allowBlank="true" operator="between" showDropDown="false" showErrorMessage="true" showInputMessage="false" sqref="A32 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55" colorId="64" zoomScale="85" zoomScaleNormal="85" zoomScalePageLayoutView="100" workbookViewId="0">
      <selection pane="topLeft" activeCell="B64" activeCellId="0" sqref="B64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16745</v>
      </c>
      <c r="C3" s="498" t="n">
        <v>0</v>
      </c>
      <c r="D3" s="498" t="n">
        <v>0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</v>
      </c>
      <c r="C4" s="511" t="n">
        <v>0</v>
      </c>
      <c r="D4" s="50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16745</v>
      </c>
      <c r="C7" s="291" t="n">
        <f aca="false">C3-C6</f>
        <v>0</v>
      </c>
      <c r="D7" s="291" t="n">
        <f aca="false">D3-D6</f>
        <v>0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340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16745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695</v>
      </c>
      <c r="F10" s="63"/>
      <c r="G10" s="63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3488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275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21268</v>
      </c>
      <c r="F15" s="63"/>
      <c r="G15" s="274" t="n">
        <f aca="false">E15</f>
        <v>21268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(B3+C3+E10+D3+E3)*1.2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21268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45295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0</v>
      </c>
      <c r="E32" s="226"/>
      <c r="F32" s="63"/>
      <c r="G32" s="227" t="s">
        <v>244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139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</v>
      </c>
      <c r="B41" s="241" t="n">
        <f aca="false">IF(B38="YES", D38+A41, D38)</f>
        <v>500</v>
      </c>
      <c r="C41" s="241"/>
      <c r="D41" s="104" t="n">
        <v>12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255</v>
      </c>
      <c r="B43" s="240" t="s">
        <v>256</v>
      </c>
      <c r="C43" s="230"/>
      <c r="D43" s="240" t="s">
        <v>260</v>
      </c>
      <c r="E43" s="243"/>
      <c r="F43" s="63"/>
      <c r="G43" s="63" t="s">
        <v>257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</v>
      </c>
      <c r="B44" s="104" t="n">
        <v>0</v>
      </c>
      <c r="C44" s="104"/>
      <c r="D44" s="279" t="n">
        <f aca="false">A44+B44</f>
        <v>1</v>
      </c>
      <c r="E44" s="279"/>
      <c r="F44" s="63"/>
      <c r="G44" s="63" t="s">
        <v>258</v>
      </c>
      <c r="H44" s="238" t="n">
        <f aca="false">((A41*(B35-1))+D32)/B35</f>
        <v>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275</v>
      </c>
      <c r="B46" s="230"/>
      <c r="C46" s="230"/>
      <c r="D46" s="230"/>
      <c r="E46" s="243"/>
      <c r="F46" s="63"/>
      <c r="G46" s="63" t="s">
        <v>263</v>
      </c>
      <c r="H46" s="238" t="n">
        <f aca="false">H43</f>
        <v>501</v>
      </c>
      <c r="I46" s="238" t="s">
        <v>4</v>
      </c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501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1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11</v>
      </c>
      <c r="C58" s="215" t="s">
        <v>276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20928</v>
      </c>
      <c r="C61" s="215"/>
      <c r="D61" s="215"/>
      <c r="E61" s="216"/>
      <c r="F61" s="63"/>
      <c r="G61" s="214" t="s">
        <v>14</v>
      </c>
      <c r="H61" s="291" t="n">
        <f aca="false">G18</f>
        <v>20928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B61*B63</f>
        <v>1464.96</v>
      </c>
      <c r="C64" s="215" t="n">
        <v>10000</v>
      </c>
      <c r="D64" s="291" t="n">
        <f aca="false">B64</f>
        <v>1464.96</v>
      </c>
      <c r="E64" s="216"/>
      <c r="F64" s="63"/>
      <c r="G64" s="285" t="s">
        <v>90</v>
      </c>
      <c r="H64" s="133" t="n">
        <f aca="false">H61*H63</f>
        <v>1464.96</v>
      </c>
      <c r="I64" s="215"/>
      <c r="J64" s="291" t="n">
        <f aca="false">H64</f>
        <v>1464.96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B61*B66</f>
        <v>209.28</v>
      </c>
      <c r="C67" s="215"/>
      <c r="D67" s="291"/>
      <c r="E67" s="216"/>
      <c r="F67" s="63"/>
      <c r="G67" s="285" t="s">
        <v>93</v>
      </c>
      <c r="H67" s="133" t="n">
        <f aca="false">H61*H66</f>
        <v>104.64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60</v>
      </c>
      <c r="C73" s="215"/>
      <c r="D73" s="291" t="n">
        <f aca="false">B73+B71</f>
        <v>260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0</v>
      </c>
      <c r="C74" s="215"/>
      <c r="D74" s="215"/>
      <c r="E74" s="216"/>
      <c r="F74" s="63"/>
      <c r="G74" s="292" t="s">
        <v>280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</v>
      </c>
      <c r="C75" s="215" t="n">
        <f aca="false">IF(G18&gt;40000, 325, 0)</f>
        <v>0</v>
      </c>
      <c r="D75" s="215"/>
      <c r="E75" s="216"/>
      <c r="F75" s="63"/>
      <c r="G75" s="295" t="s">
        <v>281</v>
      </c>
      <c r="H75" s="299" t="n">
        <f aca="false">IF(G18&gt;40000, 325, 0)</f>
        <v>0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282</v>
      </c>
      <c r="H76" s="133" t="n">
        <f aca="false">((H74+H75)/12)*(H29-11)</f>
        <v>12.5</v>
      </c>
      <c r="I76" s="215"/>
      <c r="J76" s="291" t="n">
        <f aca="false">H76</f>
        <v>12.5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283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283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284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215"/>
      <c r="D79" s="291" t="n">
        <f aca="false">B79</f>
        <v>200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215"/>
      <c r="D80" s="291" t="n">
        <f aca="false">B80</f>
        <v>200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2791.62666666667</v>
      </c>
      <c r="C81" s="215"/>
      <c r="D81" s="215"/>
      <c r="E81" s="216"/>
      <c r="F81" s="63"/>
      <c r="G81" s="303" t="s">
        <v>102</v>
      </c>
      <c r="H81" s="304" t="n">
        <f aca="false">SUM(J64:J80)</f>
        <v>3091.46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232.635555555556</v>
      </c>
      <c r="C82" s="215"/>
      <c r="D82" s="215"/>
      <c r="E82" s="216"/>
      <c r="F82" s="63"/>
      <c r="G82" s="214" t="s">
        <v>103</v>
      </c>
      <c r="H82" s="300" t="n">
        <f aca="false">H81/H29</f>
        <v>257.621666666667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((B83*(H29)+B81))*1.2</f>
        <v>10564.352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10924.152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(((B83*(H29))+B81)/(1-B70))*B70</f>
        <v>74.5769100443727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77.1168455022186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10638.9289100444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10901.2788455022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IF(B99=Z102,(((H44*B35)+(H44*B35)*(B105/100))/(B58))*1.2,(((H44*B35)+(H44*B35)*(B105/100))/(B57+B58))*1.2)</f>
        <v>0</v>
      </c>
      <c r="C89" s="215"/>
      <c r="D89" s="215"/>
      <c r="E89" s="216"/>
      <c r="F89" s="63"/>
      <c r="G89" s="303" t="s">
        <v>117</v>
      </c>
      <c r="H89" s="304" t="n">
        <f aca="false">(A41+(A41*H105))*1.2</f>
        <v>0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886.577409170364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908.439903791851</v>
      </c>
      <c r="I90" s="215"/>
      <c r="J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886.577409170364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908.439903791851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285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287</v>
      </c>
      <c r="B99" s="312" t="s">
        <v>128</v>
      </c>
      <c r="C99" s="312"/>
      <c r="D99" s="107" t="n">
        <v>1000</v>
      </c>
      <c r="E99" s="107"/>
      <c r="F99" s="63"/>
      <c r="G99" s="220" t="s">
        <v>287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291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f aca="false">199.99*1.2</f>
        <v>239.988</v>
      </c>
      <c r="B102" s="107" t="n">
        <v>400</v>
      </c>
      <c r="C102" s="107"/>
      <c r="D102" s="107" t="n">
        <v>200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264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265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266</v>
      </c>
      <c r="AA104" s="63"/>
    </row>
    <row r="105" customFormat="false" ht="18.75" hidden="false" customHeight="true" outlineLevel="0" collapsed="false">
      <c r="A105" s="222" t="s">
        <v>19</v>
      </c>
      <c r="B105" s="312" t="n">
        <v>0</v>
      </c>
      <c r="C105" s="312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267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268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269</v>
      </c>
      <c r="AA107" s="63"/>
    </row>
    <row r="108" customFormat="false" ht="18.75" hidden="false" customHeight="true" outlineLevel="0" collapsed="false">
      <c r="A108" s="217" t="s">
        <v>293</v>
      </c>
      <c r="B108" s="217"/>
      <c r="C108" s="217"/>
      <c r="D108" s="217"/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270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271</v>
      </c>
    </row>
    <row r="110" customFormat="false" ht="18.75" hidden="false" customHeight="true" outlineLevel="0" collapsed="false">
      <c r="A110" s="214" t="s">
        <v>294</v>
      </c>
      <c r="B110" s="222" t="s">
        <v>19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239.988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((E118)+E117)-E114</f>
        <v>-2760.012</v>
      </c>
      <c r="F119" s="63"/>
      <c r="G119" s="315" t="s">
        <v>295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886.577409170364</v>
      </c>
      <c r="B128" s="321" t="n">
        <f aca="false">IF(A105="YES", B89, 0)</f>
        <v>0</v>
      </c>
      <c r="C128" s="326"/>
      <c r="D128" s="321" t="n">
        <f aca="false">B91</f>
        <v>886.577409170364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299</v>
      </c>
      <c r="H129" s="328" t="s">
        <v>300</v>
      </c>
      <c r="I129" s="328"/>
      <c r="J129" s="328" t="s">
        <v>301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333" t="n">
        <f aca="false">H90</f>
        <v>908.439903791851</v>
      </c>
      <c r="H130" s="177" t="n">
        <f aca="false">IF(G105="YES", H89*H57, 0)</f>
        <v>0</v>
      </c>
      <c r="I130" s="177"/>
      <c r="J130" s="334" t="n">
        <f aca="false">H91</f>
        <v>908.439903791851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886.577409170364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908.439903791851</v>
      </c>
      <c r="H133" s="103" t="n">
        <f aca="false">IF(G105="YES", H89*H57, 0)</f>
        <v>0</v>
      </c>
      <c r="I133" s="221"/>
      <c r="J133" s="184" t="n">
        <f aca="false">H91*H57</f>
        <v>908.439903791851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886.577409170364</v>
      </c>
      <c r="B134" s="38" t="n">
        <f aca="false">E114</f>
        <v>4000</v>
      </c>
      <c r="C134" s="317"/>
      <c r="D134" s="337" t="n">
        <f aca="false">B58</f>
        <v>11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0.127608</v>
      </c>
      <c r="H136" s="103" t="n">
        <f aca="false">IF(G105="YES", E15*0.000002, 0)</f>
        <v>0.042536</v>
      </c>
      <c r="I136" s="103"/>
      <c r="J136" s="103" t="n">
        <f aca="false">G136+H136</f>
        <v>0.170144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886.577409170364</v>
      </c>
      <c r="B137" s="38" t="n">
        <f aca="false">IF(A105="YES", B89, 0)</f>
        <v>0</v>
      </c>
      <c r="C137" s="317"/>
      <c r="D137" s="38" t="n">
        <f aca="false">B91</f>
        <v>886.577409170364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104.64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15.06816</v>
      </c>
      <c r="B140" s="343" t="n">
        <f aca="false">G18*0.000002 *1.2*100</f>
        <v>5.02272</v>
      </c>
      <c r="C140" s="317"/>
      <c r="D140" s="343" t="n">
        <f aca="false">A140+B140</f>
        <v>20.09088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H89*0.1, 0)</f>
        <v>0</v>
      </c>
      <c r="H142" s="103" t="n">
        <f aca="false">G102-100</f>
        <v>139.988</v>
      </c>
      <c r="I142" s="103"/>
      <c r="J142" s="103" t="n">
        <f aca="false">(H139+J139+G142+H142)-H145</f>
        <v>1324.628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239.988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209.28</v>
      </c>
      <c r="B148" s="38" t="n">
        <f aca="false">B102</f>
        <v>400</v>
      </c>
      <c r="C148" s="38"/>
      <c r="D148" s="38" t="n">
        <f aca="false">IF(A105="YES", (A38/100*B105)*B125, 0)*0.001</f>
        <v>0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(E118/1.2)-100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709.27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908.439903791851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886.577409170364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296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287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297</v>
      </c>
      <c r="C170" s="355"/>
      <c r="D170" s="354" t="s">
        <v>298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886.577409170364</v>
      </c>
      <c r="B171" s="355" t="n">
        <f aca="false">IF(A105="YES", B89, 0)</f>
        <v>0</v>
      </c>
      <c r="C171" s="358"/>
      <c r="D171" s="355" t="n">
        <f aca="false">B91</f>
        <v>886.577409170364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302</v>
      </c>
      <c r="C173" s="230"/>
      <c r="D173" s="359" t="s">
        <v>303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 Monthly in advance </v>
      </c>
      <c r="B174" s="103" t="n">
        <f aca="false">B90*B57</f>
        <v>886.577409170364</v>
      </c>
      <c r="C174" s="353"/>
      <c r="D174" s="103" t="n">
        <f aca="false">IF(A105="YES", B89*B57, 0)</f>
        <v>0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307</v>
      </c>
      <c r="B176" s="166" t="s">
        <v>308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886.577409170364</v>
      </c>
      <c r="B177" s="103" t="n">
        <f aca="false">E114</f>
        <v>4000</v>
      </c>
      <c r="C177" s="353"/>
      <c r="D177" s="361" t="n">
        <f aca="false">B58</f>
        <v>11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297</v>
      </c>
      <c r="C179" s="353"/>
      <c r="D179" s="353" t="s">
        <v>298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886.577409170364</v>
      </c>
      <c r="B180" s="103" t="n">
        <f aca="false">IF(A105="YES", B89, 0)</f>
        <v>0</v>
      </c>
      <c r="C180" s="353"/>
      <c r="D180" s="103" t="n">
        <f aca="false">B91</f>
        <v>886.577409170364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315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15.06816</v>
      </c>
      <c r="B183" s="365" t="n">
        <f aca="false">G18*0.000002 *1.2*100</f>
        <v>5.02272</v>
      </c>
      <c r="C183" s="353"/>
      <c r="D183" s="365" t="n">
        <f aca="false">A183+B183</f>
        <v>20.09088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319</v>
      </c>
      <c r="B185" s="364" t="s">
        <v>53</v>
      </c>
      <c r="C185" s="103"/>
      <c r="D185" s="364" t="s">
        <v>283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239.988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322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323</v>
      </c>
      <c r="B190" s="353" t="s">
        <v>324</v>
      </c>
      <c r="C190" s="353"/>
      <c r="D190" s="353" t="s">
        <v>325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209.28</v>
      </c>
      <c r="B191" s="103" t="n">
        <f aca="false">B102</f>
        <v>400</v>
      </c>
      <c r="C191" s="103"/>
      <c r="D191" s="103" t="n">
        <f aca="false">IF(A105="YES", (A38/100*B105)*B125, 0)*0.001</f>
        <v>0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327</v>
      </c>
      <c r="B193" s="353" t="s">
        <v>321</v>
      </c>
      <c r="C193" s="353"/>
      <c r="D193" s="353" t="s">
        <v>318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(E118/1.2)-100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709.27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328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B209</f>
        <v>0.065</v>
      </c>
      <c r="C203" s="321" t="s">
        <v>215</v>
      </c>
      <c r="D203" s="370" t="n">
        <f aca="false">D64</f>
        <v>1464.96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209.28</v>
      </c>
      <c r="C205" s="320" t="s">
        <v>217</v>
      </c>
      <c r="D205" s="370" t="n">
        <f aca="false">B219+E215+B215+B217</f>
        <v>339.99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1595.67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1464.96</v>
      </c>
      <c r="C211" s="375" t="s">
        <v>221</v>
      </c>
      <c r="D211" s="317"/>
      <c r="E211" s="376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209.28</v>
      </c>
      <c r="C213" s="336" t="s">
        <v>329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329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330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1595.67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331</v>
      </c>
      <c r="B219" s="341" t="n">
        <f aca="false">D191/0.1</f>
        <v>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332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200</v>
      </c>
      <c r="C223" s="336" t="s">
        <v>226</v>
      </c>
      <c r="D223" s="343"/>
      <c r="E223" s="149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74.5769100443727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200</v>
      </c>
      <c r="C227" s="382" t="s">
        <v>333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200</v>
      </c>
      <c r="C229" s="386" t="s">
        <v>334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6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9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58" colorId="64" zoomScale="85" zoomScaleNormal="85" zoomScalePageLayoutView="100" workbookViewId="0">
      <selection pane="topLeft" activeCell="B204" activeCellId="0" sqref="B204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0.0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0.0</v>
      </c>
      <c r="C4" s="500" t="n">
        <v>0.0</v>
      </c>
      <c r="D4" s="50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650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58535</v>
      </c>
      <c r="F15" s="63"/>
      <c r="G15" s="274" t="n">
        <f aca="false">E15</f>
        <v>58535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(B3+C3+E10+D3+E3)*1.2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58535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45295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str">
        <f aca="false">IF(A32=Z101,A41,IF(A32=Z102,A41,IF(A32=Z103,(A41*3),IF(A32=Z104,(A41*6),IF(A32=Z105,(A41*9),IF(A32=Z106,(A41*12),IF(A32=Z107,A41,IF(A32=Z108,A41,IF(A32=Z109,A41,0)))))))))</f>
        <v>70</v>
      </c>
      <c r="E32" s="226"/>
      <c r="F32" s="63"/>
      <c r="G32" s="227" t="s">
        <v>244</v>
      </c>
      <c r="H32" s="225" t="str">
        <f aca="false">A41</f>
        <v>70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570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398</v>
      </c>
      <c r="C38" s="223"/>
      <c r="D38" s="104" t="n">
        <v>500.0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139</v>
      </c>
      <c r="E40" s="216"/>
      <c r="F40" s="63"/>
      <c r="G40" s="387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403</v>
      </c>
      <c r="B41" s="241" t="n">
        <f aca="false">IF(B38="YES", D38+A41, D38)</f>
        <v>570</v>
      </c>
      <c r="C41" s="241"/>
      <c r="D41" s="104" t="n">
        <v>12.0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255</v>
      </c>
      <c r="B43" s="240" t="s">
        <v>256</v>
      </c>
      <c r="C43" s="230"/>
      <c r="D43" s="240" t="s">
        <v>260</v>
      </c>
      <c r="E43" s="243"/>
      <c r="F43" s="63"/>
      <c r="G43" s="63" t="s">
        <v>257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1.0</v>
      </c>
      <c r="B44" s="104" t="s">
        <v>400</v>
      </c>
      <c r="C44" s="104"/>
      <c r="D44" s="279" t="n">
        <f aca="false">A44+B44</f>
        <v>2</v>
      </c>
      <c r="E44" s="279"/>
      <c r="F44" s="63"/>
      <c r="G44" s="63" t="s">
        <v>258</v>
      </c>
      <c r="H44" s="238" t="n">
        <f aca="false">((A41*(B35-1))+D32)/B35</f>
        <v>70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571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275</v>
      </c>
      <c r="B46" s="230"/>
      <c r="C46" s="230"/>
      <c r="D46" s="230"/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 t="n">
        <f aca="false">(A41*(B58+B57))</f>
        <v>840</v>
      </c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571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1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11</v>
      </c>
      <c r="C58" s="215" t="s">
        <v>276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57885</v>
      </c>
      <c r="C61" s="215"/>
      <c r="D61" s="215"/>
      <c r="E61" s="216"/>
      <c r="F61" s="63"/>
      <c r="G61" s="214" t="s">
        <v>14</v>
      </c>
      <c r="H61" s="291" t="n">
        <f aca="false">G18</f>
        <v>57885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B61*B63</f>
        <v>4051.95</v>
      </c>
      <c r="C64" s="215" t="n">
        <v>10000</v>
      </c>
      <c r="D64" s="291" t="n">
        <f aca="false">B64</f>
        <v>4051.95</v>
      </c>
      <c r="E64" s="216"/>
      <c r="F64" s="63"/>
      <c r="G64" s="285" t="s">
        <v>90</v>
      </c>
      <c r="H64" s="133" t="n">
        <f aca="false">H61*H63</f>
        <v>4051.95</v>
      </c>
      <c r="I64" s="215"/>
      <c r="J64" s="291" t="n">
        <f aca="false">H64</f>
        <v>4051.95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B61*B66</f>
        <v>578.85</v>
      </c>
      <c r="C67" s="215"/>
      <c r="D67" s="291"/>
      <c r="E67" s="216"/>
      <c r="F67" s="63"/>
      <c r="G67" s="285" t="s">
        <v>93</v>
      </c>
      <c r="H67" s="133" t="n">
        <f aca="false">H61*H66</f>
        <v>289.425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200.0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5.0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60</v>
      </c>
      <c r="C73" s="215"/>
      <c r="D73" s="291" t="n">
        <f aca="false">B73+B71</f>
        <v>260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0.0</v>
      </c>
      <c r="C74" s="215"/>
      <c r="D74" s="215"/>
      <c r="E74" s="216"/>
      <c r="F74" s="63"/>
      <c r="G74" s="292" t="s">
        <v>280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0.0</v>
      </c>
      <c r="C75" s="215"/>
      <c r="D75" s="215"/>
      <c r="E75" s="216"/>
      <c r="F75" s="63"/>
      <c r="G75" s="295" t="s">
        <v>281</v>
      </c>
      <c r="H75" s="299" t="n">
        <f aca="false">IF(G18&gt;40000, 325, 0)</f>
        <v>325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282</v>
      </c>
      <c r="H76" s="133" t="n">
        <f aca="false">((H74+H75)/12)*(H29-11)</f>
        <v>39.5833333333333</v>
      </c>
      <c r="I76" s="215"/>
      <c r="J76" s="291" t="n">
        <f aca="false">H76</f>
        <v>39.5833333333333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283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283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284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200.0</v>
      </c>
      <c r="C79" s="215"/>
      <c r="D79" s="291" t="n">
        <f aca="false">B79</f>
        <v>200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200.0</v>
      </c>
      <c r="C80" s="215"/>
      <c r="D80" s="291" t="n">
        <f aca="false">B80</f>
        <v>200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5378.61666666667</v>
      </c>
      <c r="C81" s="215"/>
      <c r="D81" s="215"/>
      <c r="E81" s="216"/>
      <c r="F81" s="63"/>
      <c r="G81" s="303" t="s">
        <v>102</v>
      </c>
      <c r="H81" s="304" t="n">
        <f aca="false">SUM(J64:J80)</f>
        <v>5705.53333333333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448.218055555556</v>
      </c>
      <c r="C82" s="215"/>
      <c r="D82" s="215"/>
      <c r="E82" s="216"/>
      <c r="F82" s="63"/>
      <c r="G82" s="214" t="s">
        <v>103</v>
      </c>
      <c r="H82" s="300" t="n">
        <f aca="false">H81/H29</f>
        <v>475.461111111111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</f>
        <v>11390.6166666667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14061.04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(B85/(1-B70))*B70</f>
        <v>96.4917103670835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99.2610730133118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11487.1083770338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14060.3110730133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IF(B99=Z102,(((H44*B35)+(H44*B35)*(B105/100))/(B58)),(((H44*B35)+(H44*B35)*(B105/100))/(B57+B58)))</f>
        <v>70</v>
      </c>
      <c r="C89" s="215" t="s">
        <v>4</v>
      </c>
      <c r="D89" s="215"/>
      <c r="E89" s="216"/>
      <c r="F89" s="63"/>
      <c r="G89" s="303" t="s">
        <v>117</v>
      </c>
      <c r="H89" s="304" t="n">
        <f aca="false">(A41+(A41*H105))*1.2</f>
        <v>100.8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957.259031419479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1171.69258941778</v>
      </c>
      <c r="I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957.259031419479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1272.49258941778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335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287</v>
      </c>
      <c r="B99" s="312" t="s">
        <v>128</v>
      </c>
      <c r="C99" s="312"/>
      <c r="D99" s="107" t="n">
        <v>1000</v>
      </c>
      <c r="E99" s="107"/>
      <c r="F99" s="63"/>
      <c r="G99" s="220" t="s">
        <v>287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291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v>199.99</v>
      </c>
      <c r="B102" s="107" t="n">
        <v>400.0</v>
      </c>
      <c r="C102" s="107"/>
      <c r="D102" s="107" t="n">
        <v>200.0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264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265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266</v>
      </c>
      <c r="AA104" s="63"/>
    </row>
    <row r="105" customFormat="false" ht="18.75" hidden="false" customHeight="true" outlineLevel="0" collapsed="false">
      <c r="A105" s="222" t="s">
        <v>399</v>
      </c>
      <c r="B105" s="312" t="n">
        <v>0.0</v>
      </c>
      <c r="C105" s="312"/>
      <c r="D105" s="107" t="n">
        <v>200.0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267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268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269</v>
      </c>
      <c r="AA107" s="63"/>
    </row>
    <row r="108" customFormat="false" ht="18.75" hidden="false" customHeight="true" outlineLevel="0" collapsed="false">
      <c r="A108" s="217" t="s">
        <v>293</v>
      </c>
      <c r="B108" s="217"/>
      <c r="C108" s="217"/>
      <c r="D108" s="217"/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270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271</v>
      </c>
    </row>
    <row r="110" customFormat="false" ht="18.75" hidden="false" customHeight="true" outlineLevel="0" collapsed="false">
      <c r="A110" s="214" t="s">
        <v>294</v>
      </c>
      <c r="B110" s="222" t="s">
        <v>399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10000.0</v>
      </c>
      <c r="E112" s="107" t="n">
        <v>6000.0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8000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4000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((E118*1.2)+E117)-E114</f>
        <v>-2760.012</v>
      </c>
      <c r="F119" s="63"/>
      <c r="G119" s="315" t="s">
        <v>295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0.0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957.259031419479</v>
      </c>
      <c r="B128" s="321" t="n">
        <f aca="false">IF(A105="YES", B89, 0)</f>
        <v>0</v>
      </c>
      <c r="C128" s="326"/>
      <c r="D128" s="321" t="n">
        <f aca="false">B91</f>
        <v>957.259031419479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299</v>
      </c>
      <c r="H129" s="328" t="s">
        <v>300</v>
      </c>
      <c r="I129" s="328"/>
      <c r="J129" s="328" t="s">
        <v>301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333" t="n">
        <f aca="false">H90</f>
        <v>1171.69258941778</v>
      </c>
      <c r="H130" s="177" t="n">
        <f aca="false">IF(G105="YES", H89*H57, 0)</f>
        <v>100.8</v>
      </c>
      <c r="I130" s="177"/>
      <c r="J130" s="334" t="n">
        <f aca="false">H91</f>
        <v>1272.49258941778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957.259031419479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1171.69258941778</v>
      </c>
      <c r="H133" s="103" t="n">
        <f aca="false">IF(G105="YES", H89*H57, 0)</f>
        <v>100.8</v>
      </c>
      <c r="I133" s="221"/>
      <c r="J133" s="184" t="n">
        <f aca="false">H91*H57</f>
        <v>1272.49258941778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957.259031419479</v>
      </c>
      <c r="B134" s="38" t="n">
        <f aca="false">E114</f>
        <v>4000</v>
      </c>
      <c r="C134" s="317"/>
      <c r="D134" s="337" t="n">
        <f aca="false">B58</f>
        <v>11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0.35121</v>
      </c>
      <c r="H136" s="103" t="n">
        <f aca="false">IF(G105="YES", E15*0.000002, 0)</f>
        <v>0.11707</v>
      </c>
      <c r="I136" s="103"/>
      <c r="J136" s="103" t="n">
        <f aca="false">G136+H136</f>
        <v>0.46828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957.259031419479</v>
      </c>
      <c r="B137" s="38" t="n">
        <f aca="false">IF(A105="YES", B89, 0)</f>
        <v>0</v>
      </c>
      <c r="C137" s="317"/>
      <c r="D137" s="38" t="n">
        <f aca="false">B91</f>
        <v>957.259031419479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289.425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41.6772</v>
      </c>
      <c r="B140" s="343" t="n">
        <f aca="false">G18*0.000002 *1.2*100</f>
        <v>13.8924</v>
      </c>
      <c r="C140" s="317"/>
      <c r="D140" s="343" t="n">
        <f aca="false">A140+B140</f>
        <v>55.5696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H89*0.1, 0)</f>
        <v>10.08</v>
      </c>
      <c r="H142" s="103" t="n">
        <f aca="false">G102-100</f>
        <v>139.988</v>
      </c>
      <c r="I142" s="103"/>
      <c r="J142" s="103" t="n">
        <f aca="false">(H139+J139+G142+H142)-H145</f>
        <v>1519.493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578.85</v>
      </c>
      <c r="B148" s="38" t="n">
        <f aca="false">B102</f>
        <v>400</v>
      </c>
      <c r="C148" s="38"/>
      <c r="D148" s="38" t="n">
        <f aca="false">IF(A105="YES", (A38/100*B105)*B125, 0)*0.001</f>
        <v>0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1078.84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1272.49258941778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957.259031419479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296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287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297</v>
      </c>
      <c r="C170" s="355"/>
      <c r="D170" s="354" t="s">
        <v>298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957.259031419479</v>
      </c>
      <c r="B171" s="355" t="n">
        <f aca="false">IF(A105="YES", B89, 0)</f>
        <v>0</v>
      </c>
      <c r="C171" s="358"/>
      <c r="D171" s="355" t="n">
        <f aca="false">B91</f>
        <v>957.259031419479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302</v>
      </c>
      <c r="C173" s="230"/>
      <c r="D173" s="359" t="s">
        <v>303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 Monthly in advance </v>
      </c>
      <c r="B174" s="103" t="n">
        <f aca="false">B90*B57</f>
        <v>957.259031419479</v>
      </c>
      <c r="C174" s="353"/>
      <c r="D174" s="103" t="n">
        <f aca="false">IF(A105="YES", B89*B57, 0)</f>
        <v>0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307</v>
      </c>
      <c r="B176" s="166" t="s">
        <v>308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957.259031419479</v>
      </c>
      <c r="B177" s="103" t="n">
        <f aca="false">E114</f>
        <v>4000</v>
      </c>
      <c r="C177" s="353"/>
      <c r="D177" s="361" t="n">
        <f aca="false">B58</f>
        <v>11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297</v>
      </c>
      <c r="C179" s="353"/>
      <c r="D179" s="353" t="s">
        <v>298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957.259031419479</v>
      </c>
      <c r="B180" s="103" t="n">
        <f aca="false">IF(A105="YES", B89, 0)</f>
        <v>0</v>
      </c>
      <c r="C180" s="353"/>
      <c r="D180" s="103" t="n">
        <f aca="false">B91</f>
        <v>957.259031419479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315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41.6772</v>
      </c>
      <c r="B183" s="365" t="n">
        <f aca="false">G18*0.000002 *1.2*100</f>
        <v>13.8924</v>
      </c>
      <c r="C183" s="353"/>
      <c r="D183" s="365" t="n">
        <f aca="false">A183+B183</f>
        <v>55.5696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319</v>
      </c>
      <c r="B185" s="364" t="s">
        <v>53</v>
      </c>
      <c r="C185" s="103"/>
      <c r="D185" s="364" t="s">
        <v>283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199.99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322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323</v>
      </c>
      <c r="B190" s="353" t="s">
        <v>324</v>
      </c>
      <c r="C190" s="353"/>
      <c r="D190" s="353" t="s">
        <v>325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578.85</v>
      </c>
      <c r="B191" s="103" t="n">
        <f aca="false">B102</f>
        <v>400</v>
      </c>
      <c r="C191" s="103"/>
      <c r="D191" s="103" t="n">
        <f aca="false">IF(A105="YES", (A38/100*B105)*B125, 0)*0.001</f>
        <v>0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327</v>
      </c>
      <c r="B193" s="353" t="s">
        <v>321</v>
      </c>
      <c r="C193" s="353"/>
      <c r="D193" s="353" t="s">
        <v>318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E118-100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1078.84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328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B209</f>
        <v>0.065</v>
      </c>
      <c r="C203" s="321" t="s">
        <v>215</v>
      </c>
      <c r="D203" s="370" t="n">
        <f aca="false">D64</f>
        <v>4051.95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578.85</v>
      </c>
      <c r="C205" s="320" t="s">
        <v>217</v>
      </c>
      <c r="D205" s="370" t="n">
        <f aca="false">B219+E215+B215+B217</f>
        <v>339.99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3813.09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4051.95</v>
      </c>
      <c r="C211" s="375" t="s">
        <v>221</v>
      </c>
      <c r="D211" s="317"/>
      <c r="E211" s="376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578.85</v>
      </c>
      <c r="C213" s="336" t="s">
        <v>329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329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330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3813.09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331</v>
      </c>
      <c r="B219" s="341" t="n">
        <f aca="false">D191/0.1</f>
        <v>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332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200</v>
      </c>
      <c r="C223" s="336" t="s">
        <v>226</v>
      </c>
      <c r="D223" s="343"/>
      <c r="E223" s="149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96.4917103670835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200</v>
      </c>
      <c r="C227" s="382" t="s">
        <v>333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200</v>
      </c>
      <c r="C229" s="386" t="s">
        <v>334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6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9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BCH'!$Z$101:$Z$109</formula1>
      <formula2>0</formula2>
    </dataValidation>
    <dataValidation allowBlank="true" operator="between" showDropDown="false" showErrorMessage="true" showInputMessage="false" sqref="A32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4968</TotalTime>
  <Application>LibreOffice/7.0.0.3$Windows_X86_64 LibreOffice_project/8061b3e9204bef6b321a21033174034a5e2ea88e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2020-12-02T11:02:33Z</dcterms:created>
  <dc:creator>Kushal Panchal</dc:creator>
  <dc:language>en-US</dc:language>
  <dcterms:modified xsi:type="dcterms:W3CDTF">2024-01-03T18:59:16Z</dcterms:modified>
  <cp:revision>896</cp:revision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15.0000</vt:lpwstr>
  </property>
  <property fmtid="{D5CDD505-2E9C-101B-9397-08002B2CF9AE}" pid="3" name="HyperlinksChanged">
    <vt:bool>0</vt:bool>
  </property>
  <property fmtid="{D5CDD505-2E9C-101B-9397-08002B2CF9AE}" pid="4" name="LinksUpToDate">
    <vt:bool>0</vt:bool>
  </property>
  <property fmtid="{D5CDD505-2E9C-101B-9397-08002B2CF9AE}" pid="5" name="ScaleCrop">
    <vt:bool>0</vt:bool>
  </property>
  <property fmtid="{D5CDD505-2E9C-101B-9397-08002B2CF9AE}" pid="6" name="ShareDoc">
    <vt:bool>0</vt:bool>
  </property>
</Properties>
</file>