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package.relationships+xml" PartName="/xl/_rels/workbook.xml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55"/>
  </bookViews>
  <sheets>
    <sheet name="CP(F2)-PCP_Used_LCV" sheetId="1" state="visible" r:id="rId2"/>
    <sheet name="CP(F2)-CP_Used_LCV" sheetId="2" state="visible" r:id="rId3"/>
    <sheet name="HPNR(F3)-PCP_Used_LCV" sheetId="3" state="visible" r:id="rId4"/>
    <sheet name="HPNR(F3)-CP_Used_LCV" sheetId="4" state="visible" r:id="rId5"/>
    <sheet name="HPNR(F3)-HPR_Used_LCV" sheetId="5" state="visible" r:id="rId6"/>
    <sheet name="HPNR(F3)-HPNR_Used_LCV" sheetId="6" state="visible" r:id="rId7"/>
    <sheet name="BCH-F3-PCH_Used_LCV" sheetId="7" state="visible" r:id="rId8"/>
    <sheet name="BCH-F3-BCH_Used_LCV" sheetId="8" state="visible" r:id="rId9"/>
    <sheet name="CP(F3)-PCH_Used_LCV" sheetId="9" state="visible" r:id="rId10"/>
    <sheet name="CP(F3)-BCH_Used_LCV" sheetId="10" state="visible" r:id="rId11"/>
    <sheet name="FL(F3)-FL_Used_LCV" sheetId="11" state="visible" r:id="rId12"/>
    <sheet name="FL(F3)-PCH_Used_LCV" sheetId="12" state="visible" r:id="rId13"/>
    <sheet name="FL(F3)-BCH_Used_LCV" sheetId="13" state="visible" r:id="rId14"/>
    <sheet name="HPNR (F3)-FL_Used_LCV" sheetId="14" state="visible" r:id="rId15"/>
    <sheet name="HPNR (F3)-PCH_Used_LCV" sheetId="15" state="visible" r:id="rId16"/>
    <sheet name="HPNR (F3)-BCH_Used_LCV" sheetId="16" state="visible" r:id="rId17"/>
    <sheet name="PCP_used_LCV" sheetId="17" state="visible" r:id="rId18"/>
    <sheet name="CP_used_LCV" sheetId="18" state="visible" r:id="rId19"/>
    <sheet name="HPR_used_LCV" sheetId="19" state="visible" r:id="rId20"/>
    <sheet name="HPNR_used_LCV" sheetId="20" state="visible" r:id="rId21"/>
    <sheet name="Formula1-FL_Used_LCV" sheetId="21" state="visible" r:id="rId22"/>
    <sheet name="Formula1-PCH_Used_LCV" sheetId="22" state="visible" r:id="rId23"/>
    <sheet name="Formula1-BCH_Used_LCV" sheetId="23" state="visible" r:id="rId24"/>
    <sheet name="CP(F2)-PCP_Used_car" sheetId="24" state="visible" r:id="rId25"/>
    <sheet name="CP(F2)-CP_Used_car" sheetId="25" state="visible" r:id="rId26"/>
    <sheet name="HPNR(F3)-PCP_Used_car" sheetId="26" state="visible" r:id="rId27"/>
    <sheet name="HPNR(F3)-CP_Used_car" sheetId="27" state="visible" r:id="rId28"/>
    <sheet name="HPNR(F3)-HPR_Used_car" sheetId="28" state="visible" r:id="rId29"/>
    <sheet name="HPNR(F3)-HPNR_Used_car" sheetId="29" state="visible" r:id="rId30"/>
    <sheet name="CP(F3)-PCH_Used_car" sheetId="30" state="visible" r:id="rId31"/>
    <sheet name="CP(F3)-BCH_Used_car" sheetId="31" state="visible" r:id="rId32"/>
    <sheet name="FL(F3)-FL_Used_car" sheetId="32" state="visible" r:id="rId33"/>
    <sheet name="FL(F3)-PCH_Used_car" sheetId="33" state="visible" r:id="rId34"/>
    <sheet name="FL(F3)-BCH_Used_car" sheetId="34" state="visible" r:id="rId35"/>
    <sheet name="HPNR (F3)-FL_Used_car" sheetId="35" state="visible" r:id="rId36"/>
    <sheet name="HPNR (F3)-PCH_Used_car" sheetId="36" state="visible" r:id="rId37"/>
    <sheet name="HPNR (F3)-BCH_Used_car" sheetId="37" state="visible" r:id="rId38"/>
    <sheet name="PCP_used_car" sheetId="38" state="visible" r:id="rId39"/>
    <sheet name="CP_used_car" sheetId="39" state="visible" r:id="rId40"/>
    <sheet name="HPR_used_car" sheetId="40" state="visible" r:id="rId41"/>
    <sheet name="HPNR_used_car" sheetId="41" state="visible" r:id="rId42"/>
    <sheet name="BCH-F3-PCH_Used_car" sheetId="42" state="visible" r:id="rId43"/>
    <sheet name="BCH-F3-BCH_Used_car" sheetId="43" state="visible" r:id="rId44"/>
    <sheet name="Formula1-FL_Used_car" sheetId="44" state="visible" r:id="rId45"/>
    <sheet name="Formula1-PCH_Used_car" sheetId="45" state="visible" r:id="rId46"/>
    <sheet name="CP (Formula 3) - PCH" sheetId="46" state="visible" r:id="rId47"/>
    <sheet name="CP (Formula 3) - BCH" sheetId="47" state="visible" r:id="rId48"/>
    <sheet name="CP (Formula 2) - CP" sheetId="48" state="visible" r:id="rId49"/>
    <sheet name="CP (Formula 2) - PCP" sheetId="49" state="visible" r:id="rId50"/>
    <sheet name="Formula1-BCH_Used_car" sheetId="50" state="visible" r:id="rId51"/>
    <sheet name="HPNR (Formula 3) - PCP" sheetId="51" state="visible" r:id="rId52"/>
    <sheet name="HPNR (Formula 3) - CP" sheetId="52" state="visible" r:id="rId53"/>
    <sheet name="HPNR (Formula 3) - HPR" sheetId="53" state="visible" r:id="rId54"/>
    <sheet name="HPNR (Formula 3) - FL" sheetId="54" state="visible" r:id="rId55"/>
    <sheet name="HPNR (Formula 3) - PCH" sheetId="55" state="visible" r:id="rId56"/>
    <sheet name="HPNR (Formula 3) - BCH" sheetId="56" state="visible" r:id="rId57"/>
    <sheet name="FL (Formula 3) - FL" sheetId="57" state="visible" r:id="rId58"/>
    <sheet name="FL (Formula 3) - PCH" sheetId="58" state="visible" r:id="rId59"/>
    <sheet name="FL (Formula 3) - BCH" sheetId="59" state="visible" r:id="rId60"/>
    <sheet name="HPNR (Formula 3) - HPNR" sheetId="60" state="visible" r:id="rId61"/>
    <sheet name="HirePurchaseNonRegulated" sheetId="61" state="visible" r:id="rId62"/>
    <sheet name="HirePurchaseRegulated" sheetId="62" state="visible" r:id="rId63"/>
    <sheet name="PersonalContractPurchase" sheetId="63" state="visible" r:id="rId64"/>
    <sheet name="ContractPurchase" sheetId="64" state="visible" r:id="rId65"/>
    <sheet name="Formula1-FL" sheetId="65" state="visible" r:id="rId66"/>
    <sheet name="Formula1-PCH" sheetId="66" state="visible" r:id="rId67"/>
    <sheet name="Formula1-BCH" sheetId="67" state="visible" r:id="rId68"/>
    <sheet name="FL (Formula 3) - BCH, PCH, FL" sheetId="68" state="visible" r:id="rId69"/>
    <sheet name="BCH (Formula 3) - PCH" sheetId="69" state="visible" r:id="rId70"/>
    <sheet name="BCH (Formula 3) - BCH" sheetId="70" state="visible" r:id="rId71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<sst xmlns="http://schemas.openxmlformats.org/spreadsheetml/2006/main" count="34097" uniqueCount="421">
  <si>
    <t xml:space="preserve">Calculations</t>
  </si>
  <si>
    <t xml:space="preserve">Cost price ex. VAT &amp; RFL </t>
  </si>
  <si>
    <t xml:space="preserve">VAT </t>
  </si>
  <si>
    <t xml:space="preserve">RFL &amp; FRF </t>
  </si>
  <si>
    <t xml:space="preserve"> </t>
  </si>
  <si>
    <t xml:space="preserve">Cost OTR price </t>
  </si>
  <si>
    <t xml:space="preserve">OTR component </t>
  </si>
  <si>
    <t xml:space="preserve">Cost price</t>
  </si>
  <si>
    <t xml:space="preserve">Vehicle cost price </t>
  </si>
  <si>
    <t xml:space="preserve">Options and preparation cost </t>
  </si>
  <si>
    <t xml:space="preserve">RFL </t>
  </si>
  <si>
    <t xml:space="preserve">Target OTR</t>
  </si>
  <si>
    <t xml:space="preserve">OTR price </t>
  </si>
  <si>
    <t xml:space="preserve">Buying group</t>
  </si>
  <si>
    <t xml:space="preserve">P11D</t>
  </si>
  <si>
    <t xml:space="preserve">Dealer</t>
  </si>
  <si>
    <t xml:space="preserve">Manufacturer</t>
  </si>
  <si>
    <t xml:space="preserve">OTR for invoice </t>
  </si>
  <si>
    <t xml:space="preserve">YES</t>
  </si>
  <si>
    <t xml:space="preserve">NO</t>
  </si>
  <si>
    <t xml:space="preserve">                  </t>
  </si>
  <si>
    <t xml:space="preserve">Holding cost - formula - 2</t>
  </si>
  <si>
    <t xml:space="preserve">      Funder information</t>
  </si>
  <si>
    <t xml:space="preserve">Payment profile</t>
  </si>
  <si>
    <t xml:space="preserve">Monthly Advance</t>
  </si>
  <si>
    <t xml:space="preserve">Number of Monthly Advance</t>
  </si>
  <si>
    <t xml:space="preserve">Monthly advance</t>
  </si>
  <si>
    <t xml:space="preserve">Advance payment in Value</t>
  </si>
  <si>
    <t xml:space="preserve">Duration</t>
  </si>
  <si>
    <t xml:space="preserve">Funder</t>
  </si>
  <si>
    <t xml:space="preserve">Quote reference</t>
  </si>
  <si>
    <t xml:space="preserve">Quote expiry date</t>
  </si>
  <si>
    <t xml:space="preserve">Mileage</t>
  </si>
  <si>
    <t xml:space="preserve">sadasa</t>
  </si>
  <si>
    <t xml:space="preserve">dsfsfds</t>
  </si>
  <si>
    <t xml:space="preserve">Residual Value</t>
  </si>
  <si>
    <t xml:space="preserve">Maintenance Cost (SMR) Annual Value</t>
  </si>
  <si>
    <t xml:space="preserve">TOTAL CASH PRICE</t>
  </si>
  <si>
    <t xml:space="preserve">23125.00</t>
  </si>
  <si>
    <t xml:space="preserve">Term</t>
  </si>
  <si>
    <t xml:space="preserve">Miles per annum</t>
  </si>
  <si>
    <t xml:space="preserve">Contract mileage</t>
  </si>
  <si>
    <t xml:space="preserve">12</t>
  </si>
  <si>
    <t xml:space="preserve">5000</t>
  </si>
  <si>
    <t xml:space="preserve">CASH DEPOSIT</t>
  </si>
  <si>
    <t xml:space="preserve">1000</t>
  </si>
  <si>
    <t xml:space="preserve">Interest Rate (annual)</t>
  </si>
  <si>
    <t xml:space="preserve">Total cash price</t>
  </si>
  <si>
    <t xml:space="preserve">Cash deposit</t>
  </si>
  <si>
    <t xml:space="preserve">Balance to finance</t>
  </si>
  <si>
    <t xml:space="preserve">Subsequence term</t>
  </si>
  <si>
    <t xml:space="preserve">BALANCE TO FINANCE</t>
  </si>
  <si>
    <t xml:space="preserve">Calculation</t>
  </si>
  <si>
    <t xml:space="preserve">Document fee</t>
  </si>
  <si>
    <t xml:space="preserve">Number of monthly payments</t>
  </si>
  <si>
    <t xml:space="preserve">Monthly payment</t>
  </si>
  <si>
    <t xml:space="preserve">funderQuouteMonthlyPayment</t>
  </si>
  <si>
    <t xml:space="preserve">500</t>
  </si>
  <si>
    <t xml:space="preserve">vat</t>
  </si>
  <si>
    <t xml:space="preserve">maintenanceCost</t>
  </si>
  <si>
    <t xml:space="preserve">Optional final payment</t>
  </si>
  <si>
    <t xml:space="preserve">Option to purchase fee</t>
  </si>
  <si>
    <t xml:space="preserve">Maintenance included</t>
  </si>
  <si>
    <t xml:space="preserve">optionalFinalPayment</t>
  </si>
  <si>
    <t xml:space="preserve">fundingContractPeriod</t>
  </si>
  <si>
    <t xml:space="preserve">vatElement</t>
  </si>
  <si>
    <t xml:space="preserve">Monthly maint. Payment</t>
  </si>
  <si>
    <t xml:space="preserve">Pence per excess mile - finance</t>
  </si>
  <si>
    <t xml:space="preserve">Pence per excess mile - maint</t>
  </si>
  <si>
    <t xml:space="preserve">Holding Cost</t>
  </si>
  <si>
    <t xml:space="preserve">rfl</t>
  </si>
  <si>
    <t xml:space="preserve">DocumentTermCal</t>
  </si>
  <si>
    <t xml:space="preserve">Pence per excess mile - total</t>
  </si>
  <si>
    <t xml:space="preserve">Option to Purchase fee</t>
  </si>
  <si>
    <t xml:space="preserve">monthlyHoldingCost</t>
  </si>
  <si>
    <t xml:space="preserve">monthlyFinanceCost</t>
  </si>
  <si>
    <t xml:space="preserve">% CAP residual value used</t>
  </si>
  <si>
    <t xml:space="preserve">% CAP maintenance cost used</t>
  </si>
  <si>
    <t xml:space="preserve">Total Cap Maint. Value</t>
  </si>
  <si>
    <t xml:space="preserve">108.00</t>
  </si>
  <si>
    <t xml:space="preserve">Total Maint value</t>
  </si>
  <si>
    <t xml:space="preserve">    Own book holding cost matrix</t>
  </si>
  <si>
    <t xml:space="preserve">Term (months)</t>
  </si>
  <si>
    <t xml:space="preserve">Mileage per annum</t>
  </si>
  <si>
    <t xml:space="preserve">Advance</t>
  </si>
  <si>
    <t xml:space="preserve">Subsequent monthly rentals</t>
  </si>
  <si>
    <t xml:space="preserve">Options to purchase fee</t>
  </si>
  <si>
    <t xml:space="preserve">Period Supplement</t>
  </si>
  <si>
    <t xml:space="preserve">Base Rate</t>
  </si>
  <si>
    <t xml:space="preserve">Rate Over Base Rate</t>
  </si>
  <si>
    <t xml:space="preserve">Default Margin</t>
  </si>
  <si>
    <t xml:space="preserve">Minimum Margin (%) for broker Vrb</t>
  </si>
  <si>
    <t xml:space="preserve">Margin Required (%) for broker vrb</t>
  </si>
  <si>
    <t xml:space="preserve">Default VRB Paid to Broker</t>
  </si>
  <si>
    <t xml:space="preserve">contingency insurance multiplier (holding cost)</t>
  </si>
  <si>
    <t xml:space="preserve">Insurance Premium Tax</t>
  </si>
  <si>
    <t xml:space="preserve">contingency insurance multiplier (Customer cost)</t>
  </si>
  <si>
    <t xml:space="preserve">Tracker Cost EX VAT</t>
  </si>
  <si>
    <t xml:space="preserve">Tracker subs per month EX VAT</t>
  </si>
  <si>
    <t xml:space="preserve">Tracker subs Total EX VAT</t>
  </si>
  <si>
    <t xml:space="preserve">Disposal Costs</t>
  </si>
  <si>
    <t xml:space="preserve">Delivery and collection EX VAT</t>
  </si>
  <si>
    <t xml:space="preserve">Total Additional Cost</t>
  </si>
  <si>
    <t xml:space="preserve">Monthly additioanl cost</t>
  </si>
  <si>
    <t xml:space="preserve">Holding cost</t>
  </si>
  <si>
    <t xml:space="preserve">Advance(Balance To finanace)</t>
  </si>
  <si>
    <t xml:space="preserve">Residual</t>
  </si>
  <si>
    <t xml:space="preserve">Annual Interest Rate</t>
  </si>
  <si>
    <t xml:space="preserve">R</t>
  </si>
  <si>
    <t xml:space="preserve">Subsequent Rentals (n)</t>
  </si>
  <si>
    <t xml:space="preserve">Step 1</t>
  </si>
  <si>
    <t xml:space="preserve">Step 2</t>
  </si>
  <si>
    <t xml:space="preserve">Step 3</t>
  </si>
  <si>
    <t xml:space="preserve">Monthly rental </t>
  </si>
  <si>
    <t xml:space="preserve">Total exc. contingency insurance</t>
  </si>
  <si>
    <t xml:space="preserve">Insurance</t>
  </si>
  <si>
    <t xml:space="preserve">Total inc. contingency insurance</t>
  </si>
  <si>
    <t xml:space="preserve">Monthly maintenance rental</t>
  </si>
  <si>
    <t xml:space="preserve">Monthly finance rental</t>
  </si>
  <si>
    <t xml:space="preserve">Total monthly rental (Ex. VAT)</t>
  </si>
  <si>
    <t xml:space="preserve">Hire purchase - NON Regulated</t>
  </si>
  <si>
    <t xml:space="preserve">Hire purchase - Regulated</t>
  </si>
  <si>
    <t xml:space="preserve">Contract purchase</t>
  </si>
  <si>
    <t xml:space="preserve">Personal contract purchase</t>
  </si>
  <si>
    <t xml:space="preserve">       Own book customer quote</t>
  </si>
  <si>
    <t xml:space="preserve">Contract type</t>
  </si>
  <si>
    <t xml:space="preserve">Maintenance include</t>
  </si>
  <si>
    <t xml:space="preserve">Hire purchase - NON regulated</t>
  </si>
  <si>
    <t xml:space="preserve"> Monthly in advance </t>
  </si>
  <si>
    <t xml:space="preserve">Maintenance margin %</t>
  </si>
  <si>
    <t xml:space="preserve">Credit type</t>
  </si>
  <si>
    <t xml:space="preserve">APR</t>
  </si>
  <si>
    <t xml:space="preserve">Limited Cedit</t>
  </si>
  <si>
    <t xml:space="preserve">Limited credit</t>
  </si>
  <si>
    <t xml:space="preserve">A1  Crdit</t>
  </si>
  <si>
    <t xml:space="preserve">Included balloon payment</t>
  </si>
  <si>
    <t xml:space="preserve">Order deposit</t>
  </si>
  <si>
    <t xml:space="preserve">Finance deposit</t>
  </si>
  <si>
    <t xml:space="preserve">Total deposit</t>
  </si>
  <si>
    <t xml:space="preserve">Document fee (Ex. VAT)</t>
  </si>
  <si>
    <t xml:space="preserve">Initial payment</t>
  </si>
  <si>
    <t xml:space="preserve">239.99</t>
  </si>
  <si>
    <t xml:space="preserve">       Sales price</t>
  </si>
  <si>
    <t xml:space="preserve">Vehicle</t>
  </si>
  <si>
    <t xml:space="preserve">Paint</t>
  </si>
  <si>
    <t xml:space="preserve">Options</t>
  </si>
  <si>
    <t xml:space="preserve">Accessories</t>
  </si>
  <si>
    <t xml:space="preserve">OTR price</t>
  </si>
  <si>
    <t xml:space="preserve">Sales price</t>
  </si>
  <si>
    <t xml:space="preserve">Basic list price</t>
  </si>
  <si>
    <t xml:space="preserve">Discount (%)</t>
  </si>
  <si>
    <t xml:space="preserve">Additional discount</t>
  </si>
  <si>
    <t xml:space="preserve">Discount total</t>
  </si>
  <si>
    <t xml:space="preserve">After discount price</t>
  </si>
  <si>
    <t xml:space="preserve">Accessories list price</t>
  </si>
  <si>
    <t xml:space="preserve">Accessories name</t>
  </si>
  <si>
    <t xml:space="preserve">Listing price</t>
  </si>
  <si>
    <t xml:space="preserve">Discount in %</t>
  </si>
  <si>
    <t xml:space="preserve">Accessories1</t>
  </si>
  <si>
    <t xml:space="preserve">Accessories2</t>
  </si>
  <si>
    <t xml:space="preserve">Accessories3</t>
  </si>
  <si>
    <t xml:space="preserve">Subtotal after discounts         </t>
  </si>
  <si>
    <t xml:space="preserve">Manufacturer delivery charges           </t>
  </si>
  <si>
    <t xml:space="preserve">VAT           </t>
  </si>
  <si>
    <t xml:space="preserve">Grant           </t>
  </si>
  <si>
    <t xml:space="preserve">Road tax for first year           </t>
  </si>
  <si>
    <t xml:space="preserve">First registration fee           </t>
  </si>
  <si>
    <t xml:space="preserve">On the road price for invoice           </t>
  </si>
  <si>
    <t xml:space="preserve">Rebate           </t>
  </si>
  <si>
    <t xml:space="preserve">Other support           </t>
  </si>
  <si>
    <t xml:space="preserve">Remarks</t>
  </si>
  <si>
    <t xml:space="preserve">On the road price for calculation           </t>
  </si>
  <si>
    <t xml:space="preserve">Sales profit          </t>
  </si>
  <si>
    <t xml:space="preserve">       Part exchange</t>
  </si>
  <si>
    <t xml:space="preserve">Part exchange</t>
  </si>
  <si>
    <t xml:space="preserve">Less finance settlement</t>
  </si>
  <si>
    <t xml:space="preserve">Net part exchange allowance</t>
  </si>
  <si>
    <t xml:space="preserve">Part exchange profit</t>
  </si>
  <si>
    <t xml:space="preserve">Deposit required</t>
  </si>
  <si>
    <t xml:space="preserve">Balance to finanace</t>
  </si>
  <si>
    <t xml:space="preserve">       Summary</t>
  </si>
  <si>
    <t xml:space="preserve">Target rental</t>
  </si>
  <si>
    <t xml:space="preserve">Monthly finance payment</t>
  </si>
  <si>
    <t xml:space="preserve">Monthly maintenance payment</t>
  </si>
  <si>
    <t xml:space="preserve">Total monthly payment</t>
  </si>
  <si>
    <t xml:space="preserve">Monthly Finance Payment</t>
  </si>
  <si>
    <t xml:space="preserve">Balloon</t>
  </si>
  <si>
    <t xml:space="preserve">Basic cash price</t>
  </si>
  <si>
    <t xml:space="preserve">VAT</t>
  </si>
  <si>
    <t xml:space="preserve">NON - VAT</t>
  </si>
  <si>
    <t xml:space="preserve">Total Cash price</t>
  </si>
  <si>
    <t xml:space="preserve">Finanace charges</t>
  </si>
  <si>
    <t xml:space="preserve">Balance payable</t>
  </si>
  <si>
    <t xml:space="preserve">Options to puchase fee</t>
  </si>
  <si>
    <t xml:space="preserve">Initial cash payment</t>
  </si>
  <si>
    <t xml:space="preserve">Final payment (inc. Option to puchase fee</t>
  </si>
  <si>
    <t xml:space="preserve">Pence per excess mile - Maintenance</t>
  </si>
  <si>
    <t xml:space="preserve">Default comission</t>
  </si>
  <si>
    <t xml:space="preserve">Maintenance comission</t>
  </si>
  <si>
    <t xml:space="preserve">Document fee comission </t>
  </si>
  <si>
    <t xml:space="preserve">Total comission</t>
  </si>
  <si>
    <t xml:space="preserve">Vehicle profit</t>
  </si>
  <si>
    <t xml:space="preserve">     Own book holding cost matrix</t>
  </si>
  <si>
    <t xml:space="preserve">Holding Finance Charges</t>
  </si>
  <si>
    <t xml:space="preserve">Holding Balance Payable</t>
  </si>
  <si>
    <t xml:space="preserve">Contract Purchase</t>
  </si>
  <si>
    <t xml:space="preserve">Followed by</t>
  </si>
  <si>
    <t xml:space="preserve">Guaranteed future value</t>
  </si>
  <si>
    <t xml:space="preserve">Final payment (inc. option to purchase fee)</t>
  </si>
  <si>
    <t xml:space="preserve">Pence per excess mile - maint.</t>
  </si>
  <si>
    <t xml:space="preserve">       Commission due</t>
  </si>
  <si>
    <t xml:space="preserve">Vehicle comm.</t>
  </si>
  <si>
    <t xml:space="preserve">        Configuration</t>
  </si>
  <si>
    <t xml:space="preserve">Base interest rate</t>
  </si>
  <si>
    <t xml:space="preserve">Customer interest rate</t>
  </si>
  <si>
    <t xml:space="preserve">Finance margin</t>
  </si>
  <si>
    <t xml:space="preserve">Deductions</t>
  </si>
  <si>
    <t xml:space="preserve">Additional margin</t>
  </si>
  <si>
    <t xml:space="preserve">Total margin</t>
  </si>
  <si>
    <t xml:space="preserve">Customer rate over base</t>
  </si>
  <si>
    <t xml:space="preserve">Period supplement</t>
  </si>
  <si>
    <t xml:space="preserve">Default broker margin</t>
  </si>
  <si>
    <t xml:space="preserve">Maint. Margin</t>
  </si>
  <si>
    <t xml:space="preserve">Document fee margin</t>
  </si>
  <si>
    <t xml:space="preserve">       Additional items</t>
  </si>
  <si>
    <t xml:space="preserve">Tracker cost</t>
  </si>
  <si>
    <t xml:space="preserve">Tracker subs per month</t>
  </si>
  <si>
    <t xml:space="preserve">Total tracker cost</t>
  </si>
  <si>
    <t xml:space="preserve">Contingency insurance multiplier</t>
  </si>
  <si>
    <t xml:space="preserve">Insurance tax</t>
  </si>
  <si>
    <t xml:space="preserve">Contingency insurance value</t>
  </si>
  <si>
    <t xml:space="preserve">Disposal cost</t>
  </si>
  <si>
    <t xml:space="preserve">Delivery &amp; collection cost</t>
  </si>
  <si>
    <t xml:space="preserve">50</t>
  </si>
  <si>
    <t xml:space="preserve">Limited Credit</t>
  </si>
  <si>
    <t xml:space="preserve">199.99</t>
  </si>
  <si>
    <t xml:space="preserve">Holding cost - formula - 3</t>
  </si>
  <si>
    <t xml:space="preserve">       Funder information</t>
  </si>
  <si>
    <t xml:space="preserve">Quote expiry date </t>
  </si>
  <si>
    <t xml:space="preserve">Test</t>
  </si>
  <si>
    <t xml:space="preserve">Initial finance rental(Ex. VAT)</t>
  </si>
  <si>
    <t xml:space="preserve">Initial maintenance rental (Ex. VAT)</t>
  </si>
  <si>
    <t xml:space="preserve">Finance Rental Monthly</t>
  </si>
  <si>
    <t xml:space="preserve">Maintenance monthly</t>
  </si>
  <si>
    <t xml:space="preserve">20500.00</t>
  </si>
  <si>
    <t xml:space="preserve">Total initial rental (Ex. VAT)</t>
  </si>
  <si>
    <t xml:space="preserve">Term (months) </t>
  </si>
  <si>
    <t xml:space="preserve">Document Fee</t>
  </si>
  <si>
    <t xml:space="preserve">33</t>
  </si>
  <si>
    <t xml:space="preserve">0.00</t>
  </si>
  <si>
    <t xml:space="preserve">Maintenance</t>
  </si>
  <si>
    <t xml:space="preserve">Monthly finance rental(Ex. VAT)</t>
  </si>
  <si>
    <t xml:space="preserve">Monthly maintenance rental (Ex. VAT)</t>
  </si>
  <si>
    <t xml:space="preserve">Final balloon payment (Ex. VAT)</t>
  </si>
  <si>
    <t xml:space="preserve">Pence per excess mile - finance (Ex. VAT)</t>
  </si>
  <si>
    <t xml:space="preserve">Pence per excess mile - maintenance (Ex. VAT)</t>
  </si>
  <si>
    <t xml:space="preserve">Monthly Fianance Cost</t>
  </si>
  <si>
    <t xml:space="preserve">Maintenanace Cost</t>
  </si>
  <si>
    <t xml:space="preserve">Holding Cost (Monthly)</t>
  </si>
  <si>
    <t xml:space="preserve">Pence per excess mile - total (Ex. VAT)</t>
  </si>
  <si>
    <t xml:space="preserve">Percentage of sale proceed to customer</t>
  </si>
  <si>
    <t xml:space="preserve">Secondary hire period rental (Ex. VAT)</t>
  </si>
  <si>
    <t xml:space="preserve">Fianance Cost</t>
  </si>
  <si>
    <t xml:space="preserve"> Spread rentals initial payment </t>
  </si>
  <si>
    <t xml:space="preserve"> Spread rentals with 3 down </t>
  </si>
  <si>
    <t xml:space="preserve"> Spread rentals with 6 down </t>
  </si>
  <si>
    <t xml:space="preserve"> Spread rentals with 9 down </t>
  </si>
  <si>
    <t xml:space="preserve"> Spread rentals with 12 down </t>
  </si>
  <si>
    <t xml:space="preserve"> Terminal pause with 3 down </t>
  </si>
  <si>
    <t xml:space="preserve"> Terminal Pause with 6 down </t>
  </si>
  <si>
    <t xml:space="preserve"> Terminal Pause with 9 down </t>
  </si>
  <si>
    <t xml:space="preserve">Hire purchase – Regulated</t>
  </si>
  <si>
    <t xml:space="preserve">A1 Credit</t>
  </si>
  <si>
    <t xml:space="preserve">Hire Purchase Non-Regulated</t>
  </si>
  <si>
    <t xml:space="preserve">Upload document</t>
  </si>
  <si>
    <t xml:space="preserve">`</t>
  </si>
  <si>
    <t xml:space="preserve">otr   </t>
  </si>
  <si>
    <t xml:space="preserve">Minimum Margin (%)</t>
  </si>
  <si>
    <t xml:space="preserve">Margin Required (%)</t>
  </si>
  <si>
    <t xml:space="preserve">Additional RFL Per annum</t>
  </si>
  <si>
    <t xml:space="preserve">Additional RFL Premium Vehicle (Over £40k) Per annum</t>
  </si>
  <si>
    <t xml:space="preserve">Additional RFL Total</t>
  </si>
  <si>
    <t xml:space="preserve">Upsell</t>
  </si>
  <si>
    <t xml:space="preserve">Refferal commision</t>
  </si>
  <si>
    <t xml:space="preserve">Customer Quote - Personal Contract Hire</t>
  </si>
  <si>
    <t xml:space="preserve">Order deposit (No VAT)</t>
  </si>
  <si>
    <t xml:space="preserve">Business Contract Hire</t>
  </si>
  <si>
    <t xml:space="preserve"> Terminal pause with 9 down </t>
  </si>
  <si>
    <t xml:space="preserve">Document fee (Inc. VAT)</t>
  </si>
  <si>
    <t xml:space="preserve">Upsell (Ex. VAT)</t>
  </si>
  <si>
    <t xml:space="preserve">Referral commission (Ex. VAT)</t>
  </si>
  <si>
    <t xml:space="preserve">200</t>
  </si>
  <si>
    <t xml:space="preserve">        Part exchange</t>
  </si>
  <si>
    <t xml:space="preserve">Add part exchange to montly rental</t>
  </si>
  <si>
    <t xml:space="preserve">Balance due</t>
  </si>
  <si>
    <t xml:space="preserve">        Summary</t>
  </si>
  <si>
    <t xml:space="preserve">Monthly maint. rental</t>
  </si>
  <si>
    <t xml:space="preserve">Total monthly rental</t>
  </si>
  <si>
    <t xml:space="preserve">Monthly finance rental (In. VAT)</t>
  </si>
  <si>
    <t xml:space="preserve">Monthly maintenance rental (In. VAT)</t>
  </si>
  <si>
    <t xml:space="preserve">Total monthly rental (In. VAT)</t>
  </si>
  <si>
    <t xml:space="preserve">Initial finance rental</t>
  </si>
  <si>
    <t xml:space="preserve">Initial maint. rental</t>
  </si>
  <si>
    <t xml:space="preserve">Initial finance rental (In. VAT)</t>
  </si>
  <si>
    <t xml:space="preserve">Initial maintenance rental (In. VAT)</t>
  </si>
  <si>
    <t xml:space="preserve">Total initial rental (In. VAT)</t>
  </si>
  <si>
    <t xml:space="preserve">Total initial rental</t>
  </si>
  <si>
    <t xml:space="preserve">Part exchange value</t>
  </si>
  <si>
    <t xml:space="preserve">Pence per excess mile - finance (In. VAT)</t>
  </si>
  <si>
    <t xml:space="preserve">Pence per excess mile - maintenance (In. VAT)</t>
  </si>
  <si>
    <t xml:space="preserve">Pence per excess mile - total (In. VAT)</t>
  </si>
  <si>
    <t xml:space="preserve">Document fee (In. VAT)</t>
  </si>
  <si>
    <t xml:space="preserve">Default commission (Ex. VAT)</t>
  </si>
  <si>
    <t xml:space="preserve">Upsell commission (Ex. VAT)</t>
  </si>
  <si>
    <t xml:space="preserve">Pence per excess mile - main.</t>
  </si>
  <si>
    <t xml:space="preserve">Maintenance commission (Ex. VAT)</t>
  </si>
  <si>
    <t xml:space="preserve">Document fee commission (Ex. VAT)</t>
  </si>
  <si>
    <t xml:space="preserve">Total commission (Ex. VAT)</t>
  </si>
  <si>
    <t xml:space="preserve">Subsidy requested</t>
  </si>
  <si>
    <t xml:space="preserve">Subsidy Requested</t>
  </si>
  <si>
    <t xml:space="preserve">Subsidy Commission Deduction</t>
  </si>
  <si>
    <t xml:space="preserve">Commission due</t>
  </si>
  <si>
    <t xml:space="preserve">Default finance comm.</t>
  </si>
  <si>
    <t xml:space="preserve">Upsell comm.</t>
  </si>
  <si>
    <t xml:space="preserve">Maint. comm.</t>
  </si>
  <si>
    <t xml:space="preserve">Own book holding cost matrix</t>
  </si>
  <si>
    <t xml:space="preserve">Document fee comm.</t>
  </si>
  <si>
    <t xml:space="preserve">Referrer comm.</t>
  </si>
  <si>
    <t xml:space="preserve">Broker upsell margin</t>
  </si>
  <si>
    <t xml:space="preserve">Referrer margin</t>
  </si>
  <si>
    <t xml:space="preserve">Maintnance Margin</t>
  </si>
  <si>
    <t xml:space="preserve">            Additional items</t>
  </si>
  <si>
    <t xml:space="preserve">Additional RFL per annum</t>
  </si>
  <si>
    <t xml:space="preserve">Additional RFL (List price over 40k) per annum</t>
  </si>
  <si>
    <t xml:space="preserve">Customer Quote - Business Contract Hire</t>
  </si>
  <si>
    <t xml:space="preserve">6000</t>
  </si>
  <si>
    <t xml:space="preserve">20</t>
  </si>
  <si>
    <t xml:space="preserve">10</t>
  </si>
  <si>
    <t xml:space="preserve">          </t>
  </si>
  <si>
    <t xml:space="preserve">  </t>
  </si>
  <si>
    <t xml:space="preserve">without maintenance Holding cost</t>
  </si>
  <si>
    <t xml:space="preserve">Referrer commision</t>
  </si>
  <si>
    <t xml:space="preserve">Customer Quote - Finance Lease</t>
  </si>
  <si>
    <t xml:space="preserve">With balloon</t>
  </si>
  <si>
    <t xml:space="preserve">Monthly finance rental (Ex. VAT)</t>
  </si>
  <si>
    <t xml:space="preserve">Initial finance rental (Ex. VAT)</t>
  </si>
  <si>
    <t xml:space="preserve">Final Balloon Payment</t>
  </si>
  <si>
    <t xml:space="preserve">Percentage of sales proceeds to customer</t>
  </si>
  <si>
    <t xml:space="preserve">60</t>
  </si>
  <si>
    <t xml:space="preserve">2</t>
  </si>
  <si>
    <t xml:space="preserve">1</t>
  </si>
  <si>
    <t xml:space="preserve">Customer Quote – Finance Lease</t>
  </si>
  <si>
    <t xml:space="preserve">0</t>
  </si>
  <si>
    <t xml:space="preserve">9.00</t>
  </si>
  <si>
    <t xml:space="preserve">Holding cost - formula - 1</t>
  </si>
  <si>
    <t xml:space="preserve">Total monthly holding cost</t>
  </si>
  <si>
    <t xml:space="preserve">Advance for Holding Cost (Retrived From OTR Screen)</t>
  </si>
  <si>
    <t xml:space="preserve">Monthly finance cost</t>
  </si>
  <si>
    <t xml:space="preserve">Monthly maintenance cost</t>
  </si>
  <si>
    <t xml:space="preserve">CAP Residual value (Inc. VAT)</t>
  </si>
  <si>
    <t xml:space="preserve">Residual value used (Inc. VAT)</t>
  </si>
  <si>
    <t xml:space="preserve">Maintenance value used(Ex. VAT)</t>
  </si>
  <si>
    <t xml:space="preserve">CAP maintenance value (Ex. VAT)</t>
  </si>
  <si>
    <t xml:space="preserve">Monthly Interest (total/12)</t>
  </si>
  <si>
    <t xml:space="preserve">Monthly Mintenance</t>
  </si>
  <si>
    <t xml:space="preserve">Finance Cost</t>
  </si>
  <si>
    <t xml:space="preserve">Step 1 (Residual/(1+r)^(n+1) ))  = X</t>
  </si>
  <si>
    <t xml:space="preserve">Step 2 (Advance - (Residual/(1+r)^(n+1) )))  Y</t>
  </si>
  <si>
    <t xml:space="preserve">Step 3 ((1-1/(1+r)^n )/r)  Z</t>
  </si>
  <si>
    <t xml:space="preserve">Step 4 (Finance Cost)</t>
  </si>
  <si>
    <t xml:space="preserve">Holding Cost (Monthly)
Finance Cost + Maintenance Cost</t>
  </si>
  <si>
    <t xml:space="preserve">Target Holding cost</t>
  </si>
  <si>
    <t xml:space="preserve">Subsequence rental</t>
  </si>
  <si>
    <t xml:space="preserve">Step 1 (Residual/(1+r)^(n+1) ))</t>
  </si>
  <si>
    <t xml:space="preserve">Step 2 (Advance - (Residual/(1+r)^(n+1) )))</t>
  </si>
  <si>
    <t xml:space="preserve">Step 3 ((1-1/(1+r)^n )/r)</t>
  </si>
  <si>
    <t xml:space="preserve">Otr   </t>
  </si>
  <si>
    <t xml:space="preserve">Select Caste</t>
  </si>
  <si>
    <t xml:space="preserve">Referrer commission (Ex. VAT)</t>
  </si>
  <si>
    <t xml:space="preserve">           </t>
  </si>
  <si>
    <t xml:space="preserve">22000.00</t>
  </si>
  <si>
    <t xml:space="preserve">OTR Calculation</t>
  </si>
  <si>
    <t xml:space="preserve">660.00</t>
  </si>
  <si>
    <t xml:space="preserve">48937.50</t>
  </si>
  <si>
    <t xml:space="preserve">4.38</t>
  </si>
  <si>
    <t xml:space="preserve">5.28</t>
  </si>
  <si>
    <t xml:space="preserve">48887.50</t>
  </si>
  <si>
    <t xml:space="preserve">470.00</t>
  </si>
  <si>
    <t xml:space="preserve">RFL included?</t>
  </si>
  <si>
    <t>YES</t>
  </si>
  <si>
    <t>500</t>
  </si>
  <si>
    <t>5.28</t>
  </si>
  <si>
    <t>12</t>
  </si>
  <si>
    <t>NO</t>
  </si>
  <si>
    <t>48887.50</t>
  </si>
  <si>
    <t>1000</t>
  </si>
  <si>
    <t>33</t>
  </si>
  <si>
    <t>5000</t>
  </si>
  <si>
    <t>470.00</t>
  </si>
  <si>
    <t>239.99</t>
  </si>
  <si>
    <t>Limited Credit</t>
  </si>
  <si>
    <t>200</t>
  </si>
  <si>
    <t xml:space="preserve"> Terminal pause with 6 down </t>
  </si>
  <si>
    <t>0</t>
  </si>
  <si>
    <t>50</t>
  </si>
  <si>
    <t>A1 Credit</t>
  </si>
  <si>
    <t>199.99</t>
  </si>
  <si>
    <t>60</t>
  </si>
  <si>
    <t>100</t>
  </si>
  <si>
    <t>6000</t>
  </si>
  <si>
    <t>10</t>
  </si>
  <si>
    <t>1</t>
  </si>
  <si>
    <t>20</t>
  </si>
  <si>
    <t>40</t>
  </si>
  <si>
    <t>70</t>
  </si>
  <si>
    <t>30</t>
  </si>
  <si>
    <t>2</t>
  </si>
  <si>
    <t>107.00</t>
  </si>
  <si>
    <t>8.92</t>
  </si>
  <si>
    <t>Yes</t>
  </si>
  <si>
    <t>43</t>
  </si>
</sst>
</file>

<file path=xl/styles.xml><?xml version="1.0" encoding="utf-8"?>
<styleSheet xmlns="http://schemas.openxmlformats.org/spreadsheetml/2006/main">
  <numFmts count="24">
    <numFmt numFmtId="164" formatCode="General"/>
    <numFmt numFmtId="165" formatCode="\£#,##0.00"/>
    <numFmt numFmtId="166" formatCode="General"/>
    <numFmt numFmtId="167" formatCode="0%"/>
    <numFmt numFmtId="168" formatCode="0.00%"/>
    <numFmt numFmtId="169" formatCode="#,##0.00"/>
    <numFmt numFmtId="170" formatCode="[$-409]m/d/yyyy"/>
    <numFmt numFmtId="171" formatCode="&quot;TRUE&quot;;&quot;TRUE&quot;;&quot;FALSE&quot;"/>
    <numFmt numFmtId="172" formatCode="0.00"/>
    <numFmt numFmtId="173" formatCode="_(* #,##0.00_);_(* \(#,##0.00\);_(* \-??_);_(@_)"/>
    <numFmt numFmtId="174" formatCode="_(* #,##0_);_(* \(#,##0\);_(* \-??_);_(@_)"/>
    <numFmt numFmtId="175" formatCode="\£#,##0.00000"/>
    <numFmt numFmtId="176" formatCode="\£#,##0.0000"/>
    <numFmt numFmtId="177" formatCode="0.0000%"/>
    <numFmt numFmtId="178" formatCode="#,##0.0000000"/>
    <numFmt numFmtId="179" formatCode="#,##0.000000000"/>
    <numFmt numFmtId="180" formatCode="#,##0.0"/>
    <numFmt numFmtId="181" formatCode="0.0000000000000"/>
    <numFmt numFmtId="182" formatCode="0.0000"/>
    <numFmt numFmtId="183" formatCode="0.000%"/>
    <numFmt numFmtId="184" formatCode="#,##0.00000"/>
    <numFmt numFmtId="185" formatCode="#,##0.000"/>
    <numFmt numFmtId="186" formatCode="#,##0.0000000000"/>
    <numFmt numFmtId="187" formatCode="#,##0.0000"/>
  </numFmts>
  <fonts count="35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rgb="FF000000"/>
      <name val="Calibri"/>
      <family val="2"/>
      <charset val="1"/>
    </font>
    <font>
      <b val="true"/>
      <sz val="32"/>
      <color rgb="FFFFFFFF"/>
      <name val="Calibri"/>
      <family val="2"/>
      <charset val="1"/>
    </font>
    <font>
      <b val="true"/>
      <sz val="11"/>
      <color rgb="FFC9211E"/>
      <name val="Arial"/>
      <family val="0"/>
      <charset val="1"/>
    </font>
    <font>
      <b val="true"/>
      <sz val="14"/>
      <color rgb="FFC9211E"/>
      <name val="Calibri"/>
      <family val="2"/>
      <charset val="1"/>
    </font>
    <font>
      <sz val="11"/>
      <color rgb="FF000000"/>
      <name val="Calibri"/>
      <family val="2"/>
      <charset val="1"/>
    </font>
    <font>
      <b val="true"/>
      <sz val="11"/>
      <color rgb="FF000000"/>
      <name val="Arial"/>
      <family val="0"/>
      <charset val="1"/>
    </font>
    <font>
      <b val="true"/>
      <sz val="9"/>
      <color rgb="FF000000"/>
      <name val="Arial"/>
      <family val="0"/>
      <charset val="1"/>
    </font>
    <font>
      <b val="true"/>
      <sz val="18"/>
      <color rgb="FF000000"/>
      <name val="Arial"/>
      <family val="0"/>
      <charset val="1"/>
    </font>
    <font>
      <b val="true"/>
      <sz val="36"/>
      <color rgb="FFFFFFFF"/>
      <name val="Calibri"/>
      <family val="2"/>
      <charset val="1"/>
    </font>
    <font>
      <b val="true"/>
      <sz val="18"/>
      <color rgb="FF000000"/>
      <name val="Calibri"/>
      <family val="2"/>
      <charset val="1"/>
    </font>
    <font>
      <sz val="14"/>
      <color rgb="FF000000"/>
      <name val="Calibri2"/>
      <family val="0"/>
      <charset val="1"/>
    </font>
    <font>
      <b val="true"/>
      <sz val="14"/>
      <color rgb="FF000000"/>
      <name val="Calibri"/>
      <family val="2"/>
      <charset val="1"/>
    </font>
    <font>
      <b val="true"/>
      <sz val="12"/>
      <color rgb="FF000000"/>
      <name val="Arial"/>
      <family val="0"/>
      <charset val="1"/>
    </font>
    <font>
      <b val="true"/>
      <u val="single"/>
      <sz val="14"/>
      <color rgb="FFFFFFFF"/>
      <name val="Calibri"/>
      <family val="2"/>
      <charset val="1"/>
    </font>
    <font>
      <b val="true"/>
      <sz val="14"/>
      <color rgb="FF000000"/>
      <name val="Calibri2"/>
      <family val="0"/>
      <charset val="1"/>
    </font>
    <font>
      <b val="true"/>
      <sz val="14"/>
      <color rgb="FFFFFFFF"/>
      <name val="Calibri"/>
      <family val="2"/>
      <charset val="1"/>
    </font>
    <font>
      <b val="true"/>
      <sz val="16"/>
      <color rgb="FFFFFFFF"/>
      <name val="Calibri"/>
      <family val="2"/>
      <charset val="1"/>
    </font>
    <font>
      <b val="true"/>
      <sz val="14"/>
      <color rgb="FFC00000"/>
      <name val="Calibri"/>
      <family val="2"/>
      <charset val="1"/>
    </font>
    <font>
      <b val="true"/>
      <u val="single"/>
      <sz val="14"/>
      <color rgb="FF000000"/>
      <name val="Calibri"/>
      <family val="2"/>
      <charset val="1"/>
    </font>
    <font>
      <b val="true"/>
      <sz val="16"/>
      <color rgb="FF000000"/>
      <name val="Calibri"/>
      <family val="2"/>
      <charset val="1"/>
    </font>
    <font>
      <sz val="16"/>
      <color rgb="FF000000"/>
      <name val="Calibri"/>
      <family val="2"/>
      <charset val="1"/>
    </font>
    <font>
      <b val="true"/>
      <u val="single"/>
      <sz val="16"/>
      <color rgb="FF000000"/>
      <name val="Calibri"/>
      <family val="2"/>
      <charset val="1"/>
    </font>
    <font>
      <b val="true"/>
      <sz val="16"/>
      <color rgb="FFFF0000"/>
      <name val="Calibri"/>
      <family val="2"/>
      <charset val="1"/>
    </font>
    <font>
      <i val="true"/>
      <sz val="12"/>
      <color rgb="FFBFBFBF"/>
      <name val="Calibri"/>
      <family val="2"/>
      <charset val="1"/>
    </font>
    <font>
      <b val="true"/>
      <sz val="14"/>
      <color rgb="FFFF0000"/>
      <name val="Calibri"/>
      <family val="2"/>
      <charset val="1"/>
    </font>
    <font>
      <sz val="14"/>
      <color rgb="FFFF0000"/>
      <name val="Calibri"/>
      <family val="2"/>
      <charset val="1"/>
    </font>
    <font>
      <sz val="11"/>
      <color rgb="FFFF0000"/>
      <name val="Calibri"/>
      <family val="2"/>
      <charset val="1"/>
    </font>
    <font>
      <sz val="11"/>
      <color rgb="FF7E3794"/>
      <name val="Inconsolata"/>
      <family val="0"/>
      <charset val="1"/>
    </font>
    <font>
      <strike val="true"/>
      <sz val="14"/>
      <color rgb="FF000000"/>
      <name val="Calibri"/>
      <family val="2"/>
      <charset val="1"/>
    </font>
    <font>
      <b val="true"/>
      <u val="single"/>
      <sz val="16"/>
      <color rgb="FFFFFFFF"/>
      <name val="Calibri"/>
      <family val="2"/>
      <charset val="1"/>
    </font>
    <font>
      <sz val="14"/>
      <color rgb="FFC9211E"/>
      <name val="Calibri"/>
      <family val="2"/>
      <charset val="1"/>
    </font>
  </fonts>
  <fills count="21">
    <fill>
      <patternFill patternType="none"/>
    </fill>
    <fill>
      <patternFill patternType="gray125"/>
    </fill>
    <fill>
      <patternFill patternType="solid">
        <fgColor rgb="FFC9211E"/>
        <bgColor rgb="FFC00000"/>
      </patternFill>
    </fill>
    <fill>
      <patternFill patternType="solid">
        <fgColor rgb="FFFFFFD7"/>
        <bgColor rgb="FFFFFFFF"/>
      </patternFill>
    </fill>
    <fill>
      <patternFill patternType="solid">
        <fgColor rgb="FF81D41A"/>
        <bgColor rgb="FF70AD47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D7"/>
      </patternFill>
    </fill>
    <fill>
      <patternFill patternType="solid">
        <fgColor rgb="FFC00000"/>
        <bgColor rgb="FFC9211E"/>
      </patternFill>
    </fill>
    <fill>
      <patternFill patternType="solid">
        <fgColor rgb="FF70AD47"/>
        <bgColor rgb="FF81D41A"/>
      </patternFill>
    </fill>
    <fill>
      <patternFill patternType="solid">
        <fgColor rgb="FFE7E6E6"/>
        <bgColor rgb="FFD9D9D9"/>
      </patternFill>
    </fill>
    <fill>
      <patternFill patternType="solid">
        <fgColor rgb="FF000000"/>
        <bgColor rgb="FF003300"/>
      </patternFill>
    </fill>
    <fill>
      <patternFill patternType="solid">
        <fgColor rgb="FFA6A6A6"/>
        <bgColor rgb="FFA5A5A5"/>
      </patternFill>
    </fill>
    <fill>
      <patternFill patternType="solid">
        <fgColor rgb="FFBFBFBF"/>
        <bgColor rgb="FFD0CECE"/>
      </patternFill>
    </fill>
    <fill>
      <patternFill patternType="solid">
        <fgColor rgb="FFA9D18E"/>
        <bgColor rgb="FFA8D08D"/>
      </patternFill>
    </fill>
    <fill>
      <patternFill patternType="solid">
        <fgColor rgb="FFFFC000"/>
        <bgColor rgb="FFFF9900"/>
      </patternFill>
    </fill>
    <fill>
      <patternFill patternType="solid">
        <fgColor rgb="FF2A6099"/>
        <bgColor rgb="FF666699"/>
      </patternFill>
    </fill>
    <fill>
      <patternFill patternType="solid">
        <fgColor rgb="FFA8D08D"/>
        <bgColor rgb="FFA9D18E"/>
      </patternFill>
    </fill>
    <fill>
      <patternFill patternType="solid">
        <fgColor rgb="FFAFD095"/>
        <bgColor rgb="FFA9D18E"/>
      </patternFill>
    </fill>
    <fill>
      <patternFill patternType="solid">
        <fgColor rgb="FFFFEBEB"/>
        <bgColor rgb="FFE7E6E6"/>
      </patternFill>
    </fill>
    <fill>
      <patternFill patternType="solid">
        <fgColor rgb="FFD0CECE"/>
        <bgColor rgb="FFD8D8D8"/>
      </patternFill>
    </fill>
    <fill>
      <patternFill patternType="solid">
        <fgColor rgb="FFA5A5A5"/>
        <bgColor rgb="FFA6A6A6"/>
      </patternFill>
    </fill>
  </fills>
  <borders count="5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medium"/>
      <top/>
      <bottom style="thick">
        <color rgb="FFFF0000"/>
      </bottom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/>
      <top/>
      <bottom style="thin">
        <color rgb="FFD9D9D9"/>
      </bottom>
      <diagonal/>
    </border>
    <border diagonalUp="false" diagonalDown="false">
      <left/>
      <right/>
      <top/>
      <bottom style="thin">
        <color rgb="FFD9D9D9"/>
      </bottom>
      <diagonal/>
    </border>
    <border diagonalUp="false" diagonalDown="false">
      <left/>
      <right style="medium"/>
      <top/>
      <bottom style="thin">
        <color rgb="FFD9D9D9"/>
      </bottom>
      <diagonal/>
    </border>
    <border diagonalUp="false" diagonalDown="false">
      <left/>
      <right/>
      <top style="thin">
        <color rgb="FFD9D9D9"/>
      </top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/>
      <diagonal/>
    </border>
    <border diagonalUp="false" diagonalDown="false">
      <left style="medium"/>
      <right/>
      <top/>
      <bottom style="medium">
        <color rgb="FFD9D9D9"/>
      </bottom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/>
      <bottom style="thin">
        <color rgb="FFFF0000"/>
      </bottom>
      <diagonal/>
    </border>
    <border diagonalUp="false" diagonalDown="false">
      <left/>
      <right/>
      <top/>
      <bottom style="thin">
        <color rgb="FFFF0000"/>
      </bottom>
      <diagonal/>
    </border>
    <border diagonalUp="false" diagonalDown="false">
      <left/>
      <right style="medium"/>
      <top/>
      <bottom style="thin">
        <color rgb="FFFF0000"/>
      </bottom>
      <diagonal/>
    </border>
    <border diagonalUp="false" diagonalDown="false">
      <left style="medium"/>
      <right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/>
      <right/>
      <top/>
      <bottom style="thin">
        <color rgb="FFBFBFBF"/>
      </bottom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medium"/>
      <diagonal/>
    </border>
    <border diagonalUp="false" diagonalDown="false">
      <left style="medium"/>
      <right style="medium"/>
      <top style="medium"/>
      <bottom style="thick">
        <color rgb="FFFF0000"/>
      </bottom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/>
      <right/>
      <top style="thin">
        <color rgb="FFD8D8D8"/>
      </top>
      <bottom/>
      <diagonal/>
    </border>
    <border diagonalUp="false" diagonalDown="false">
      <left style="medium"/>
      <right/>
      <top style="medium">
        <color rgb="FFD8D8D8"/>
      </top>
      <bottom/>
      <diagonal/>
    </border>
    <border diagonalUp="false" diagonalDown="false">
      <left/>
      <right style="medium">
        <color rgb="FFD8D8D8"/>
      </right>
      <top style="medium">
        <color rgb="FFD8D8D8"/>
      </top>
      <bottom/>
      <diagonal/>
    </border>
    <border diagonalUp="false" diagonalDown="false">
      <left style="medium">
        <color rgb="FFD8D8D8"/>
      </left>
      <right style="medium">
        <color rgb="FFD8D8D8"/>
      </right>
      <top style="medium">
        <color rgb="FFD8D8D8"/>
      </top>
      <bottom/>
      <diagonal/>
    </border>
    <border diagonalUp="false" diagonalDown="false">
      <left style="medium"/>
      <right/>
      <top style="thin"/>
      <bottom style="medium">
        <color rgb="FFD8D8D8"/>
      </bottom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/>
      <right/>
      <top style="hair"/>
      <bottom/>
      <diagonal/>
    </border>
    <border diagonalUp="false" diagonalDown="false">
      <left style="medium"/>
      <right/>
      <top/>
      <bottom style="thin">
        <color rgb="FFD8D8D8"/>
      </bottom>
      <diagonal/>
    </border>
    <border diagonalUp="false" diagonalDown="false">
      <left/>
      <right/>
      <top/>
      <bottom style="thin">
        <color rgb="FFD8D8D8"/>
      </bottom>
      <diagonal/>
    </border>
    <border diagonalUp="false" diagonalDown="false">
      <left/>
      <right style="medium"/>
      <top/>
      <bottom style="thin">
        <color rgb="FFD8D8D8"/>
      </bottom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 style="medium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8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1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7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6" fillId="3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5" fontId="1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7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8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0" fillId="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1" fillId="6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6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1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0" fillId="6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4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2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3" fillId="1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12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4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5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6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6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6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2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0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3" fillId="6" borderId="3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28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9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3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6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3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9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5" fontId="4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8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9" fillId="1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7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7" borderId="3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1" fillId="6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1" fillId="6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9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1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4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3" borderId="4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4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4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4" fillId="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4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1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5" borderId="2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8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28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4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7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7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9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1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31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5" borderId="4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10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3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0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6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17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3" fillId="1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20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2" fillId="2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3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8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BFBFBF"/>
      <rgbColor rgb="FF808080"/>
      <rgbColor rgb="FFA6A6A6"/>
      <rgbColor rgb="FF7E3794"/>
      <rgbColor rgb="FFFFFFD7"/>
      <rgbColor rgb="FFE7E6E6"/>
      <rgbColor rgb="FF660066"/>
      <rgbColor rgb="FFFF8080"/>
      <rgbColor rgb="FF2A6099"/>
      <rgbColor rgb="FFD0CE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A9D18E"/>
      <rgbColor rgb="FFD9D9D9"/>
      <rgbColor rgb="FFFFEBEB"/>
      <rgbColor rgb="FFAFD095"/>
      <rgbColor rgb="FFFF99CC"/>
      <rgbColor rgb="FFA8D08D"/>
      <rgbColor rgb="FFD8D8D8"/>
      <rgbColor rgb="FF3366FF"/>
      <rgbColor rgb="FF33CCCC"/>
      <rgbColor rgb="FF81D41A"/>
      <rgbColor rgb="FFFFC000"/>
      <rgbColor rgb="FFFF9900"/>
      <rgbColor rgb="FFFF6600"/>
      <rgbColor rgb="FF666699"/>
      <rgbColor rgb="FFA5A5A5"/>
      <rgbColor rgb="FF003366"/>
      <rgbColor rgb="FF70AD47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 standalone="no"?><Relationships xmlns="http://schemas.openxmlformats.org/package/2006/relationships"><Relationship Id="rId1" Target="styles.xml" Type="http://schemas.openxmlformats.org/officeDocument/2006/relationships/styles"/><Relationship Id="rId10" Target="worksheets/sheet9.xml" Type="http://schemas.openxmlformats.org/officeDocument/2006/relationships/worksheet"/><Relationship Id="rId11" Target="worksheets/sheet10.xml" Type="http://schemas.openxmlformats.org/officeDocument/2006/relationships/worksheet"/><Relationship Id="rId12" Target="worksheets/sheet11.xml" Type="http://schemas.openxmlformats.org/officeDocument/2006/relationships/worksheet"/><Relationship Id="rId13" Target="worksheets/sheet12.xml" Type="http://schemas.openxmlformats.org/officeDocument/2006/relationships/worksheet"/><Relationship Id="rId14" Target="worksheets/sheet13.xml" Type="http://schemas.openxmlformats.org/officeDocument/2006/relationships/worksheet"/><Relationship Id="rId15" Target="worksheets/sheet14.xml" Type="http://schemas.openxmlformats.org/officeDocument/2006/relationships/worksheet"/><Relationship Id="rId16" Target="worksheets/sheet15.xml" Type="http://schemas.openxmlformats.org/officeDocument/2006/relationships/worksheet"/><Relationship Id="rId17" Target="worksheets/sheet16.xml" Type="http://schemas.openxmlformats.org/officeDocument/2006/relationships/worksheet"/><Relationship Id="rId18" Target="worksheets/sheet17.xml" Type="http://schemas.openxmlformats.org/officeDocument/2006/relationships/worksheet"/><Relationship Id="rId19" Target="worksheets/sheet18.xml" Type="http://schemas.openxmlformats.org/officeDocument/2006/relationships/worksheet"/><Relationship Id="rId2" Target="worksheets/sheet1.xml" Type="http://schemas.openxmlformats.org/officeDocument/2006/relationships/worksheet"/><Relationship Id="rId20" Target="worksheets/sheet19.xml" Type="http://schemas.openxmlformats.org/officeDocument/2006/relationships/worksheet"/><Relationship Id="rId21" Target="worksheets/sheet20.xml" Type="http://schemas.openxmlformats.org/officeDocument/2006/relationships/worksheet"/><Relationship Id="rId22" Target="worksheets/sheet21.xml" Type="http://schemas.openxmlformats.org/officeDocument/2006/relationships/worksheet"/><Relationship Id="rId23" Target="worksheets/sheet22.xml" Type="http://schemas.openxmlformats.org/officeDocument/2006/relationships/worksheet"/><Relationship Id="rId24" Target="worksheets/sheet23.xml" Type="http://schemas.openxmlformats.org/officeDocument/2006/relationships/worksheet"/><Relationship Id="rId25" Target="worksheets/sheet24.xml" Type="http://schemas.openxmlformats.org/officeDocument/2006/relationships/worksheet"/><Relationship Id="rId26" Target="worksheets/sheet25.xml" Type="http://schemas.openxmlformats.org/officeDocument/2006/relationships/worksheet"/><Relationship Id="rId27" Target="worksheets/sheet26.xml" Type="http://schemas.openxmlformats.org/officeDocument/2006/relationships/worksheet"/><Relationship Id="rId28" Target="worksheets/sheet27.xml" Type="http://schemas.openxmlformats.org/officeDocument/2006/relationships/worksheet"/><Relationship Id="rId29" Target="worksheets/sheet28.xml" Type="http://schemas.openxmlformats.org/officeDocument/2006/relationships/worksheet"/><Relationship Id="rId3" Target="worksheets/sheet2.xml" Type="http://schemas.openxmlformats.org/officeDocument/2006/relationships/worksheet"/><Relationship Id="rId30" Target="worksheets/sheet29.xml" Type="http://schemas.openxmlformats.org/officeDocument/2006/relationships/worksheet"/><Relationship Id="rId31" Target="worksheets/sheet30.xml" Type="http://schemas.openxmlformats.org/officeDocument/2006/relationships/worksheet"/><Relationship Id="rId32" Target="worksheets/sheet31.xml" Type="http://schemas.openxmlformats.org/officeDocument/2006/relationships/worksheet"/><Relationship Id="rId33" Target="worksheets/sheet32.xml" Type="http://schemas.openxmlformats.org/officeDocument/2006/relationships/worksheet"/><Relationship Id="rId34" Target="worksheets/sheet33.xml" Type="http://schemas.openxmlformats.org/officeDocument/2006/relationships/worksheet"/><Relationship Id="rId35" Target="worksheets/sheet34.xml" Type="http://schemas.openxmlformats.org/officeDocument/2006/relationships/worksheet"/><Relationship Id="rId36" Target="worksheets/sheet35.xml" Type="http://schemas.openxmlformats.org/officeDocument/2006/relationships/worksheet"/><Relationship Id="rId37" Target="worksheets/sheet36.xml" Type="http://schemas.openxmlformats.org/officeDocument/2006/relationships/worksheet"/><Relationship Id="rId38" Target="worksheets/sheet37.xml" Type="http://schemas.openxmlformats.org/officeDocument/2006/relationships/worksheet"/><Relationship Id="rId39" Target="worksheets/sheet38.xml" Type="http://schemas.openxmlformats.org/officeDocument/2006/relationships/worksheet"/><Relationship Id="rId4" Target="worksheets/sheet3.xml" Type="http://schemas.openxmlformats.org/officeDocument/2006/relationships/worksheet"/><Relationship Id="rId40" Target="worksheets/sheet39.xml" Type="http://schemas.openxmlformats.org/officeDocument/2006/relationships/worksheet"/><Relationship Id="rId41" Target="worksheets/sheet40.xml" Type="http://schemas.openxmlformats.org/officeDocument/2006/relationships/worksheet"/><Relationship Id="rId42" Target="worksheets/sheet41.xml" Type="http://schemas.openxmlformats.org/officeDocument/2006/relationships/worksheet"/><Relationship Id="rId43" Target="worksheets/sheet42.xml" Type="http://schemas.openxmlformats.org/officeDocument/2006/relationships/worksheet"/><Relationship Id="rId44" Target="worksheets/sheet43.xml" Type="http://schemas.openxmlformats.org/officeDocument/2006/relationships/worksheet"/><Relationship Id="rId45" Target="worksheets/sheet44.xml" Type="http://schemas.openxmlformats.org/officeDocument/2006/relationships/worksheet"/><Relationship Id="rId46" Target="worksheets/sheet45.xml" Type="http://schemas.openxmlformats.org/officeDocument/2006/relationships/worksheet"/><Relationship Id="rId47" Target="worksheets/sheet46.xml" Type="http://schemas.openxmlformats.org/officeDocument/2006/relationships/worksheet"/><Relationship Id="rId48" Target="worksheets/sheet47.xml" Type="http://schemas.openxmlformats.org/officeDocument/2006/relationships/worksheet"/><Relationship Id="rId49" Target="worksheets/sheet48.xml" Type="http://schemas.openxmlformats.org/officeDocument/2006/relationships/worksheet"/><Relationship Id="rId5" Target="worksheets/sheet4.xml" Type="http://schemas.openxmlformats.org/officeDocument/2006/relationships/worksheet"/><Relationship Id="rId50" Target="worksheets/sheet49.xml" Type="http://schemas.openxmlformats.org/officeDocument/2006/relationships/worksheet"/><Relationship Id="rId51" Target="worksheets/sheet50.xml" Type="http://schemas.openxmlformats.org/officeDocument/2006/relationships/worksheet"/><Relationship Id="rId52" Target="worksheets/sheet51.xml" Type="http://schemas.openxmlformats.org/officeDocument/2006/relationships/worksheet"/><Relationship Id="rId53" Target="worksheets/sheet52.xml" Type="http://schemas.openxmlformats.org/officeDocument/2006/relationships/worksheet"/><Relationship Id="rId54" Target="worksheets/sheet53.xml" Type="http://schemas.openxmlformats.org/officeDocument/2006/relationships/worksheet"/><Relationship Id="rId55" Target="worksheets/sheet54.xml" Type="http://schemas.openxmlformats.org/officeDocument/2006/relationships/worksheet"/><Relationship Id="rId56" Target="worksheets/sheet55.xml" Type="http://schemas.openxmlformats.org/officeDocument/2006/relationships/worksheet"/><Relationship Id="rId57" Target="worksheets/sheet56.xml" Type="http://schemas.openxmlformats.org/officeDocument/2006/relationships/worksheet"/><Relationship Id="rId58" Target="worksheets/sheet57.xml" Type="http://schemas.openxmlformats.org/officeDocument/2006/relationships/worksheet"/><Relationship Id="rId59" Target="worksheets/sheet58.xml" Type="http://schemas.openxmlformats.org/officeDocument/2006/relationships/worksheet"/><Relationship Id="rId6" Target="worksheets/sheet5.xml" Type="http://schemas.openxmlformats.org/officeDocument/2006/relationships/worksheet"/><Relationship Id="rId60" Target="worksheets/sheet59.xml" Type="http://schemas.openxmlformats.org/officeDocument/2006/relationships/worksheet"/><Relationship Id="rId61" Target="worksheets/sheet60.xml" Type="http://schemas.openxmlformats.org/officeDocument/2006/relationships/worksheet"/><Relationship Id="rId62" Target="worksheets/sheet61.xml" Type="http://schemas.openxmlformats.org/officeDocument/2006/relationships/worksheet"/><Relationship Id="rId63" Target="worksheets/sheet62.xml" Type="http://schemas.openxmlformats.org/officeDocument/2006/relationships/worksheet"/><Relationship Id="rId64" Target="worksheets/sheet63.xml" Type="http://schemas.openxmlformats.org/officeDocument/2006/relationships/worksheet"/><Relationship Id="rId65" Target="worksheets/sheet64.xml" Type="http://schemas.openxmlformats.org/officeDocument/2006/relationships/worksheet"/><Relationship Id="rId66" Target="worksheets/sheet65.xml" Type="http://schemas.openxmlformats.org/officeDocument/2006/relationships/worksheet"/><Relationship Id="rId67" Target="worksheets/sheet66.xml" Type="http://schemas.openxmlformats.org/officeDocument/2006/relationships/worksheet"/><Relationship Id="rId68" Target="worksheets/sheet67.xml" Type="http://schemas.openxmlformats.org/officeDocument/2006/relationships/worksheet"/><Relationship Id="rId69" Target="worksheets/sheet68.xml" Type="http://schemas.openxmlformats.org/officeDocument/2006/relationships/worksheet"/><Relationship Id="rId7" Target="worksheets/sheet6.xml" Type="http://schemas.openxmlformats.org/officeDocument/2006/relationships/worksheet"/><Relationship Id="rId70" Target="worksheets/sheet69.xml" Type="http://schemas.openxmlformats.org/officeDocument/2006/relationships/worksheet"/><Relationship Id="rId71" Target="worksheets/sheet70.xml" Type="http://schemas.openxmlformats.org/officeDocument/2006/relationships/worksheet"/><Relationship Id="rId72" Target="sharedStrings.xml" Type="http://schemas.openxmlformats.org/officeDocument/2006/relationships/sharedStrings"/><Relationship Id="rId8" Target="worksheets/sheet7.xml" Type="http://schemas.openxmlformats.org/officeDocument/2006/relationships/worksheet"/><Relationship Id="rId9" Target="worksheets/sheet8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3" colorId="64" zoomScale="85" zoomScaleNormal="85" zoomScalePageLayoutView="100" workbookViewId="0">
      <selection pane="topLeft" activeCell="H149" activeCellId="0" sqref="H149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19958.33</v>
      </c>
      <c r="C2" s="4" t="s">
        <v>2</v>
      </c>
      <c r="D2" s="5" t="n">
        <f aca="false">C9</f>
        <v>3991.666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23949.996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19958.33</v>
      </c>
      <c r="C9" s="14" t="n">
        <f aca="false">B9*0.2</f>
        <v>3991.666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19958.33</v>
      </c>
      <c r="C15" s="14" t="n">
        <f aca="false">SUM(C9:C13)</f>
        <v>3991.666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23949.996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19958.33</v>
      </c>
      <c r="B37" s="32"/>
      <c r="C37" s="41" t="s">
        <v>45</v>
      </c>
      <c r="D37" s="41"/>
      <c r="E37" s="32"/>
      <c r="F37" s="43" t="n">
        <f aca="false">A37-C37</f>
        <v>18958.33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3991.666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249.3055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250.6945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253.361166666667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253.361166666667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79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253.361166666667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0.072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13686.8418865263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131.25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253.361166666667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253.361166666667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253.361166666667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18958.33</v>
      </c>
      <c r="C90" s="32"/>
      <c r="D90" s="32"/>
      <c r="E90" s="23"/>
      <c r="F90" s="25" t="s">
        <v>105</v>
      </c>
      <c r="G90" s="27" t="n">
        <f aca="false">F37</f>
        <v>18958.33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IF(A111="YES",A43,0)*1.2</f>
        <v>7200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0.1475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0.0122916666666667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6218.19813516518</v>
      </c>
      <c r="C95" s="32"/>
      <c r="D95" s="32"/>
      <c r="E95" s="23"/>
      <c r="F95" s="31" t="s">
        <v>110</v>
      </c>
      <c r="G95" s="33" t="n">
        <f aca="false">(G91/((1+G93)^(G94+1)))</f>
        <v>6748.06930144099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10.2301677524304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12740.1318648348</v>
      </c>
      <c r="C97" s="32"/>
      <c r="D97" s="32"/>
      <c r="E97" s="23"/>
      <c r="F97" s="31" t="s">
        <v>112</v>
      </c>
      <c r="G97" s="33" t="n">
        <f aca="false">G90-G95</f>
        <v>12210.260698559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1245.34926241148</v>
      </c>
      <c r="C98" s="32"/>
      <c r="D98" s="32"/>
      <c r="E98" s="23"/>
      <c r="F98" s="31" t="s">
        <v>113</v>
      </c>
      <c r="G98" s="33" t="n">
        <f aca="false">(G97/G96)</f>
        <v>1146.42425599175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13698.8418865263</v>
      </c>
      <c r="C99" s="32"/>
      <c r="D99" s="32"/>
      <c r="E99" s="23"/>
      <c r="F99" s="31" t="s">
        <v>114</v>
      </c>
      <c r="G99" s="33" t="n">
        <f aca="false">((G98*(G94))+G86)</f>
        <v>12610.6668159092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13698.8418865263</v>
      </c>
      <c r="C101" s="32"/>
      <c r="D101" s="32"/>
      <c r="E101" s="23"/>
      <c r="F101" s="56" t="s">
        <v>116</v>
      </c>
      <c r="G101" s="65" t="n">
        <f aca="false">(G99+G100)</f>
        <v>12610.6668159092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1245.34926241148</v>
      </c>
      <c r="C104" s="32"/>
      <c r="D104" s="32"/>
      <c r="E104" s="23"/>
      <c r="F104" s="95" t="s">
        <v>118</v>
      </c>
      <c r="G104" s="96" t="n">
        <f aca="false">G101/(G94)</f>
        <v>1146.42425599175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1245.34926241148</v>
      </c>
      <c r="C105" s="32"/>
      <c r="D105" s="32"/>
      <c r="E105" s="23" t="s">
        <v>19</v>
      </c>
      <c r="F105" s="97" t="s">
        <v>119</v>
      </c>
      <c r="G105" s="98" t="n">
        <f aca="false">G103+G104</f>
        <v>1146.42425599175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0.1475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141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23949.996</v>
      </c>
      <c r="C130" s="121" t="n">
        <v>21875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23949.996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23949.996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23949.996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23949.996</v>
      </c>
      <c r="C134" s="133" t="n">
        <f aca="false">C130-C133</f>
        <v>21875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19958.33</v>
      </c>
      <c r="H144" s="153" t="n">
        <f aca="false">C134+E134+G134+H137</f>
        <v>21875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3991.666</v>
      </c>
      <c r="H146" s="33" t="n">
        <f aca="false">(H144+H145)*20%</f>
        <v>4375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23949.996</v>
      </c>
      <c r="H150" s="157" t="n">
        <f aca="false">(H144+H145+H148+H149+H146)-H147</f>
        <v>26250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23949.996</v>
      </c>
      <c r="H156" s="164" t="n">
        <f aca="false">H150-((H153*1.2)+(H154*1.2)+(H155*1.2)+(H151*1.2))</f>
        <v>26250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1916.67</v>
      </c>
      <c r="I157" s="1" t="n">
        <f aca="false">(H157-G90)/1.2</f>
        <v>-14201.3833333333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26250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1245.34926241148</v>
      </c>
      <c r="B176" s="177" t="n">
        <f aca="false">B103</f>
        <v>0</v>
      </c>
      <c r="C176" s="174"/>
      <c r="D176" s="174"/>
      <c r="E176" s="177" t="n">
        <f aca="false">B105</f>
        <v>1245.34926241148</v>
      </c>
      <c r="F176" s="23"/>
      <c r="G176" s="23" t="n">
        <f aca="false">ROUND(G104, 2)</f>
        <v>1146.42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21875</v>
      </c>
      <c r="B182" s="103" t="n">
        <f aca="false">H146</f>
        <v>4375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26250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26250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-6551.15811347375</v>
      </c>
      <c r="B191" s="103" t="str">
        <f aca="false">B123</f>
        <v>239.99</v>
      </c>
      <c r="C191" s="103"/>
      <c r="D191" s="23"/>
      <c r="E191" s="103" t="n">
        <f aca="false">E188+A191+B191+A194</f>
        <v>19948.8318865263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9.72624</v>
      </c>
      <c r="B197" s="103" t="n">
        <f aca="false">(G167*B76)/1.2</f>
        <v>109.375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209.366666666667</v>
      </c>
      <c r="C200" s="93"/>
      <c r="D200" s="93"/>
      <c r="E200" s="103" t="n">
        <f aca="false">H157</f>
        <v>1916.67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1245.34926241148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-7639.38</v>
      </c>
      <c r="B210" s="186" t="n">
        <f aca="false">E188+A210+B191+A194</f>
        <v>18860.61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1245.34926241148</v>
      </c>
      <c r="B221" s="177" t="n">
        <f aca="false">B176</f>
        <v>0</v>
      </c>
      <c r="C221" s="174"/>
      <c r="D221" s="174"/>
      <c r="E221" s="177" t="n">
        <f aca="false">E176</f>
        <v>1245.34926241148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21875</v>
      </c>
      <c r="B224" s="103" t="n">
        <f aca="false">B182</f>
        <v>4375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26250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26250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-6551.15811347375</v>
      </c>
      <c r="B233" s="103" t="str">
        <f aca="false">B191</f>
        <v>239.99</v>
      </c>
      <c r="C233" s="103"/>
      <c r="D233" s="113"/>
      <c r="E233" s="103" t="n">
        <f aca="false">E191</f>
        <v>19948.8318865263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1245.34926241148</v>
      </c>
      <c r="B239" s="103" t="n">
        <f aca="false">B176</f>
        <v>0</v>
      </c>
      <c r="C239" s="186"/>
      <c r="D239" s="186"/>
      <c r="E239" s="103" t="n">
        <f aca="false">E176</f>
        <v>1245.34926241148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29.17872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9.72624</v>
      </c>
      <c r="B245" s="103" t="n">
        <f aca="false">E242+A245</f>
        <v>38.90496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1916.67</v>
      </c>
      <c r="B249" s="103" t="n">
        <f aca="false">B197</f>
        <v>109.375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2126.03666666666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0.1475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1098.22188652625</v>
      </c>
      <c r="C263" s="197"/>
      <c r="D263" s="198" t="s">
        <v>216</v>
      </c>
      <c r="E263" s="198"/>
      <c r="F263" s="200" t="n">
        <f aca="false">F270+F276+F278+B279+B280</f>
        <v>131.25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99.9916666666667</v>
      </c>
      <c r="C264" s="197"/>
      <c r="D264" s="198" t="s">
        <v>218</v>
      </c>
      <c r="E264" s="198"/>
      <c r="F264" s="200" t="n">
        <f aca="false">(B263-F263)+B264</f>
        <v>1066.96355319291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0.072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0.1475</v>
      </c>
      <c r="C269" s="43"/>
      <c r="D269" s="166" t="s">
        <v>215</v>
      </c>
      <c r="E269" s="166"/>
      <c r="F269" s="146" t="n">
        <f aca="false">(B98*B68)-(C98*B68)</f>
        <v>13698.8418865263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131.25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1066.96355319291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48" activeCellId="0" sqref="H14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19500.0</v>
      </c>
      <c r="C9" s="14" t="n">
        <f aca="false">B9*0.2</f>
        <v>3900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8.4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8.4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8.4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8.4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8.4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392</v>
      </c>
      <c r="B34" s="32"/>
      <c r="C34" s="41" t="s">
        <v>397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19500</v>
      </c>
      <c r="B37" s="32"/>
      <c r="C37" s="41" t="s">
        <v>395</v>
      </c>
      <c r="D37" s="41"/>
      <c r="E37" s="32"/>
      <c r="F37" s="43" t="n">
        <f aca="false">A37-C37</f>
        <v>18500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392</v>
      </c>
      <c r="B40" s="32"/>
      <c r="C40" s="54" t="n">
        <f aca="false">A34-1</f>
        <v>11</v>
      </c>
      <c r="D40" s="54"/>
      <c r="E40" s="32"/>
      <c r="F40" s="41" t="s">
        <v>390</v>
      </c>
      <c r="G40" s="41"/>
      <c r="H40" s="47"/>
      <c r="J40" s="2" t="s">
        <v>58</v>
      </c>
      <c r="K40" s="2" t="n">
        <f aca="false">C15</f>
        <v>3900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241.666666666667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308.333333333333</v>
      </c>
      <c r="L45" s="2"/>
    </row>
    <row r="46" customFormat="false" ht="17.35" hidden="false" customHeight="false" outlineLevel="0" collapsed="false">
      <c r="A46" s="40" t="s">
        <v>404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311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261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417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311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10.0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12772.2092480078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128.74998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0.0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0.0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0.0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0.0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311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311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311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18500</v>
      </c>
      <c r="C90" s="32"/>
      <c r="D90" s="32"/>
      <c r="E90" s="23"/>
      <c r="F90" s="25" t="s">
        <v>105</v>
      </c>
      <c r="G90" s="27" t="n">
        <f aca="false">F37</f>
        <v>18500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IF(A111="YES",A43,0)*1.2</f>
        <v>7200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6421.35126042292</v>
      </c>
      <c r="C95" s="32"/>
      <c r="D95" s="32"/>
      <c r="E95" s="23"/>
      <c r="F95" s="31" t="s">
        <v>110</v>
      </c>
      <c r="G95" s="33" t="n">
        <f aca="false">(G91/((1+G93)^(G94+1)))</f>
        <v>6748.06930144099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10.3929099999715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12078.6487395771</v>
      </c>
      <c r="C97" s="32"/>
      <c r="D97" s="32"/>
      <c r="E97" s="23"/>
      <c r="F97" s="31" t="s">
        <v>112</v>
      </c>
      <c r="G97" s="33" t="n">
        <f aca="false">G90-G95</f>
        <v>11751.930698559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1162.20084072798</v>
      </c>
      <c r="C98" s="32"/>
      <c r="D98" s="32"/>
      <c r="E98" s="23"/>
      <c r="F98" s="31" t="s">
        <v>113</v>
      </c>
      <c r="G98" s="33" t="n">
        <f aca="false">(G97/G96)</f>
        <v>1103.39154422412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12784.2092480078</v>
      </c>
      <c r="C99" s="32"/>
      <c r="D99" s="32"/>
      <c r="E99" s="23"/>
      <c r="F99" s="31" t="s">
        <v>114</v>
      </c>
      <c r="G99" s="33" t="n">
        <f aca="false">((G98*(G94))+G86)</f>
        <v>12137.3069864653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12784.2092480078</v>
      </c>
      <c r="C101" s="32"/>
      <c r="D101" s="32"/>
      <c r="E101" s="23"/>
      <c r="F101" s="56" t="s">
        <v>116</v>
      </c>
      <c r="G101" s="65" t="n">
        <f aca="false">(G99+G100)</f>
        <v>12137.3069864653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70.9090909090909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1162.20084072798</v>
      </c>
      <c r="C104" s="32"/>
      <c r="D104" s="32"/>
      <c r="E104" s="23"/>
      <c r="F104" s="95" t="s">
        <v>118</v>
      </c>
      <c r="G104" s="96" t="n">
        <f aca="false">G101/(G94)</f>
        <v>1103.39154422412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1233.10993163707</v>
      </c>
      <c r="C105" s="32"/>
      <c r="D105" s="32"/>
      <c r="E105" s="23" t="s">
        <v>389</v>
      </c>
      <c r="F105" s="97" t="s">
        <v>119</v>
      </c>
      <c r="G105" s="98" t="n">
        <f aca="false">G103+G104</f>
        <v>1103.39154422412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400</v>
      </c>
      <c r="C108" s="23"/>
      <c r="D108" s="23" t="n">
        <v>0.0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389</v>
      </c>
      <c r="B111" s="28" t="n">
        <v>0.0</v>
      </c>
      <c r="C111" s="28"/>
      <c r="D111" s="28"/>
      <c r="E111" s="28" t="n">
        <v>0.0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235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0.3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0.0</v>
      </c>
      <c r="C120" s="107"/>
      <c r="D120" s="107"/>
      <c r="E120" s="107" t="n">
        <v>0.0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406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23400</v>
      </c>
      <c r="C130" s="121" t="n">
        <v>21458.33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23400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23400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23400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23400</v>
      </c>
      <c r="C134" s="133" t="n">
        <f aca="false">C130-C133</f>
        <v>21458.33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19500</v>
      </c>
      <c r="H144" s="153" t="n">
        <f aca="false">C134+E134+G134+H137</f>
        <v>21458.33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3900</v>
      </c>
      <c r="H146" s="33" t="n">
        <f aca="false">(H144+H145)*20%</f>
        <v>4291.666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23400</v>
      </c>
      <c r="H150" s="157" t="n">
        <f aca="false">(H144+H145+H148+H149+H146)-H147</f>
        <v>25749.996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0.0</v>
      </c>
      <c r="F152" s="111"/>
      <c r="G152" s="33" t="n">
        <v>0.0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0.0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23400</v>
      </c>
      <c r="H156" s="164" t="n">
        <f aca="false">H150-((H153*1.2)+(H154*1.2)+(H155*1.2)+(H151*1.2))</f>
        <v>25749.996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1958.33</v>
      </c>
      <c r="I157" s="1" t="n">
        <f aca="false">(H157-G90)/1.2</f>
        <v>-13784.725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0.0</v>
      </c>
      <c r="F161" s="107"/>
      <c r="G161" s="107" t="n">
        <v>0.0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0.0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25749.996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1162.20084072798</v>
      </c>
      <c r="B176" s="177" t="n">
        <f aca="false">B103</f>
        <v>70.9090909090909</v>
      </c>
      <c r="C176" s="174"/>
      <c r="D176" s="174"/>
      <c r="E176" s="177" t="n">
        <f aca="false">B105</f>
        <v>1233.10993163707</v>
      </c>
      <c r="F176" s="23"/>
      <c r="G176" s="23" t="n">
        <f aca="false">ROUND(G104, 2)</f>
        <v>1103.39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12</v>
      </c>
      <c r="B179" s="180" t="str">
        <f aca="false">K30</f>
        <v>5000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21458.33</v>
      </c>
      <c r="B182" s="103" t="n">
        <f aca="false">H146</f>
        <v>4291.666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25749.996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25749.996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-6965.78675199219</v>
      </c>
      <c r="B191" s="103" t="str">
        <f aca="false">B123</f>
        <v>199.99</v>
      </c>
      <c r="C191" s="103"/>
      <c r="D191" s="23"/>
      <c r="E191" s="103" t="n">
        <f aca="false">E188+A191+(B191*1.2)+A194</f>
        <v>19034.1972480078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8.1052</v>
      </c>
      <c r="B197" s="103" t="n">
        <f aca="false">(G167*B76)/1.2</f>
        <v>107.29165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207.28165</v>
      </c>
      <c r="C200" s="93"/>
      <c r="D200" s="93"/>
      <c r="E200" s="103" t="n">
        <f aca="false">H157</f>
        <v>1958.33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1233.10993163707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-7612.706</v>
      </c>
      <c r="B210" s="186" t="n">
        <f aca="false">E188+A210+(B191*1.2)+A194</f>
        <v>18387.278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1162.20084072798</v>
      </c>
      <c r="B221" s="177" t="n">
        <f aca="false">B176</f>
        <v>70.9090909090909</v>
      </c>
      <c r="C221" s="174"/>
      <c r="D221" s="174"/>
      <c r="E221" s="177" t="n">
        <f aca="false">E176</f>
        <v>1233.10993163707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21458.33</v>
      </c>
      <c r="B224" s="103" t="n">
        <f aca="false">B182</f>
        <v>4291.666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25749.996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25749.996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-6965.78675199219</v>
      </c>
      <c r="B233" s="103" t="str">
        <f aca="false">B191</f>
        <v>199.99</v>
      </c>
      <c r="C233" s="103"/>
      <c r="D233" s="113"/>
      <c r="E233" s="103" t="n">
        <f aca="false">E191</f>
        <v>19034.1972480078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1162.20084072798</v>
      </c>
      <c r="B239" s="103" t="n">
        <f aca="false">B176</f>
        <v>70.9090909090909</v>
      </c>
      <c r="C239" s="186"/>
      <c r="D239" s="186"/>
      <c r="E239" s="103" t="n">
        <f aca="false">E176</f>
        <v>1233.10993163707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24.3156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8.1052</v>
      </c>
      <c r="B245" s="103" t="n">
        <f aca="false">E242+A245</f>
        <v>32.4208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1958.33</v>
      </c>
      <c r="B249" s="103" t="n">
        <f aca="false">B197</f>
        <v>107.29165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2165.61165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656.919248007809</v>
      </c>
      <c r="C263" s="197"/>
      <c r="D263" s="198" t="s">
        <v>216</v>
      </c>
      <c r="E263" s="198"/>
      <c r="F263" s="200" t="n">
        <f aca="false">F270+F276+F278+B279+B280</f>
        <v>128.74998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</v>
      </c>
      <c r="C264" s="197"/>
      <c r="D264" s="198" t="s">
        <v>218</v>
      </c>
      <c r="E264" s="198"/>
      <c r="F264" s="200" t="n">
        <f aca="false">(B263-F263)+B264</f>
        <v>628.159268007809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12784.2092480078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128.74998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0.3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628.159268007809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4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244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248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249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n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16106.9928207431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253.125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5255.82391109543</v>
      </c>
      <c r="C86" s="93" t="n">
        <f aca="false">(B82/((1+B84)^(B85+1)))</f>
        <v>5255.82391109543</v>
      </c>
      <c r="D86" s="93"/>
      <c r="E86" s="113"/>
      <c r="F86" s="31" t="s">
        <v>110</v>
      </c>
      <c r="G86" s="33" t="n">
        <f aca="false">(G82/((1+G84)^(G85+1)))</f>
        <v>6024.37295128565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14244.1760889046</v>
      </c>
      <c r="C88" s="93" t="n">
        <f aca="false">B81-B86</f>
        <v>14244.1760889046</v>
      </c>
      <c r="D88" s="93"/>
      <c r="E88" s="113"/>
      <c r="F88" s="31" t="s">
        <v>112</v>
      </c>
      <c r="G88" s="33" t="n">
        <f aca="false">G81-G86</f>
        <v>13475.6270487144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518.979889284584</v>
      </c>
      <c r="C89" s="93" t="n">
        <f aca="false">(B88/B87)</f>
        <v>518.979889284584</v>
      </c>
      <c r="D89" s="93"/>
      <c r="E89" s="113"/>
      <c r="F89" s="31" t="s">
        <v>113</v>
      </c>
      <c r="G89" s="33" t="n">
        <f aca="false">(G88/G87)</f>
        <v>459.800298135382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16607.3564571067</v>
      </c>
      <c r="C90" s="93"/>
      <c r="D90" s="93"/>
      <c r="E90" s="113"/>
      <c r="F90" s="31" t="s">
        <v>114</v>
      </c>
      <c r="G90" s="33" t="n">
        <f aca="false">((G89*(G85))+G77)</f>
        <v>14713.6095403322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16607.3564571067</v>
      </c>
      <c r="C92" s="93"/>
      <c r="D92" s="93"/>
      <c r="E92" s="113"/>
      <c r="F92" s="56" t="s">
        <v>116</v>
      </c>
      <c r="G92" s="65" t="n">
        <f aca="false">(G90+G91)</f>
        <v>14713.6095403322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518.979889284584</v>
      </c>
      <c r="C95" s="93"/>
      <c r="D95" s="93"/>
      <c r="E95" s="113"/>
      <c r="F95" s="95" t="s">
        <v>118</v>
      </c>
      <c r="G95" s="96" t="n">
        <f aca="false">G92/(G85)</f>
        <v>459.800298135382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518.979889284584</v>
      </c>
      <c r="C96" s="93"/>
      <c r="D96" s="93"/>
      <c r="E96" s="113"/>
      <c r="F96" s="97" t="s">
        <v>119</v>
      </c>
      <c r="G96" s="98" t="n">
        <f aca="false">G94+G95</f>
        <v>459.800298135382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518.979889284584</v>
      </c>
      <c r="B167" s="177" t="n">
        <f aca="false">B94</f>
        <v>0</v>
      </c>
      <c r="C167" s="174"/>
      <c r="D167" s="174"/>
      <c r="E167" s="177" t="n">
        <f aca="false">B96</f>
        <v>518.979889284584</v>
      </c>
      <c r="F167" s="23"/>
      <c r="G167" s="23" t="n">
        <f aca="false">ROUND(G95, 2)</f>
        <v>459.8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-3192.64354289331</v>
      </c>
      <c r="B182" s="103" t="str">
        <f aca="false">B114</f>
        <v>239.99</v>
      </c>
      <c r="C182" s="103"/>
      <c r="D182" s="23"/>
      <c r="E182" s="103" t="n">
        <f aca="false">E179+A182+B182+A185</f>
        <v>24057.3464571067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9.72624</v>
      </c>
      <c r="B188" s="103" t="n">
        <f aca="false">(G158*B67)/1.2</f>
        <v>210.9375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310.929166666667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518.979889284584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-5086.4</v>
      </c>
      <c r="B201" s="186" t="n">
        <f aca="false">E179+A201+B182+A185</f>
        <v>22163.59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518.979889284584</v>
      </c>
      <c r="B212" s="177" t="n">
        <f aca="false">B167</f>
        <v>0</v>
      </c>
      <c r="C212" s="174"/>
      <c r="D212" s="174"/>
      <c r="E212" s="177" t="n">
        <f aca="false">E167</f>
        <v>518.979889284584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-3192.64354289331</v>
      </c>
      <c r="B224" s="103" t="str">
        <f aca="false">B182</f>
        <v>239.99</v>
      </c>
      <c r="C224" s="103"/>
      <c r="D224" s="113"/>
      <c r="E224" s="103" t="n">
        <f aca="false">E182</f>
        <v>24057.3464571067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518.979889284584</v>
      </c>
      <c r="B230" s="103" t="n">
        <f aca="false">B167</f>
        <v>0</v>
      </c>
      <c r="C230" s="186"/>
      <c r="D230" s="186"/>
      <c r="E230" s="103" t="n">
        <f aca="false">E167</f>
        <v>518.979889284584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J18*0.000006*100*1.2</f>
        <v>29.17872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9.72624</v>
      </c>
      <c r="B236" s="103" t="n">
        <f aca="false">E233+A236</f>
        <v>38.90496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210.9375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2310.92916666667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1903.75645710669</v>
      </c>
      <c r="C254" s="197"/>
      <c r="D254" s="198" t="s">
        <v>216</v>
      </c>
      <c r="E254" s="198"/>
      <c r="F254" s="200" t="n">
        <f aca="false">F261+F267+F269+B270+B271</f>
        <v>253.125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1750.62312377336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253.125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1750.62312377336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244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13780.273195982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0.1475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0.0122916666666667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6218.19813516518</v>
      </c>
      <c r="C86" s="93" t="n">
        <f aca="false">(B82/((1+B84)^(B85+1)))</f>
        <v>6218.19813516518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10.2301677524304</v>
      </c>
      <c r="C87" s="93" t="n">
        <f aca="false">((1-(1/((1+B84)^B85)))/B84)</f>
        <v>10.2301677524304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13281.8018648348</v>
      </c>
      <c r="C88" s="93" t="n">
        <f aca="false">B81-B86</f>
        <v>13281.8018648348</v>
      </c>
      <c r="D88" s="93"/>
      <c r="E88" s="113"/>
      <c r="F88" s="31" t="s">
        <v>112</v>
      </c>
      <c r="G88" s="33" t="n">
        <f aca="false">G81-G86</f>
        <v>13876.6089154658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1298.29756327109</v>
      </c>
      <c r="C89" s="93" t="n">
        <f aca="false">(B88/B87)</f>
        <v>1298.29756327109</v>
      </c>
      <c r="D89" s="93"/>
      <c r="E89" s="113"/>
      <c r="F89" s="31" t="s">
        <v>113</v>
      </c>
      <c r="G89" s="33" t="n">
        <f aca="false">(G88/G87)</f>
        <v>1302.8780829781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14281.273195982</v>
      </c>
      <c r="C90" s="93"/>
      <c r="D90" s="93"/>
      <c r="E90" s="113"/>
      <c r="F90" s="31" t="s">
        <v>114</v>
      </c>
      <c r="G90" s="33" t="n">
        <f aca="false">((G89*(G85))+G77)</f>
        <v>14331.6589127591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14281.273195982</v>
      </c>
      <c r="C92" s="93"/>
      <c r="D92" s="93"/>
      <c r="E92" s="113"/>
      <c r="F92" s="56" t="s">
        <v>116</v>
      </c>
      <c r="G92" s="65" t="n">
        <f aca="false">(G90+G91)</f>
        <v>14331.6589127591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1298.29756327109</v>
      </c>
      <c r="C95" s="93"/>
      <c r="D95" s="93"/>
      <c r="E95" s="113"/>
      <c r="F95" s="95" t="s">
        <v>118</v>
      </c>
      <c r="G95" s="96" t="n">
        <f aca="false">G92/(G85)</f>
        <v>1302.8780829781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1298.29756327109</v>
      </c>
      <c r="C96" s="93"/>
      <c r="D96" s="93"/>
      <c r="E96" s="113"/>
      <c r="F96" s="97" t="s">
        <v>119</v>
      </c>
      <c r="G96" s="98" t="n">
        <f aca="false">G94+G95</f>
        <v>1302.8780829781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0.1475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1298.29756327109</v>
      </c>
      <c r="B167" s="177" t="str">
        <f aca="false">B94</f>
        <v>0</v>
      </c>
      <c r="C167" s="174"/>
      <c r="D167" s="174"/>
      <c r="E167" s="177" t="n">
        <f aca="false">B96</f>
        <v>1298.29756327109</v>
      </c>
      <c r="F167" s="23"/>
      <c r="G167" s="23" t="n">
        <f aca="false">ROUND(G95, 2)</f>
        <v>1302.88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180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-5518.726804018</v>
      </c>
      <c r="B182" s="103" t="str">
        <f aca="false">B114</f>
        <v>199.99</v>
      </c>
      <c r="C182" s="103"/>
      <c r="D182" s="23"/>
      <c r="E182" s="103" t="n">
        <f aca="false">E179+A182+(B182*1.2)+A185</f>
        <v>21731.261195982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8.1052</v>
      </c>
      <c r="B188" s="103" t="n">
        <f aca="false">(G158*B67)/1.2</f>
        <v>112.5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212.49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1298.29756327109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-5468.32</v>
      </c>
      <c r="B201" s="186" t="n">
        <f aca="false">E179+A201+(B182*1.2)+A185</f>
        <v>21781.668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1298.29756327109</v>
      </c>
      <c r="B212" s="177" t="str">
        <f aca="false">B167</f>
        <v>0</v>
      </c>
      <c r="C212" s="174"/>
      <c r="D212" s="174"/>
      <c r="E212" s="177" t="n">
        <f aca="false">E167</f>
        <v>1298.29756327109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-5518.726804018</v>
      </c>
      <c r="B224" s="103" t="str">
        <f aca="false">B182</f>
        <v>199.99</v>
      </c>
      <c r="C224" s="103"/>
      <c r="D224" s="113"/>
      <c r="E224" s="103" t="n">
        <f aca="false">E182</f>
        <v>21731.261195982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1298.29756327109</v>
      </c>
      <c r="B230" s="103" t="str">
        <f aca="false">B167</f>
        <v>0</v>
      </c>
      <c r="C230" s="186"/>
      <c r="D230" s="186"/>
      <c r="E230" s="103" t="n">
        <f aca="false">E167</f>
        <v>1298.29756327109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</f>
        <v>24.3156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8.1052</v>
      </c>
      <c r="B236" s="103" t="n">
        <f aca="false">E233+A236</f>
        <v>32.4208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112.5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2212.49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-40.4068040179991</v>
      </c>
      <c r="C254" s="197"/>
      <c r="D254" s="198" t="s">
        <v>216</v>
      </c>
      <c r="E254" s="198"/>
      <c r="F254" s="200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-75.4168040179991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0.1475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-75.4168040179991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244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13483.2104278209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110</v>
      </c>
      <c r="G86" s="33" t="n">
        <f aca="false">(G82/((1+G84)^(G85+1)))</f>
        <v>6748.06930144099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13145.0582001204</v>
      </c>
      <c r="C88" s="93" t="n">
        <f aca="false">B81-B86</f>
        <v>13145.0582001204</v>
      </c>
      <c r="D88" s="93"/>
      <c r="E88" s="113"/>
      <c r="F88" s="31" t="s">
        <v>112</v>
      </c>
      <c r="G88" s="33" t="n">
        <f aca="false">G81-G86</f>
        <v>12751.930698559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1271.29185707463</v>
      </c>
      <c r="C89" s="93" t="n">
        <f aca="false">(B88/B87)</f>
        <v>1271.29185707463</v>
      </c>
      <c r="D89" s="93"/>
      <c r="E89" s="113"/>
      <c r="F89" s="31" t="s">
        <v>113</v>
      </c>
      <c r="G89" s="33" t="n">
        <f aca="false">(G88/G87)</f>
        <v>1197.28178000975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13984.2104278209</v>
      </c>
      <c r="C90" s="93"/>
      <c r="D90" s="93"/>
      <c r="E90" s="113"/>
      <c r="F90" s="31" t="s">
        <v>114</v>
      </c>
      <c r="G90" s="33" t="n">
        <f aca="false">((G89*(G85))+G77)</f>
        <v>13170.0995801073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13984.2104278209</v>
      </c>
      <c r="C92" s="93"/>
      <c r="D92" s="93"/>
      <c r="E92" s="113"/>
      <c r="F92" s="56" t="s">
        <v>116</v>
      </c>
      <c r="G92" s="65" t="n">
        <f aca="false">(G90+G91)</f>
        <v>13170.0995801073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1271.29185707463</v>
      </c>
      <c r="C95" s="93"/>
      <c r="D95" s="93"/>
      <c r="E95" s="113"/>
      <c r="F95" s="95" t="s">
        <v>118</v>
      </c>
      <c r="G95" s="96" t="n">
        <f aca="false">G92/(G85)</f>
        <v>1197.28178000975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1271.29185707463</v>
      </c>
      <c r="C96" s="93"/>
      <c r="D96" s="93"/>
      <c r="E96" s="113"/>
      <c r="F96" s="97" t="s">
        <v>119</v>
      </c>
      <c r="G96" s="98" t="n">
        <f aca="false">G94+G95</f>
        <v>1197.28178000975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271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272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1271.29185707463</v>
      </c>
      <c r="B167" s="177" t="str">
        <f aca="false">B94</f>
        <v>0</v>
      </c>
      <c r="C167" s="174"/>
      <c r="D167" s="174"/>
      <c r="E167" s="177" t="n">
        <f aca="false">B96</f>
        <v>1271.29185707463</v>
      </c>
      <c r="F167" s="23"/>
      <c r="G167" s="23" t="n">
        <f aca="false">ROUND(G95, 2)</f>
        <v>1197.28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-5815.78957217909</v>
      </c>
      <c r="B182" s="103" t="str">
        <f aca="false">B114</f>
        <v>239.99</v>
      </c>
      <c r="C182" s="103"/>
      <c r="D182" s="23"/>
      <c r="E182" s="103" t="n">
        <f aca="false">E179+A182+B182+A185</f>
        <v>21434.2004278209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9.72624</v>
      </c>
      <c r="B188" s="103" t="n">
        <f aca="false">(G158*B67)/1.2</f>
        <v>112.5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212.491666666667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1271.29185707463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-6629.92</v>
      </c>
      <c r="B201" s="186" t="n">
        <f aca="false">E179+A201+B182+A185</f>
        <v>20620.07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1271.29185707463</v>
      </c>
      <c r="B212" s="177" t="str">
        <f aca="false">B167</f>
        <v>0</v>
      </c>
      <c r="C212" s="174"/>
      <c r="D212" s="174"/>
      <c r="E212" s="177" t="n">
        <f aca="false">E167</f>
        <v>1271.29185707463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-5815.78957217909</v>
      </c>
      <c r="B224" s="103" t="str">
        <f aca="false">B182</f>
        <v>239.99</v>
      </c>
      <c r="C224" s="103"/>
      <c r="D224" s="113"/>
      <c r="E224" s="103" t="n">
        <f aca="false">E182</f>
        <v>21434.2004278209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1271.29185707463</v>
      </c>
      <c r="B230" s="103" t="str">
        <f aca="false">B167</f>
        <v>0</v>
      </c>
      <c r="C230" s="186"/>
      <c r="D230" s="186"/>
      <c r="E230" s="103" t="n">
        <f aca="false">E167</f>
        <v>1271.29185707463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9.72624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112.5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2212.49166666667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824.13042782091</v>
      </c>
      <c r="C254" s="197"/>
      <c r="D254" s="198" t="s">
        <v>216</v>
      </c>
      <c r="E254" s="198"/>
      <c r="F254" s="200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789.122094487577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789.122094487577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263" t="s">
        <v>244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13483.2104278209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110</v>
      </c>
      <c r="G86" s="33" t="n">
        <f aca="false">(G82/((1+G84)^(G85+1)))</f>
        <v>6748.06930144099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13145.0582001204</v>
      </c>
      <c r="C88" s="93" t="n">
        <f aca="false">B81-B86</f>
        <v>13145.0582001204</v>
      </c>
      <c r="D88" s="93"/>
      <c r="E88" s="113"/>
      <c r="F88" s="31" t="s">
        <v>112</v>
      </c>
      <c r="G88" s="33" t="n">
        <f aca="false">G81-G86</f>
        <v>12751.930698559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1271.29185707463</v>
      </c>
      <c r="C89" s="93" t="n">
        <f aca="false">(B88/B87)</f>
        <v>1271.29185707463</v>
      </c>
      <c r="D89" s="93"/>
      <c r="E89" s="113"/>
      <c r="F89" s="31" t="s">
        <v>113</v>
      </c>
      <c r="G89" s="33" t="n">
        <f aca="false">(G88/G87)</f>
        <v>1197.28178000975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13984.2104278209</v>
      </c>
      <c r="C90" s="93"/>
      <c r="D90" s="93"/>
      <c r="E90" s="113"/>
      <c r="F90" s="31" t="s">
        <v>114</v>
      </c>
      <c r="G90" s="33" t="n">
        <f aca="false">((G89*(G85))+G77)</f>
        <v>13170.0995801073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13984.2104278209</v>
      </c>
      <c r="C92" s="93"/>
      <c r="D92" s="93"/>
      <c r="E92" s="113"/>
      <c r="F92" s="56" t="s">
        <v>116</v>
      </c>
      <c r="G92" s="65" t="n">
        <f aca="false">(G90+G91)</f>
        <v>13170.0995801073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1271.29185707463</v>
      </c>
      <c r="C95" s="93"/>
      <c r="D95" s="93"/>
      <c r="E95" s="113"/>
      <c r="F95" s="95" t="s">
        <v>118</v>
      </c>
      <c r="G95" s="96" t="n">
        <f aca="false">G92/(G85)</f>
        <v>1197.28178000975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1271.29185707463</v>
      </c>
      <c r="C96" s="93"/>
      <c r="D96" s="93"/>
      <c r="E96" s="113"/>
      <c r="F96" s="97" t="s">
        <v>119</v>
      </c>
      <c r="G96" s="98" t="n">
        <f aca="false">G94+G95</f>
        <v>1197.28178000975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1271.29185707463</v>
      </c>
      <c r="B167" s="177" t="str">
        <f aca="false">B94</f>
        <v>0</v>
      </c>
      <c r="C167" s="174"/>
      <c r="D167" s="174"/>
      <c r="E167" s="177" t="n">
        <f aca="false">B96</f>
        <v>1271.29185707463</v>
      </c>
      <c r="F167" s="23"/>
      <c r="G167" s="23" t="n">
        <f aca="false">ROUND(G95, 2)</f>
        <v>1197.28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-5815.78957217909</v>
      </c>
      <c r="B182" s="103" t="str">
        <f aca="false">B114</f>
        <v>199.99</v>
      </c>
      <c r="C182" s="103"/>
      <c r="D182" s="23"/>
      <c r="E182" s="103" t="n">
        <f aca="false">E179+A182+(B182*1.2)+A185</f>
        <v>21434.1984278209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8.1052</v>
      </c>
      <c r="B188" s="103" t="n">
        <f aca="false">(G158*B67)/1.2</f>
        <v>112.5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212.49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1271.29185707463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-6629.92</v>
      </c>
      <c r="B201" s="186" t="n">
        <f aca="false">E179+A201+(B182*1.2)+A185</f>
        <v>20620.068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1271.29185707463</v>
      </c>
      <c r="B212" s="177" t="str">
        <f aca="false">B167</f>
        <v>0</v>
      </c>
      <c r="C212" s="174"/>
      <c r="D212" s="174"/>
      <c r="E212" s="177" t="n">
        <f aca="false">E167</f>
        <v>1271.29185707463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-5815.78957217909</v>
      </c>
      <c r="B224" s="103" t="str">
        <f aca="false">B182</f>
        <v>199.99</v>
      </c>
      <c r="C224" s="103"/>
      <c r="D224" s="113"/>
      <c r="E224" s="103" t="n">
        <f aca="false">E182</f>
        <v>21434.1984278209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1271.29185707463</v>
      </c>
      <c r="B230" s="103" t="str">
        <f aca="false">B167</f>
        <v>0</v>
      </c>
      <c r="C230" s="186"/>
      <c r="D230" s="186"/>
      <c r="E230" s="103" t="n">
        <f aca="false">E167</f>
        <v>1271.29185707463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8.1052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112.5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2212.49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824.13042782091</v>
      </c>
      <c r="C254" s="197"/>
      <c r="D254" s="198" t="s">
        <v>216</v>
      </c>
      <c r="E254" s="198"/>
      <c r="F254" s="200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789.12042782091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789.12042782091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0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24600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40526</v>
      </c>
      <c r="C61" s="215"/>
      <c r="D61" s="215"/>
      <c r="E61" s="216"/>
      <c r="F61" s="63"/>
      <c r="G61" s="214" t="s">
        <v>14</v>
      </c>
      <c r="H61" s="291" t="n">
        <f aca="false">G18</f>
        <v>40526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1722</v>
      </c>
      <c r="C64" s="215" t="n">
        <v>10000</v>
      </c>
      <c r="D64" s="291" t="n">
        <f aca="false">B64</f>
        <v>1722</v>
      </c>
      <c r="E64" s="216"/>
      <c r="F64" s="63"/>
      <c r="G64" s="285" t="s">
        <v>90</v>
      </c>
      <c r="H64" s="133" t="n">
        <f aca="false">H61*H63</f>
        <v>2836.82</v>
      </c>
      <c r="I64" s="215"/>
      <c r="J64" s="291" t="n">
        <f aca="false">H64</f>
        <v>2836.82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246</v>
      </c>
      <c r="C67" s="215"/>
      <c r="D67" s="291"/>
      <c r="E67" s="216"/>
      <c r="F67" s="63"/>
      <c r="G67" s="285" t="s">
        <v>93</v>
      </c>
      <c r="H67" s="133" t="n">
        <f aca="false">H61*H66</f>
        <v>202.63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 t="n">
        <f aca="false">IF(G18&gt;40000, 325, 0)</f>
        <v>325</v>
      </c>
      <c r="D75" s="215"/>
      <c r="E75" s="216"/>
      <c r="F75" s="63"/>
      <c r="G75" s="295" t="s">
        <v>280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3048.66666666667</v>
      </c>
      <c r="C81" s="215"/>
      <c r="D81" s="215"/>
      <c r="E81" s="216"/>
      <c r="F81" s="63"/>
      <c r="G81" s="303" t="s">
        <v>102</v>
      </c>
      <c r="H81" s="304" t="n">
        <f aca="false">SUM(J64:J80)</f>
        <v>4490.40333333333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254.055555555556</v>
      </c>
      <c r="C82" s="215"/>
      <c r="D82" s="215"/>
      <c r="E82" s="216"/>
      <c r="F82" s="63"/>
      <c r="G82" s="214" t="s">
        <v>103</v>
      </c>
      <c r="H82" s="300" t="n">
        <f aca="false">H81/H29</f>
        <v>374.200277777778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10872.8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12602.884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76.7543364259782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88.9675151270674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10949.554336426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12591.8615151271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72</v>
      </c>
      <c r="C89" s="215"/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912.462861368832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1049.32179292726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984.462861368832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1121.32179292726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239.988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20</v>
      </c>
      <c r="C105" s="312"/>
      <c r="D105" s="107" t="s">
        <v>291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 t="n">
        <v>0</v>
      </c>
      <c r="C108" s="217"/>
      <c r="D108" s="217" t="n">
        <v>0</v>
      </c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(E118+E117)-D115</f>
        <v>7239.988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912.462861368832</v>
      </c>
      <c r="B128" s="321" t="n">
        <f aca="false">IF(A105="YES", B89, 0)</f>
        <v>72</v>
      </c>
      <c r="C128" s="326"/>
      <c r="D128" s="321" t="n">
        <f aca="false">B91</f>
        <v>984.462861368832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1049.32179292726</v>
      </c>
      <c r="H130" s="177" t="n">
        <f aca="false">IF(G105="YES", H89*H57, 0)</f>
        <v>72</v>
      </c>
      <c r="I130" s="177"/>
      <c r="J130" s="334" t="n">
        <f aca="false">H91</f>
        <v>1121.32179292726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8212.16575231948</v>
      </c>
      <c r="C131" s="317"/>
      <c r="D131" s="38" t="n">
        <f aca="false">IF(A105="YES", B89*B57, 0)</f>
        <v>648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1049.32179292726</v>
      </c>
      <c r="H133" s="103" t="n">
        <f aca="false">IF(G105="YES", H89*H57, 0)</f>
        <v>72</v>
      </c>
      <c r="I133" s="221"/>
      <c r="J133" s="184" t="n">
        <f aca="false">H91*H57</f>
        <v>1121.32179292726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8860.16575231949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912.462861368832</v>
      </c>
      <c r="B137" s="38" t="n">
        <f aca="false">IF(A105="YES", B89, 0)</f>
        <v>72</v>
      </c>
      <c r="C137" s="317"/>
      <c r="D137" s="38" t="n">
        <f aca="false">B91</f>
        <v>984.462861368832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202.63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29.17872</v>
      </c>
      <c r="B140" s="343" t="n">
        <f aca="false">G18*0.000002 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1429.818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246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757.99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1121.32179292726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984.462861368832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912.462861368832</v>
      </c>
      <c r="B171" s="355" t="n">
        <f aca="false">IF(A105="YES", B89, 0)</f>
        <v>72</v>
      </c>
      <c r="C171" s="358"/>
      <c r="D171" s="355" t="n">
        <f aca="false">B91</f>
        <v>984.462861368832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8212.16575231948</v>
      </c>
      <c r="C174" s="353"/>
      <c r="D174" s="103" t="n">
        <f aca="false">IF(A105="YES", B89*B57, 0)</f>
        <v>648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8860.16575231949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912.462861368832</v>
      </c>
      <c r="B180" s="103" t="n">
        <f aca="false">IF(A105="YES", B89, 0)</f>
        <v>72</v>
      </c>
      <c r="C180" s="353"/>
      <c r="D180" s="103" t="n">
        <f aca="false">B91</f>
        <v>984.462861368832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29.17872</v>
      </c>
      <c r="B183" s="365" t="n">
        <f aca="false">G18*0.000002 *1.2*100</f>
        <v>9.72624</v>
      </c>
      <c r="C183" s="353"/>
      <c r="D183" s="365" t="n">
        <f aca="false">A183+B183</f>
        <v>38.90496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246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757.99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1722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246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1935.99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1722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246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1935.99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76.7543364259782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3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24600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40526</v>
      </c>
      <c r="C61" s="215"/>
      <c r="D61" s="215"/>
      <c r="E61" s="216"/>
      <c r="F61" s="63"/>
      <c r="G61" s="214" t="s">
        <v>14</v>
      </c>
      <c r="H61" s="291" t="n">
        <f aca="false">G18</f>
        <v>40526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1722</v>
      </c>
      <c r="C64" s="215" t="n">
        <v>10000</v>
      </c>
      <c r="D64" s="291" t="n">
        <f aca="false">B64</f>
        <v>1722</v>
      </c>
      <c r="E64" s="216"/>
      <c r="F64" s="63"/>
      <c r="G64" s="285" t="s">
        <v>90</v>
      </c>
      <c r="H64" s="133" t="n">
        <f aca="false">H61*H63</f>
        <v>2836.82</v>
      </c>
      <c r="I64" s="215"/>
      <c r="J64" s="291" t="n">
        <f aca="false">H64</f>
        <v>2836.82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246</v>
      </c>
      <c r="C67" s="215"/>
      <c r="D67" s="291"/>
      <c r="E67" s="216"/>
      <c r="F67" s="63"/>
      <c r="G67" s="285" t="s">
        <v>93</v>
      </c>
      <c r="H67" s="133" t="n">
        <f aca="false">H61*H66</f>
        <v>202.63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3048.66666666667</v>
      </c>
      <c r="C81" s="215"/>
      <c r="D81" s="215"/>
      <c r="E81" s="216"/>
      <c r="F81" s="63"/>
      <c r="G81" s="303" t="s">
        <v>102</v>
      </c>
      <c r="H81" s="304" t="n">
        <f aca="false">SUM(J64:J80)</f>
        <v>4490.40333333333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254.055555555556</v>
      </c>
      <c r="C82" s="215"/>
      <c r="D82" s="215"/>
      <c r="E82" s="216"/>
      <c r="F82" s="63"/>
      <c r="G82" s="214" t="s">
        <v>103</v>
      </c>
      <c r="H82" s="300" t="n">
        <f aca="false">H81/H29</f>
        <v>374.200277777778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9060.66666666667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12602.884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76.7543364259782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88.9675151270674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9137.42100309265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12591.8615151271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60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761.451750257721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1049.32179292726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821.451750257721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1121.32179292726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20</v>
      </c>
      <c r="C105" s="312"/>
      <c r="D105" s="107" t="s">
        <v>291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 t="n">
        <v>0</v>
      </c>
      <c r="C108" s="217"/>
      <c r="D108" s="217" t="n">
        <v>0</v>
      </c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((E118*1.2)+E117)-D115</f>
        <v>7239.988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761.451750257721</v>
      </c>
      <c r="B128" s="321" t="n">
        <f aca="false">IF(A105="YES", B89, 0)</f>
        <v>60</v>
      </c>
      <c r="C128" s="326"/>
      <c r="D128" s="321" t="n">
        <f aca="false">B91</f>
        <v>821.451750257721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1049.32179292726</v>
      </c>
      <c r="H130" s="177" t="n">
        <f aca="false">IF(G105="YES", H89*H57, 0)</f>
        <v>72</v>
      </c>
      <c r="I130" s="177"/>
      <c r="J130" s="334" t="n">
        <f aca="false">H91</f>
        <v>1121.32179292726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6853.06575231948</v>
      </c>
      <c r="C131" s="317"/>
      <c r="D131" s="38" t="n">
        <f aca="false">IF(A105="YES", B89*B57, 0)</f>
        <v>540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1049.32179292726</v>
      </c>
      <c r="H133" s="103" t="n">
        <f aca="false">IF(G105="YES", H89*H57, 0)</f>
        <v>72</v>
      </c>
      <c r="I133" s="221"/>
      <c r="J133" s="184" t="n">
        <f aca="false">H91*H57</f>
        <v>1121.32179292726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7393.06575231948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761.451750257721</v>
      </c>
      <c r="B137" s="38" t="n">
        <f aca="false">IF(A105="YES", B89, 0)</f>
        <v>60</v>
      </c>
      <c r="C137" s="317"/>
      <c r="D137" s="38" t="n">
        <f aca="false">B91</f>
        <v>821.451750257721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202.63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29.17872</v>
      </c>
      <c r="B140" s="343" t="n">
        <f aca="false">G18*0.000002 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1429.818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246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757.99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1121.32179292726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821.451750257721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761.451750257721</v>
      </c>
      <c r="B171" s="355" t="n">
        <f aca="false">IF(A105="YES", B89, 0)</f>
        <v>60</v>
      </c>
      <c r="C171" s="358"/>
      <c r="D171" s="355" t="n">
        <f aca="false">B91</f>
        <v>821.451750257721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6853.06575231948</v>
      </c>
      <c r="C174" s="353"/>
      <c r="D174" s="103" t="n">
        <f aca="false">IF(A105="YES", B89*B57, 0)</f>
        <v>540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7393.06575231948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761.451750257721</v>
      </c>
      <c r="B180" s="103" t="n">
        <f aca="false">IF(A105="YES", B89, 0)</f>
        <v>60</v>
      </c>
      <c r="C180" s="353"/>
      <c r="D180" s="103" t="n">
        <f aca="false">B91</f>
        <v>821.451750257721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29.17872</v>
      </c>
      <c r="B183" s="365" t="n">
        <f aca="false">G18*0.000002 *1.2*100</f>
        <v>9.72624</v>
      </c>
      <c r="C183" s="353"/>
      <c r="D183" s="365" t="n">
        <f aca="false">A183+B183</f>
        <v>38.90496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246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757.99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H29</f>
        <v>12</v>
      </c>
      <c r="C203" s="321" t="s">
        <v>215</v>
      </c>
      <c r="D203" s="370" t="n">
        <f aca="false">D64</f>
        <v>1722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246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1935.99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1722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246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1935.99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76.7543364259782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19500.0</v>
      </c>
      <c r="C9" s="14" t="n">
        <f aca="false">B9*0.2</f>
        <v>3900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45159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12.0</v>
      </c>
      <c r="B32" s="223" t="n">
        <v>5000.0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395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392</v>
      </c>
      <c r="B38" s="241" t="n">
        <f aca="false">A32-1</f>
        <v>11</v>
      </c>
      <c r="C38" s="241"/>
      <c r="D38" s="104" t="s">
        <v>390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C15</f>
        <v>3900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409</v>
      </c>
      <c r="B41" s="104" t="s">
        <v>412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336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404</v>
      </c>
      <c r="B44" s="104" t="s">
        <v>410</v>
      </c>
      <c r="C44" s="104"/>
      <c r="D44" s="104" t="s">
        <v>410</v>
      </c>
      <c r="E44" s="104"/>
      <c r="F44" s="388"/>
      <c r="G44" s="2" t="s">
        <v>65</v>
      </c>
      <c r="H44" s="2" t="n">
        <f aca="false">((H40-(((H42/(1.2))*0.2)))/(H43))</f>
        <v>241.666666666667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308.333333333333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311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340</v>
      </c>
      <c r="H50" s="2" t="n">
        <f aca="false">H49-H41</f>
        <v>261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311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311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317"/>
      <c r="D67" s="317"/>
      <c r="E67" s="318"/>
      <c r="F67" s="388"/>
      <c r="G67" s="316" t="s">
        <v>14</v>
      </c>
      <c r="H67" s="32" t="n">
        <f aca="false">G18</f>
        <v>40526</v>
      </c>
      <c r="I67" s="317"/>
      <c r="J67" s="317"/>
      <c r="K67" s="318"/>
      <c r="L67" s="388"/>
      <c r="M67" s="316" t="s">
        <v>14</v>
      </c>
      <c r="N67" s="32" t="n">
        <f aca="false">G18</f>
        <v>40526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2836.82</v>
      </c>
      <c r="C70" s="317" t="n">
        <v>10000.0</v>
      </c>
      <c r="D70" s="32" t="n">
        <f aca="false">B70-A149</f>
        <v>2836.82</v>
      </c>
      <c r="E70" s="318" t="n">
        <f aca="false">D70/12</f>
        <v>236.401666666667</v>
      </c>
      <c r="F70" s="388"/>
      <c r="G70" s="366" t="s">
        <v>90</v>
      </c>
      <c r="H70" s="65" t="n">
        <f aca="false">H67*H69</f>
        <v>2836.82</v>
      </c>
      <c r="I70" s="317"/>
      <c r="J70" s="32" t="n">
        <f aca="false">H70-G151</f>
        <v>2836.82</v>
      </c>
      <c r="K70" s="318"/>
      <c r="L70" s="388"/>
      <c r="M70" s="366" t="s">
        <v>90</v>
      </c>
      <c r="N70" s="65" t="n">
        <f aca="false">N67*N69</f>
        <v>2836.82</v>
      </c>
      <c r="O70" s="317"/>
      <c r="P70" s="32" t="n">
        <f aca="false">N70-M151</f>
        <v>2836.82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317"/>
      <c r="D73" s="32"/>
      <c r="E73" s="318"/>
      <c r="F73" s="388"/>
      <c r="G73" s="366" t="s">
        <v>93</v>
      </c>
      <c r="H73" s="65" t="n">
        <f aca="false">H67*H72</f>
        <v>202.63</v>
      </c>
      <c r="I73" s="317"/>
      <c r="J73" s="32"/>
      <c r="K73" s="318"/>
      <c r="L73" s="388"/>
      <c r="M73" s="366" t="s">
        <v>93</v>
      </c>
      <c r="N73" s="65" t="n">
        <f aca="false">N67*N72</f>
        <v>202.63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200.0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5.0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275.0</v>
      </c>
      <c r="C80" s="317"/>
      <c r="D80" s="317"/>
      <c r="E80" s="404" t="n">
        <f aca="false">E79+D82</f>
        <v>928.166666666667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0.0</v>
      </c>
      <c r="C81" s="317"/>
      <c r="D81" s="317"/>
      <c r="E81" s="318" t="n">
        <f aca="false">E80/12</f>
        <v>77.3472222222222</v>
      </c>
      <c r="F81" s="388"/>
      <c r="G81" s="401" t="s">
        <v>280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314.166666666667</v>
      </c>
      <c r="C82" s="317"/>
      <c r="D82" s="32" t="n">
        <f aca="false">IF(A50="YES", 0, B82)</f>
        <v>314.166666666667</v>
      </c>
      <c r="E82" s="318"/>
      <c r="F82" s="388"/>
      <c r="G82" s="366" t="s">
        <v>281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200.0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200.0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4431.65333333333</v>
      </c>
      <c r="C87" s="317"/>
      <c r="D87" s="317"/>
      <c r="E87" s="318"/>
      <c r="F87" s="388"/>
      <c r="G87" s="412" t="s">
        <v>102</v>
      </c>
      <c r="H87" s="413" t="n">
        <f aca="false">SUM(J70:J86)</f>
        <v>5990.40333333333</v>
      </c>
      <c r="I87" s="317"/>
      <c r="J87" s="317"/>
      <c r="K87" s="318"/>
      <c r="L87" s="388"/>
      <c r="M87" s="412" t="s">
        <v>102</v>
      </c>
      <c r="N87" s="413" t="n">
        <f aca="false">SUM(P70:P86)</f>
        <v>5950.82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369.304444444444</v>
      </c>
      <c r="C88" s="317"/>
      <c r="D88" s="317"/>
      <c r="E88" s="318"/>
      <c r="F88" s="388"/>
      <c r="G88" s="316" t="s">
        <v>103</v>
      </c>
      <c r="H88" s="33" t="n">
        <f aca="false">H87/H29</f>
        <v>499.200277777778</v>
      </c>
      <c r="I88" s="317"/>
      <c r="J88" s="317"/>
      <c r="K88" s="318"/>
      <c r="L88" s="388"/>
      <c r="M88" s="316" t="s">
        <v>103</v>
      </c>
      <c r="N88" s="33" t="n">
        <f aca="false">N87/H29</f>
        <v>495.901666666667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261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9076.384</v>
      </c>
      <c r="C91" s="317"/>
      <c r="D91" s="317"/>
      <c r="E91" s="318"/>
      <c r="F91" s="388"/>
      <c r="G91" s="396" t="s">
        <v>114</v>
      </c>
      <c r="H91" s="27" t="n">
        <f aca="false">((H89*H29)+H87)*1.2</f>
        <v>7188.484</v>
      </c>
      <c r="I91" s="317"/>
      <c r="J91" s="317"/>
      <c r="K91" s="318"/>
      <c r="L91" s="388"/>
      <c r="M91" s="396" t="s">
        <v>114</v>
      </c>
      <c r="N91" s="27" t="n">
        <f aca="false">((N89*H29)+N87)</f>
        <v>5950.82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64.0729003630496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50.7456514723679</v>
      </c>
      <c r="I92" s="317"/>
      <c r="J92" s="317"/>
      <c r="K92" s="318"/>
      <c r="L92" s="388"/>
      <c r="M92" s="316" t="s">
        <v>115</v>
      </c>
      <c r="N92" s="33" t="n">
        <f aca="false">(N91/(1-N76))*N76</f>
        <v>50.4103348124244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9140.45690036305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9239.22965147237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8001.23033481242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78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761.704741696921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839.704741696921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1000.0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389</v>
      </c>
      <c r="B111" s="312" t="n">
        <v>30.0</v>
      </c>
      <c r="C111" s="312"/>
      <c r="D111" s="107" t="n">
        <v>200.0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393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0.0</v>
      </c>
      <c r="E118" s="107" t="n">
        <v>6000.0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2000.0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761.704741696921</v>
      </c>
      <c r="B134" s="321" t="n">
        <f aca="false">IF(A111="YES", B95, 0)</f>
        <v>78</v>
      </c>
      <c r="C134" s="325"/>
      <c r="D134" s="321" t="n">
        <f aca="false">B97</f>
        <v>839.704741696921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761.704741696921</v>
      </c>
      <c r="C137" s="317"/>
      <c r="D137" s="38" t="n">
        <f aca="false">IF(A111="YES", B95*B63, 0)</f>
        <v>78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839.704741696921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761.704741696921</v>
      </c>
      <c r="B143" s="38" t="n">
        <f aca="false">IF(A111="YES", B95, 0)</f>
        <v>78</v>
      </c>
      <c r="C143" s="317"/>
      <c r="D143" s="38" t="n">
        <f aca="false">B97</f>
        <v>839.704741696921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117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3900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634.991666666667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839.704741696921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761.704741696921</v>
      </c>
      <c r="B177" s="355" t="n">
        <f aca="false">IF(A111="YES", B95, 0)</f>
        <v>78</v>
      </c>
      <c r="C177" s="357"/>
      <c r="D177" s="355" t="n">
        <f aca="false">A177+B177</f>
        <v>839.704741696921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761.704741696921</v>
      </c>
      <c r="C180" s="353"/>
      <c r="D180" s="103" t="n">
        <f aca="false">IF(A111="YES", B95*B63, 0)</f>
        <v>78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839.704741696921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761.704741696921</v>
      </c>
      <c r="B186" s="103" t="n">
        <f aca="false">IF(A111="YES", B95, 0)</f>
        <v>78</v>
      </c>
      <c r="C186" s="353"/>
      <c r="D186" s="103" t="n">
        <f aca="false">B97</f>
        <v>839.704741696921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634.991666666667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2836.82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519.991666666667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3239.81166666667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2836.82</v>
      </c>
      <c r="C217" s="375" t="s">
        <v>221</v>
      </c>
      <c r="D217" s="317"/>
      <c r="E217" s="376" t="n">
        <f aca="false">B72</f>
        <v>0.005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3239.81166666667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180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64.0729003630496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290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45159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338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C15</f>
        <v>3900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335</v>
      </c>
      <c r="B41" s="104" t="s">
        <v>336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337</v>
      </c>
      <c r="C44" s="104"/>
      <c r="D44" s="104" t="s">
        <v>337</v>
      </c>
      <c r="E44" s="104"/>
      <c r="F44" s="388"/>
      <c r="G44" s="2" t="s">
        <v>65</v>
      </c>
      <c r="H44" s="2" t="n">
        <f aca="false">((H40-(((H42/(1.2))*0.2)))/(H43))</f>
        <v>241.666666666667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308.333333333333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311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340</v>
      </c>
      <c r="H50" s="2" t="n">
        <f aca="false">H49-H41</f>
        <v>261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311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317"/>
      <c r="D67" s="317"/>
      <c r="E67" s="318"/>
      <c r="F67" s="388"/>
      <c r="G67" s="316" t="s">
        <v>14</v>
      </c>
      <c r="H67" s="32" t="n">
        <f aca="false">G18</f>
        <v>40526</v>
      </c>
      <c r="I67" s="317"/>
      <c r="J67" s="317"/>
      <c r="K67" s="318"/>
      <c r="L67" s="388"/>
      <c r="M67" s="316" t="s">
        <v>14</v>
      </c>
      <c r="N67" s="32" t="n">
        <f aca="false">G18</f>
        <v>40526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C70</f>
        <v>10000</v>
      </c>
      <c r="C70" s="317" t="n">
        <v>10000</v>
      </c>
      <c r="D70" s="32" t="n">
        <f aca="false">B70-A149</f>
        <v>10000</v>
      </c>
      <c r="E70" s="318" t="n">
        <f aca="false">D70/12</f>
        <v>833.333333333333</v>
      </c>
      <c r="F70" s="388"/>
      <c r="G70" s="366" t="s">
        <v>90</v>
      </c>
      <c r="H70" s="65" t="n">
        <f aca="false">H67*H69</f>
        <v>2836.82</v>
      </c>
      <c r="I70" s="317"/>
      <c r="J70" s="32" t="n">
        <f aca="false">H70-G151</f>
        <v>2836.82</v>
      </c>
      <c r="K70" s="318"/>
      <c r="L70" s="388"/>
      <c r="M70" s="366" t="s">
        <v>90</v>
      </c>
      <c r="N70" s="65" t="n">
        <f aca="false">N67*N69</f>
        <v>2836.82</v>
      </c>
      <c r="O70" s="317"/>
      <c r="P70" s="32" t="n">
        <f aca="false">N70-M151</f>
        <v>2836.82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317"/>
      <c r="D73" s="32"/>
      <c r="E73" s="318"/>
      <c r="F73" s="388"/>
      <c r="G73" s="366" t="s">
        <v>93</v>
      </c>
      <c r="H73" s="65" t="n">
        <f aca="false">H67*H72</f>
        <v>202.63</v>
      </c>
      <c r="I73" s="317"/>
      <c r="J73" s="32"/>
      <c r="K73" s="318"/>
      <c r="L73" s="388"/>
      <c r="M73" s="366" t="s">
        <v>93</v>
      </c>
      <c r="N73" s="65" t="n">
        <f aca="false">N67*N72</f>
        <v>202.63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290</v>
      </c>
      <c r="C80" s="317"/>
      <c r="D80" s="317"/>
      <c r="E80" s="404" t="n">
        <f aca="false">E79+D82</f>
        <v>928.166666666667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</v>
      </c>
      <c r="C81" s="317"/>
      <c r="D81" s="317"/>
      <c r="E81" s="318" t="n">
        <f aca="false">E80/12</f>
        <v>77.3472222222222</v>
      </c>
      <c r="F81" s="388"/>
      <c r="G81" s="401" t="s">
        <v>280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314.166666666667</v>
      </c>
      <c r="C82" s="317"/>
      <c r="D82" s="32" t="n">
        <f aca="false">IF(A50="YES", 0, B82)</f>
        <v>314.166666666667</v>
      </c>
      <c r="E82" s="318"/>
      <c r="F82" s="388"/>
      <c r="G82" s="366" t="s">
        <v>281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11594.8333333333</v>
      </c>
      <c r="C87" s="317"/>
      <c r="D87" s="317"/>
      <c r="E87" s="318"/>
      <c r="F87" s="388"/>
      <c r="G87" s="412" t="s">
        <v>102</v>
      </c>
      <c r="H87" s="413" t="n">
        <f aca="false">SUM(J70:J86)</f>
        <v>5990.40333333333</v>
      </c>
      <c r="I87" s="317"/>
      <c r="J87" s="317"/>
      <c r="K87" s="318"/>
      <c r="L87" s="388"/>
      <c r="M87" s="412" t="s">
        <v>102</v>
      </c>
      <c r="N87" s="413" t="n">
        <f aca="false">SUM(P70:P86)</f>
        <v>5950.82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966.236111111111</v>
      </c>
      <c r="C88" s="317"/>
      <c r="D88" s="317"/>
      <c r="E88" s="318"/>
      <c r="F88" s="388"/>
      <c r="G88" s="316" t="s">
        <v>103</v>
      </c>
      <c r="H88" s="33" t="n">
        <f aca="false">H87/H29</f>
        <v>499.200277777778</v>
      </c>
      <c r="I88" s="317"/>
      <c r="J88" s="317"/>
      <c r="K88" s="318"/>
      <c r="L88" s="388"/>
      <c r="M88" s="316" t="s">
        <v>103</v>
      </c>
      <c r="N88" s="33" t="n">
        <f aca="false">N87/H29</f>
        <v>495.901666666667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261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14726.8333333333</v>
      </c>
      <c r="C91" s="317"/>
      <c r="D91" s="317"/>
      <c r="E91" s="318"/>
      <c r="F91" s="388"/>
      <c r="G91" s="396" t="s">
        <v>114</v>
      </c>
      <c r="H91" s="27" t="n">
        <f aca="false">((H89*H29)+H87)*1.2</f>
        <v>7188.484</v>
      </c>
      <c r="I91" s="317"/>
      <c r="J91" s="317"/>
      <c r="K91" s="318"/>
      <c r="L91" s="388"/>
      <c r="M91" s="396" t="s">
        <v>114</v>
      </c>
      <c r="N91" s="27" t="n">
        <f aca="false">((N89*H29)+N87)</f>
        <v>5950.82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124.753327954821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50.7456514723679</v>
      </c>
      <c r="I92" s="317"/>
      <c r="J92" s="317"/>
      <c r="K92" s="318"/>
      <c r="L92" s="388"/>
      <c r="M92" s="316" t="s">
        <v>115</v>
      </c>
      <c r="N92" s="33" t="n">
        <f aca="false">(N91/(1-N76))*N76</f>
        <v>50.4103348124244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14851.5866612882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9239.22965147237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8001.23033481242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60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1237.63222177401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1297.63222177401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18</v>
      </c>
      <c r="B111" s="312" t="n">
        <v>20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19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1237.63222177401</v>
      </c>
      <c r="B134" s="321" t="n">
        <f aca="false">IF(A111="YES", B95, 0)</f>
        <v>60</v>
      </c>
      <c r="C134" s="326"/>
      <c r="D134" s="321" t="n">
        <f aca="false">B97</f>
        <v>1297.63222177401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1237.63222177401</v>
      </c>
      <c r="C137" s="317"/>
      <c r="D137" s="38" t="n">
        <f aca="false">IF(A111="YES", B95*B63, 0)</f>
        <v>60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1297.63222177401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1237.63222177401</v>
      </c>
      <c r="B143" s="38" t="n">
        <f aca="false">IF(A111="YES", B95, 0)</f>
        <v>60</v>
      </c>
      <c r="C143" s="317"/>
      <c r="D143" s="38" t="n">
        <f aca="false">B97</f>
        <v>1297.63222177401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117</v>
      </c>
      <c r="B154" s="103" t="n">
        <f aca="false">B108</f>
        <v>400</v>
      </c>
      <c r="C154" s="38"/>
      <c r="D154" s="38" t="n">
        <f aca="false">IF(A111="YES", (A44/100*B111)*B131, 0)*0.1</f>
        <v>12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3900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628.99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1297.63222177401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1237.63222177401</v>
      </c>
      <c r="B177" s="355" t="n">
        <f aca="false">IF(A111="YES", B95, 0)</f>
        <v>60</v>
      </c>
      <c r="C177" s="358"/>
      <c r="D177" s="355" t="n">
        <f aca="false">B91</f>
        <v>14726.8333333333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1237.63222177401</v>
      </c>
      <c r="C180" s="353"/>
      <c r="D180" s="103" t="n">
        <f aca="false">IF(A111="YES", B95*B63, 0)</f>
        <v>60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1297.63222177401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1237.63222177401</v>
      </c>
      <c r="B186" s="103" t="n">
        <f aca="false">IF(A111="YES", B95, 0)</f>
        <v>60</v>
      </c>
      <c r="C186" s="353"/>
      <c r="D186" s="103" t="n">
        <f aca="false">B97</f>
        <v>1297.63222177401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B108</f>
        <v>400</v>
      </c>
      <c r="C197" s="103"/>
      <c r="D197" s="103" t="n">
        <f aca="false">IF(A111="YES", (A44/100*B111)*B131, 0)*0.1</f>
        <v>12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628.99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10000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459.99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10342.99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10000</v>
      </c>
      <c r="C217" s="375" t="s">
        <v>221</v>
      </c>
      <c r="D217" s="317"/>
      <c r="E217" s="376" t="n">
        <f aca="false">B72</f>
        <v>0.005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10342.99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120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124.753327954821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290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60</v>
      </c>
      <c r="E32" s="226"/>
      <c r="F32" s="63"/>
      <c r="G32" s="227" t="s">
        <v>243</v>
      </c>
      <c r="H32" s="225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560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348</v>
      </c>
      <c r="B41" s="241" t="n">
        <f aca="false">IF(B38="YES", D38+A41, D38)</f>
        <v>560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349</v>
      </c>
      <c r="E44" s="104"/>
      <c r="F44" s="63"/>
      <c r="G44" s="63" t="s">
        <v>257</v>
      </c>
      <c r="H44" s="238" t="str">
        <f aca="false">H32</f>
        <v>60</v>
      </c>
      <c r="I44" s="394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561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339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1638</v>
      </c>
      <c r="C70" s="215" t="n">
        <v>10000</v>
      </c>
      <c r="D70" s="291" t="n">
        <f aca="false">B70-A149</f>
        <v>1638</v>
      </c>
      <c r="E70" s="216" t="n">
        <f aca="false">D70/12</f>
        <v>136.5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2252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187.666666666667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8264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70.0056474384833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8334.00564743848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72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694.500470619874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766.500470619874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4" t="n">
        <v>20</v>
      </c>
      <c r="C111" s="314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694.500470619874</v>
      </c>
      <c r="B134" s="321" t="n">
        <f aca="false">IF(A111="YES", B95, 0)</f>
        <v>72</v>
      </c>
      <c r="C134" s="326"/>
      <c r="D134" s="321" t="n">
        <f aca="false">B97</f>
        <v>766.500470619874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694.500470619874</v>
      </c>
      <c r="C137" s="317"/>
      <c r="D137" s="38" t="n">
        <f aca="false">IF(A111="YES", B95*B63, 0)</f>
        <v>72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766.500470619874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694.500470619874</v>
      </c>
      <c r="B143" s="38" t="n">
        <f aca="false">IF(A111="YES", B95, 0)</f>
        <v>72</v>
      </c>
      <c r="C143" s="317"/>
      <c r="D143" s="38" t="n">
        <f aca="false">B97</f>
        <v>766.500470619874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14.4</v>
      </c>
      <c r="H148" s="103" t="n">
        <f aca="false">G108-100</f>
        <v>139.988</v>
      </c>
      <c r="I148" s="103"/>
      <c r="J148" s="103" t="n">
        <f aca="false">(H145+J145+G148+H148)-H151</f>
        <v>1403.24633333333</v>
      </c>
      <c r="K148" s="105"/>
      <c r="L148" s="63"/>
      <c r="M148" s="111" t="n">
        <f aca="false">IF(M111="YES", ((A41*N111)*0.1)*(M133), 0)</f>
        <v>14.4</v>
      </c>
      <c r="N148" s="103" t="n">
        <f aca="false">M108-100</f>
        <v>99.99</v>
      </c>
      <c r="O148" s="103"/>
      <c r="P148" s="103" t="n">
        <f aca="false">(N145+P145+M148+N148)-N151</f>
        <v>1363.24833333333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117</v>
      </c>
      <c r="B154" s="103" t="n">
        <f aca="false">B108</f>
        <v>0</v>
      </c>
      <c r="C154" s="38"/>
      <c r="D154" s="38" t="n">
        <f aca="false">IF(A111="YES", (A41/100*B111)*B131, 0)*0.1</f>
        <v>14.4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231.39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766.500470619874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694.500470619874</v>
      </c>
      <c r="B177" s="355" t="n">
        <f aca="false">IF(A111="YES", B95, 0)</f>
        <v>72</v>
      </c>
      <c r="C177" s="358"/>
      <c r="D177" s="355" t="n">
        <f aca="false">B91</f>
        <v>8264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694.500470619874</v>
      </c>
      <c r="C180" s="353"/>
      <c r="D180" s="103" t="n">
        <f aca="false">IF(A111="YES", B95*B63, 0)</f>
        <v>72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766.500470619874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694.500470619874</v>
      </c>
      <c r="B186" s="103" t="n">
        <f aca="false">IF(A111="YES", B95, 0)</f>
        <v>72</v>
      </c>
      <c r="C186" s="353"/>
      <c r="D186" s="103" t="n">
        <f aca="false">B97</f>
        <v>766.500470619874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B108</f>
        <v>0</v>
      </c>
      <c r="C197" s="103"/>
      <c r="D197" s="103" t="n">
        <f aca="false">IF(A111="YES", (A41/100*B111)*B131, 0)*0.1</f>
        <v>14.4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231.39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243.99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1764.99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1764.99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144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70.0056474384833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0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243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233</v>
      </c>
      <c r="B41" s="241" t="n">
        <f aca="false">IF(B38="YES", D38+A41, D38)</f>
        <v>550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350</v>
      </c>
      <c r="E44" s="104"/>
      <c r="F44" s="63"/>
      <c r="G44" s="63" t="s">
        <v>257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24600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1722</v>
      </c>
      <c r="C70" s="215" t="n">
        <v>10000</v>
      </c>
      <c r="D70" s="291" t="n">
        <f aca="false">B70-A149</f>
        <v>1722</v>
      </c>
      <c r="E70" s="216" t="n">
        <f aca="false">D70/12</f>
        <v>143.5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246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3346.58333333333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278.881944444444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11230.3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79.2780354981848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11309.5780354982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78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942.464836291516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1020.46483629152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942.464836291516</v>
      </c>
      <c r="B134" s="321" t="n">
        <f aca="false">IF(A111="YES", B95, 0)</f>
        <v>78</v>
      </c>
      <c r="C134" s="326"/>
      <c r="D134" s="321" t="n">
        <f aca="false">B97</f>
        <v>1020.46483629152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942.464836291516</v>
      </c>
      <c r="C137" s="317"/>
      <c r="D137" s="38" t="n">
        <f aca="false">IF(A111="YES", B95*B63, 0)</f>
        <v>78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1020.46483629152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942.464836291516</v>
      </c>
      <c r="B143" s="38" t="n">
        <f aca="false">IF(A111="YES", B95, 0)</f>
        <v>78</v>
      </c>
      <c r="C143" s="317"/>
      <c r="D143" s="38" t="n">
        <f aca="false">B97</f>
        <v>1020.46483629152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1400.84633333333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1360.84833333333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246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763.991666666667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1020.46483629152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942.464836291516</v>
      </c>
      <c r="B177" s="355" t="n">
        <f aca="false">IF(A111="YES", B95, 0)</f>
        <v>78</v>
      </c>
      <c r="C177" s="358"/>
      <c r="D177" s="355" t="n">
        <f aca="false">B97</f>
        <v>1020.46483629152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942.464836291516</v>
      </c>
      <c r="C180" s="353"/>
      <c r="D180" s="103" t="n">
        <f aca="false">IF(A111="YES", B95*B63, 0)</f>
        <v>78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1020.46483629152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942.464836291516</v>
      </c>
      <c r="B186" s="103" t="n">
        <f aca="false">IF(A111="YES", B95, 0)</f>
        <v>78</v>
      </c>
      <c r="C186" s="353"/>
      <c r="D186" s="103" t="n">
        <f aca="false">B97</f>
        <v>1020.46483629152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246</v>
      </c>
      <c r="B197" s="103" t="n">
        <f aca="false">B108</f>
        <v>400</v>
      </c>
      <c r="C197" s="103"/>
      <c r="D197" s="103" t="n">
        <f aca="false">IF(A111="YES", (A41/100*B111)*B131, 0)*0.1</f>
        <v>18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763.991666666667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1722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246</v>
      </c>
      <c r="C211" s="320" t="s">
        <v>217</v>
      </c>
      <c r="D211" s="370" t="n">
        <f aca="false">B225+E221+B221+B223</f>
        <v>519.991666666667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1995.99166666667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1722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246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1995.99166666667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180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79.2780354981848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19500.0</v>
      </c>
      <c r="C9" s="14" t="n">
        <f aca="false">B9*0.2</f>
        <v>3900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393</v>
      </c>
      <c r="C38" s="223"/>
      <c r="D38" s="104" t="s">
        <v>390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403</v>
      </c>
      <c r="B41" s="241" t="str">
        <f aca="false">IF(B38="YES", D38+A41, D38)</f>
        <v>500</v>
      </c>
      <c r="C41" s="241"/>
      <c r="D41" s="104" t="s">
        <v>409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392</v>
      </c>
      <c r="B44" s="104" t="s">
        <v>410</v>
      </c>
      <c r="C44" s="104"/>
      <c r="D44" s="104" t="s">
        <v>403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411</v>
      </c>
      <c r="C47" s="429"/>
      <c r="D47" s="104" t="s">
        <v>411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1638</v>
      </c>
      <c r="C70" s="215" t="n">
        <v>10000.0</v>
      </c>
      <c r="D70" s="291" t="n">
        <f aca="false">B70-A149</f>
        <v>1638</v>
      </c>
      <c r="E70" s="216" t="n">
        <f aca="false">D70/12</f>
        <v>136.5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275.0</v>
      </c>
      <c r="C80" s="215"/>
      <c r="D80" s="215"/>
      <c r="E80" s="430" t="n">
        <f aca="false">E79+D82</f>
        <v>928.166666666667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0.0</v>
      </c>
      <c r="C81" s="215"/>
      <c r="D81" s="215"/>
      <c r="E81" s="216" t="n">
        <f aca="false">E80/12</f>
        <v>77.3472222222222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314.166666666667</v>
      </c>
      <c r="C82" s="215"/>
      <c r="D82" s="291" t="n">
        <f aca="false">IF(A50="YES", 0, B82)</f>
        <v>314.166666666667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3232.83333333333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269.402777777778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9244.83333333333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78.3144413069786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9323.14777464031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776.928981220026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776.928981220026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393</v>
      </c>
      <c r="B111" s="312" t="n">
        <v>0.0</v>
      </c>
      <c r="C111" s="312"/>
      <c r="D111" s="107" t="s">
        <v>401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393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776.928981220026</v>
      </c>
      <c r="B134" s="321" t="n">
        <f aca="false">IF(A111="YES", B95, 0)</f>
        <v>0</v>
      </c>
      <c r="C134" s="326"/>
      <c r="D134" s="321" t="n">
        <f aca="false">B97</f>
        <v>776.928981220026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6992.36083098023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6992.36083098023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776.928981220026</v>
      </c>
      <c r="B143" s="38" t="n">
        <f aca="false">IF(A111="YES", B95, 0)</f>
        <v>0</v>
      </c>
      <c r="C143" s="317"/>
      <c r="D143" s="38" t="n">
        <f aca="false">B97</f>
        <v>776.928981220026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117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616.99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776.928981220026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776.928981220026</v>
      </c>
      <c r="B177" s="355" t="n">
        <f aca="false">IF(A111="YES", B95, 0)</f>
        <v>0</v>
      </c>
      <c r="C177" s="358"/>
      <c r="D177" s="355" t="n">
        <f aca="false">B91</f>
        <v>9244.83333333333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6992.36083098023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6992.36083098023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776.928981220026</v>
      </c>
      <c r="B186" s="103" t="n">
        <f aca="false">IF(A111="YES", B95, 0)</f>
        <v>0</v>
      </c>
      <c r="C186" s="353"/>
      <c r="D186" s="103" t="n">
        <f aca="false">B97</f>
        <v>776.928981220026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B154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616.99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1860.99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1860.99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78.3144413069786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8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19500.0</v>
      </c>
      <c r="C9" s="14" t="n">
        <f aca="false">B9*0.2</f>
        <v>3900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9.00</v>
      </c>
      <c r="E32" s="226"/>
      <c r="F32" s="63"/>
      <c r="G32" s="227" t="s">
        <v>243</v>
      </c>
      <c r="H32" s="225" t="str">
        <f aca="false">A41</f>
        <v>9.00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509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389</v>
      </c>
      <c r="C38" s="223"/>
      <c r="D38" s="104" t="s">
        <v>390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418</v>
      </c>
      <c r="B41" s="241" t="n">
        <f aca="false">IF(B38="YES", D38+A41, D38)</f>
        <v>509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9.00</v>
      </c>
      <c r="I44" s="394" t="n">
        <f aca="false">((A41*(B35-1))+D32)/B35</f>
        <v>9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510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510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1638</v>
      </c>
      <c r="C70" s="215" t="n">
        <v>10000.0</v>
      </c>
      <c r="D70" s="291" t="n">
        <f aca="false">B70-A149</f>
        <v>1638</v>
      </c>
      <c r="E70" s="216" t="n">
        <f aca="false">D70/12</f>
        <v>136.5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0.0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0.0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2918.66666666667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243.222222222222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8930.66666666667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75.6530859217427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9006.31975258841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11.7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750.526646049034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762.226646049034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342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389</v>
      </c>
      <c r="B111" s="312" t="n">
        <v>30.0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393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750.526646049034</v>
      </c>
      <c r="B134" s="321" t="n">
        <f aca="false">IF(A111="YES", B95, 0)</f>
        <v>11.7</v>
      </c>
      <c r="C134" s="326"/>
      <c r="D134" s="321" t="n">
        <f aca="false">B97</f>
        <v>762.226646049034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750.526646049034</v>
      </c>
      <c r="C137" s="317"/>
      <c r="D137" s="38" t="n">
        <f aca="false">IF(A111="YES", B95*B63, 0)</f>
        <v>11.7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762.226646049034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750.526646049034</v>
      </c>
      <c r="B143" s="38" t="n">
        <f aca="false">IF(A111="YES", B95, 0)</f>
        <v>11.7</v>
      </c>
      <c r="C143" s="317"/>
      <c r="D143" s="38" t="n">
        <f aca="false">B97</f>
        <v>762.226646049034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2.16</v>
      </c>
      <c r="H148" s="103" t="n">
        <f aca="false">G108-100</f>
        <v>139.988</v>
      </c>
      <c r="I148" s="103"/>
      <c r="J148" s="103" t="n">
        <f aca="false">(H145+J145+G148+H148)-H151</f>
        <v>1391.00633333333</v>
      </c>
      <c r="K148" s="105"/>
      <c r="L148" s="63"/>
      <c r="M148" s="111" t="n">
        <f aca="false">IF(M111="YES", ((A41*N111)*0.1)*(M133), 0)</f>
        <v>2.16</v>
      </c>
      <c r="N148" s="103" t="n">
        <f aca="false">M108-100</f>
        <v>99.99</v>
      </c>
      <c r="O148" s="103"/>
      <c r="P148" s="103" t="n">
        <f aca="false">(N145+P145+M148+N148)-N151</f>
        <v>1351.00833333333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117</v>
      </c>
      <c r="B154" s="38" t="n">
        <f aca="false">B108</f>
        <v>400</v>
      </c>
      <c r="C154" s="38"/>
      <c r="D154" s="38" t="n">
        <f aca="false">IF(A111="YES", (A41/100*B111)*B131, 0)*0.1</f>
        <v>3.24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620.23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762.226646049034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750.526646049034</v>
      </c>
      <c r="B177" s="355" t="n">
        <f aca="false">IF(A111="YES", B95, 0)</f>
        <v>11.7</v>
      </c>
      <c r="C177" s="358"/>
      <c r="D177" s="355" t="n">
        <f aca="false">B91</f>
        <v>8930.66666666667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750.526646049034</v>
      </c>
      <c r="C180" s="353"/>
      <c r="D180" s="103" t="n">
        <f aca="false">IF(A111="YES", B95*B63, 0)</f>
        <v>11.7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762.226646049034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750.526646049034</v>
      </c>
      <c r="B186" s="103" t="n">
        <f aca="false">IF(A111="YES", B95, 0)</f>
        <v>11.7</v>
      </c>
      <c r="C186" s="353"/>
      <c r="D186" s="103" t="n">
        <f aca="false">B97</f>
        <v>762.226646049034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B108</f>
        <v>400</v>
      </c>
      <c r="C197" s="103"/>
      <c r="D197" s="103" t="n">
        <f aca="false">IF(A111="YES", (A41/100*B111)*B131, 0)*0.1</f>
        <v>3.24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620.23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372.39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1893.39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1893.39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32.4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75.6530859217427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4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9.00</v>
      </c>
      <c r="E32" s="226"/>
      <c r="F32" s="63"/>
      <c r="G32" s="227" t="s">
        <v>243</v>
      </c>
      <c r="H32" s="225" t="str">
        <f aca="false">A41</f>
        <v>9.00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509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353</v>
      </c>
      <c r="B41" s="241" t="n">
        <f aca="false">IF(B38="YES", D38+A41, D38)</f>
        <v>509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9.00</v>
      </c>
      <c r="I44" s="394" t="n">
        <f aca="false">((A41*(B35-1))+D32)/B35</f>
        <v>9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510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510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1638</v>
      </c>
      <c r="C70" s="215" t="n">
        <v>10000</v>
      </c>
      <c r="D70" s="291" t="n">
        <f aca="false">B70-A149</f>
        <v>1638</v>
      </c>
      <c r="E70" s="216" t="n">
        <f aca="false">D70/12</f>
        <v>136.5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290</v>
      </c>
      <c r="C80" s="215"/>
      <c r="D80" s="215"/>
      <c r="E80" s="430" t="n">
        <f aca="false">E79+D82</f>
        <v>928.166666666667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77.3472222222222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314.166666666667</v>
      </c>
      <c r="C82" s="215"/>
      <c r="D82" s="291" t="n">
        <f aca="false">IF(A50="YES", 0, B82)</f>
        <v>314.166666666667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3232.83333333333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269.402777777778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11093.8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78.3144413069786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11172.114441307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14.04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931.009536775582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945.049536775582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931.009536775582</v>
      </c>
      <c r="B134" s="321" t="n">
        <f aca="false">IF(A111="YES", B95, 0)</f>
        <v>14.04</v>
      </c>
      <c r="C134" s="326"/>
      <c r="D134" s="321" t="n">
        <f aca="false">B97</f>
        <v>945.049536775582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931.009536775582</v>
      </c>
      <c r="C137" s="317"/>
      <c r="D137" s="38" t="n">
        <f aca="false">IF(A111="YES", B95*B63, 0)</f>
        <v>14.04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945.049536775582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931.009536775582</v>
      </c>
      <c r="B143" s="38" t="n">
        <f aca="false">IF(A111="YES", B95, 0)</f>
        <v>14.04</v>
      </c>
      <c r="C143" s="317"/>
      <c r="D143" s="38" t="n">
        <f aca="false">B97</f>
        <v>945.049536775582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2.16</v>
      </c>
      <c r="H148" s="103" t="n">
        <f aca="false">G108-100</f>
        <v>139.988</v>
      </c>
      <c r="I148" s="103"/>
      <c r="J148" s="103" t="n">
        <f aca="false">(H145+J145+G148+H148)-H151</f>
        <v>1391.00633333333</v>
      </c>
      <c r="K148" s="105"/>
      <c r="L148" s="63"/>
      <c r="M148" s="111" t="n">
        <f aca="false">IF(M111="YES", ((A41*N111)*0.1)*(M133), 0)</f>
        <v>2.16</v>
      </c>
      <c r="N148" s="103" t="n">
        <f aca="false">M108-100</f>
        <v>99.99</v>
      </c>
      <c r="O148" s="103"/>
      <c r="P148" s="103" t="n">
        <f aca="false">(N145+P145+M148+N148)-N151</f>
        <v>1351.00833333333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117</v>
      </c>
      <c r="B154" s="38" t="n">
        <f aca="false">B108</f>
        <v>400</v>
      </c>
      <c r="C154" s="38"/>
      <c r="D154" s="38" t="n">
        <f aca="false">IF(A111="YES", (A41/100*B111)*B131, 0)*0.1</f>
        <v>3.24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620.231666666667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945.049536775582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931.009536775582</v>
      </c>
      <c r="B177" s="355" t="n">
        <f aca="false">IF(A111="YES", B95, 0)</f>
        <v>14.04</v>
      </c>
      <c r="C177" s="358"/>
      <c r="D177" s="355" t="n">
        <f aca="false">B91</f>
        <v>11093.8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931.009536775582</v>
      </c>
      <c r="C180" s="353"/>
      <c r="D180" s="103" t="n">
        <f aca="false">IF(A111="YES", B95*B63, 0)</f>
        <v>14.04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945.049536775582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931.009536775582</v>
      </c>
      <c r="B186" s="103" t="n">
        <f aca="false">IF(A111="YES", B95, 0)</f>
        <v>14.04</v>
      </c>
      <c r="C186" s="353"/>
      <c r="D186" s="103" t="n">
        <f aca="false">B97</f>
        <v>945.049536775582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B108</f>
        <v>400</v>
      </c>
      <c r="C197" s="103"/>
      <c r="D197" s="103" t="n">
        <f aca="false">IF(A111="YES", (A41/100*B111)*B131, 0)*0.1</f>
        <v>3.24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620.231666666667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372.391666666667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1893.39166666667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1893.39166666667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32.4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78.3144413069786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24600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1722</v>
      </c>
      <c r="C70" s="215" t="n">
        <v>10000</v>
      </c>
      <c r="D70" s="291" t="n">
        <f aca="false">B70-A149</f>
        <v>1722</v>
      </c>
      <c r="E70" s="216" t="n">
        <f aca="false">D70/12</f>
        <v>143.5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246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3346.58333333333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278.881944444444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9358.58333333333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79.2780354981848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9437.86136883152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786.488447402627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786.488447402627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s">
        <v>291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786.488447402627</v>
      </c>
      <c r="B134" s="321" t="n">
        <f aca="false">IF(A111="YES", B95, 0)</f>
        <v>0</v>
      </c>
      <c r="C134" s="326"/>
      <c r="D134" s="321" t="n">
        <f aca="false">B97</f>
        <v>786.488447402627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7078.39602662364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7078.39602662364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786.488447402627</v>
      </c>
      <c r="B143" s="38" t="n">
        <f aca="false">IF(A111="YES", B95, 0)</f>
        <v>0</v>
      </c>
      <c r="C143" s="317"/>
      <c r="D143" s="38" t="n">
        <f aca="false">B97</f>
        <v>786.488447402627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246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745.99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786.488447402627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786.488447402627</v>
      </c>
      <c r="B177" s="355" t="n">
        <f aca="false">IF(A111="YES", B95, 0)</f>
        <v>0</v>
      </c>
      <c r="C177" s="358"/>
      <c r="D177" s="355" t="n">
        <f aca="false">B91</f>
        <v>9358.58333333333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7078.39602662364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7078.39602662364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786.488447402627</v>
      </c>
      <c r="B186" s="103" t="n">
        <f aca="false">IF(A111="YES", B95, 0)</f>
        <v>0</v>
      </c>
      <c r="C186" s="353"/>
      <c r="D186" s="103" t="n">
        <f aca="false">B97</f>
        <v>786.488447402627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246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745.99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1722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246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1815.99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1722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246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1815.99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79.2780354981848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8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19500.0</v>
      </c>
      <c r="C9" s="14" t="n">
        <f aca="false">B9*0.2</f>
        <v>3900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393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35.0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0.0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650.595727376939</v>
      </c>
      <c r="F33" s="232"/>
      <c r="G33" s="232"/>
      <c r="H33" s="47"/>
      <c r="I33" s="2"/>
      <c r="J33" s="34" t="s">
        <v>356</v>
      </c>
      <c r="K33" s="48" t="n">
        <f aca="false">E21</f>
        <v>19500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650.595727376939</v>
      </c>
      <c r="B36" s="232" t="str">
        <f aca="false">IF(B26="YES", K42, "0.00")</f>
        <v>0.00</v>
      </c>
      <c r="C36" s="232"/>
      <c r="D36" s="232"/>
      <c r="E36" s="232" t="n">
        <f aca="false">K31</f>
        <v>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19500</v>
      </c>
      <c r="L39" s="2" t="n">
        <f aca="false">(L47*K46)+K44</f>
        <v>23978.0240532716</v>
      </c>
      <c r="N39" s="1" t="n">
        <f aca="false">K39-L39</f>
        <v>-4478.02405327164</v>
      </c>
      <c r="P39" s="212"/>
    </row>
    <row r="40" customFormat="false" ht="17.35" hidden="false" customHeight="false" outlineLevel="0" collapsed="false">
      <c r="A40" s="107" t="n">
        <f aca="false">E36*A45/100</f>
        <v>10875.0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0</v>
      </c>
      <c r="L40" s="2" t="n">
        <f aca="false">K39-L39</f>
        <v>-4478.02405327164</v>
      </c>
      <c r="N40" s="1" t="n">
        <f aca="false">N38-N39</f>
        <v>7389.70405327164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0</v>
      </c>
      <c r="L44" s="2"/>
      <c r="P44" s="212"/>
    </row>
    <row r="45" customFormat="false" ht="17.35" hidden="false" customHeight="false" outlineLevel="0" collapsed="false">
      <c r="A45" s="450" t="n">
        <v>30.0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19500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29.9725300665895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650.595727376939</v>
      </c>
      <c r="L47" s="2" t="n">
        <f aca="false">L49-K42</f>
        <v>800</v>
      </c>
      <c r="M47" s="1" t="n">
        <f aca="false">K47-L47</f>
        <v>-149.404272623061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650.595727376939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650.595727376939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6162.41193353781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189.713509027778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2997.23541666667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396.817083333333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650.595727376939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650.595727376939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650.595727376939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650.595727376939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23249.996</v>
      </c>
      <c r="C81" s="93"/>
      <c r="D81" s="93"/>
      <c r="E81" s="113"/>
      <c r="F81" s="25" t="s">
        <v>105</v>
      </c>
      <c r="G81" s="27" t="n">
        <f aca="false">G158</f>
        <v>23249.996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0</v>
      </c>
      <c r="C82" s="93"/>
      <c r="D82" s="93"/>
      <c r="E82" s="113"/>
      <c r="F82" s="31" t="s">
        <v>106</v>
      </c>
      <c r="G82" s="33" t="n">
        <f aca="false">IF(A111 = "Yes", A40, 0)</f>
        <v>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34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0</v>
      </c>
      <c r="C86" s="93"/>
      <c r="D86" s="93"/>
      <c r="E86" s="113"/>
      <c r="F86" s="31" t="s">
        <v>110</v>
      </c>
      <c r="G86" s="33" t="n">
        <f aca="false">(G82/((1+G84)^(G85+1)))</f>
        <v>0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0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0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27.3214908604959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23249.996</v>
      </c>
      <c r="C88" s="93"/>
      <c r="D88" s="93"/>
      <c r="E88" s="113"/>
      <c r="F88" s="31" t="s">
        <v>112</v>
      </c>
      <c r="G88" s="33" t="n">
        <f aca="false">G81-G86</f>
        <v>23249.996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850.978305639138</v>
      </c>
      <c r="C89" s="93"/>
      <c r="D89" s="93"/>
      <c r="E89" s="113"/>
      <c r="F89" s="31" t="s">
        <v>113</v>
      </c>
      <c r="G89" s="33" t="n">
        <f aca="false">(G88/G87)</f>
        <v>775.710156878509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28933.2623917307</v>
      </c>
      <c r="C90" s="93"/>
      <c r="D90" s="93"/>
      <c r="E90" s="113"/>
      <c r="F90" s="31" t="s">
        <v>114</v>
      </c>
      <c r="G90" s="33" t="n">
        <f aca="false">((G89*(G85))+G77)</f>
        <v>27149.8554907478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28933.2623917307</v>
      </c>
      <c r="C92" s="93"/>
      <c r="D92" s="93"/>
      <c r="E92" s="113"/>
      <c r="F92" s="56" t="s">
        <v>116</v>
      </c>
      <c r="G92" s="65" t="n">
        <f aca="false">(G90+G91)</f>
        <v>27149.8554907478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850.978305639138</v>
      </c>
      <c r="C95" s="93"/>
      <c r="D95" s="93"/>
      <c r="E95" s="113"/>
      <c r="F95" s="95" t="s">
        <v>118</v>
      </c>
      <c r="G95" s="96" t="n">
        <f aca="false">G92/(G85)</f>
        <v>775.710156878509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850.978305639138</v>
      </c>
      <c r="C96" s="93"/>
      <c r="D96" s="93"/>
      <c r="E96" s="113"/>
      <c r="F96" s="97" t="s">
        <v>119</v>
      </c>
      <c r="G96" s="98" t="n">
        <f aca="false">G94+G95</f>
        <v>775.710156878509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393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0.1565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399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19500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23400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23400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23400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19500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19500</v>
      </c>
      <c r="H135" s="153" t="n">
        <f aca="false">C125+E125+G125+H128</f>
        <v>21458.33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3900</v>
      </c>
      <c r="H137" s="33" t="n">
        <f aca="false">(H135+H136)*20%</f>
        <v>4291.666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23400</v>
      </c>
      <c r="H141" s="157" t="n">
        <f aca="false">(H135+H136+H139+H140+H137)-H138</f>
        <v>25749.996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23400</v>
      </c>
      <c r="H147" s="164" t="n">
        <f aca="false">H141-((H144*1.2)+(H145*1.2)+(H146*1.2)+(H142*1.2))</f>
        <v>25749.996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-17743.055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23249.996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850.978305639138</v>
      </c>
      <c r="B167" s="177" t="str">
        <f aca="false">B94</f>
        <v>0</v>
      </c>
      <c r="C167" s="174"/>
      <c r="D167" s="174"/>
      <c r="E167" s="177" t="n">
        <f aca="false">B96</f>
        <v>850.978305639138</v>
      </c>
      <c r="F167" s="23"/>
      <c r="G167" s="23" t="n">
        <f aca="false">ROUND(G95, 2)</f>
        <v>775.71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23249.996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6524.24469736981</v>
      </c>
      <c r="B182" s="103" t="str">
        <f aca="false">B114</f>
        <v>239.99</v>
      </c>
      <c r="C182" s="103"/>
      <c r="D182" s="23"/>
      <c r="E182" s="103" t="n">
        <f aca="false">E179+A182+B182+A185</f>
        <v>30024.2306973698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2239.99</v>
      </c>
      <c r="C185" s="103"/>
      <c r="D185" s="23"/>
      <c r="E185" s="103" t="n">
        <f aca="false">IF(A40=0,(E167),(E170+A185))</f>
        <v>850.978305639138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</f>
        <v>0</v>
      </c>
      <c r="B188" s="103" t="n">
        <f aca="false">(G158*B67)/1.2</f>
        <v>189.713509027778</v>
      </c>
      <c r="C188" s="93"/>
      <c r="D188" s="93"/>
      <c r="E188" s="103" t="n">
        <f aca="false">(E40*A108)*0.1*C45/100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289.705175694444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850.978305639138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3965.12230563914</v>
      </c>
      <c r="B201" s="186" t="n">
        <f aca="false">E179+A201+B182+A185</f>
        <v>27465.1083056391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850.978305639138</v>
      </c>
      <c r="B212" s="177" t="str">
        <f aca="false">B167</f>
        <v>0</v>
      </c>
      <c r="C212" s="174"/>
      <c r="D212" s="174"/>
      <c r="E212" s="177" t="n">
        <f aca="false">E167</f>
        <v>850.978305639138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23249.996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6524.24469736981</v>
      </c>
      <c r="B224" s="103" t="str">
        <f aca="false">B182</f>
        <v>239.99</v>
      </c>
      <c r="C224" s="103"/>
      <c r="D224" s="113"/>
      <c r="E224" s="103" t="n">
        <f aca="false">E182</f>
        <v>30024.2306973698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850.978305639138</v>
      </c>
      <c r="B230" s="103" t="str">
        <f aca="false">B167</f>
        <v>0</v>
      </c>
      <c r="C230" s="186"/>
      <c r="D230" s="186"/>
      <c r="E230" s="103" t="n">
        <f aca="false">E167</f>
        <v>850.978305639138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0</v>
      </c>
      <c r="B233" s="103" t="n">
        <f aca="false">E185</f>
        <v>850.978305639138</v>
      </c>
      <c r="C233" s="93"/>
      <c r="D233" s="93"/>
      <c r="E233" s="103" t="n">
        <f aca="false">J18*0.000006*100*1.2</f>
        <v>29.17872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0</v>
      </c>
      <c r="B236" s="103" t="n">
        <f aca="false">E233+A236</f>
        <v>29.17872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189.713509027778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2248.03517569445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2569.12239173067</v>
      </c>
      <c r="C254" s="197"/>
      <c r="D254" s="198" t="s">
        <v>216</v>
      </c>
      <c r="E254" s="198"/>
      <c r="F254" s="200" t="n">
        <f aca="false">F261+F267+F269+B270+B271</f>
        <v>227.656210833333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2441.45784756401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2569.12239173067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227.656210833333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2441.45784756401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6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19500.0</v>
      </c>
      <c r="C9" s="14" t="n">
        <f aca="false">B9*0.2</f>
        <v>3900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393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36.0</v>
      </c>
      <c r="P29" s="212"/>
    </row>
    <row r="30" customFormat="false" ht="17.9" hidden="false" customHeight="false" outlineLevel="0" collapsed="false">
      <c r="A30" s="31" t="s">
        <v>181</v>
      </c>
      <c r="B30" s="104" t="s">
        <v>403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13050.0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379.726765171556</v>
      </c>
      <c r="F33" s="232"/>
      <c r="G33" s="232"/>
      <c r="H33" s="47"/>
      <c r="I33" s="2"/>
      <c r="J33" s="34" t="s">
        <v>356</v>
      </c>
      <c r="K33" s="48" t="n">
        <f aca="false">E21</f>
        <v>19500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379.726765171556</v>
      </c>
      <c r="B36" s="232" t="str">
        <f aca="false">IF(B26="YES", K42, "0.00")</f>
        <v>0.00</v>
      </c>
      <c r="C36" s="232"/>
      <c r="D36" s="232"/>
      <c r="E36" s="232" t="n">
        <f aca="false">K31</f>
        <v>13050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19500</v>
      </c>
      <c r="L39" s="2" t="n">
        <f aca="false">(L47*K46)+K44</f>
        <v>32402.4164558611</v>
      </c>
      <c r="N39" s="1" t="n">
        <f aca="false">K39-L39</f>
        <v>-12902.4164558611</v>
      </c>
      <c r="P39" s="212"/>
    </row>
    <row r="40" customFormat="false" ht="17.35" hidden="false" customHeight="false" outlineLevel="0" collapsed="false">
      <c r="A40" s="107" t="n">
        <f aca="false">E36*A45/100</f>
        <v>13050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10875</v>
      </c>
      <c r="L40" s="2" t="n">
        <f aca="false">K39-L39</f>
        <v>-12902.4164558611</v>
      </c>
      <c r="N40" s="1" t="n">
        <f aca="false">N38-N39</f>
        <v>15814.0964558611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7842.36287809211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11657.6371219079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30.7000669722112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379.726765171556</v>
      </c>
      <c r="L47" s="2" t="n">
        <f aca="false">L49-K42</f>
        <v>800</v>
      </c>
      <c r="M47" s="1" t="n">
        <f aca="false">K47-L47</f>
        <v>-420.273234828444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379.726765171556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379.726765171556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5189.91603668431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193.749966666667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3039.45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405.26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379.726765171556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379.726765171556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379.726765171556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379.726765171556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23249.996</v>
      </c>
      <c r="C81" s="93"/>
      <c r="D81" s="93"/>
      <c r="E81" s="113"/>
      <c r="F81" s="25" t="s">
        <v>105</v>
      </c>
      <c r="G81" s="27" t="n">
        <f aca="false">G158</f>
        <v>23249.996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13050</v>
      </c>
      <c r="C82" s="93"/>
      <c r="D82" s="93"/>
      <c r="E82" s="113"/>
      <c r="F82" s="31" t="s">
        <v>106</v>
      </c>
      <c r="G82" s="33" t="n">
        <f aca="false">IF(A111 = "Yes", A40, 0)</f>
        <v>13050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13050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13050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8185.16446740319</v>
      </c>
      <c r="C86" s="93"/>
      <c r="D86" s="93"/>
      <c r="E86" s="113"/>
      <c r="F86" s="31" t="s">
        <v>110</v>
      </c>
      <c r="G86" s="33" t="n">
        <f aca="false">(G82/((1+G84)^(G85+1)))</f>
        <v>9494.35661836222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8827.90541154175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8827.90541154175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27.9568864661663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15064.8315325968</v>
      </c>
      <c r="C88" s="93"/>
      <c r="D88" s="93"/>
      <c r="E88" s="113"/>
      <c r="F88" s="31" t="s">
        <v>112</v>
      </c>
      <c r="G88" s="33" t="n">
        <f aca="false">G81-G86</f>
        <v>13755.6393816378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538.859416653153</v>
      </c>
      <c r="C89" s="93"/>
      <c r="D89" s="93"/>
      <c r="E89" s="113"/>
      <c r="F89" s="31" t="s">
        <v>113</v>
      </c>
      <c r="G89" s="33" t="n">
        <f aca="false">(G88/G87)</f>
        <v>458.941549181103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18860.0795828603</v>
      </c>
      <c r="C90" s="93"/>
      <c r="D90" s="93"/>
      <c r="E90" s="113"/>
      <c r="F90" s="31" t="s">
        <v>114</v>
      </c>
      <c r="G90" s="33" t="n">
        <f aca="false">((G89*(G85))+G77)</f>
        <v>16062.9542213386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18860.0795828603</v>
      </c>
      <c r="C92" s="93"/>
      <c r="D92" s="93"/>
      <c r="E92" s="113"/>
      <c r="F92" s="56" t="s">
        <v>116</v>
      </c>
      <c r="G92" s="65" t="n">
        <f aca="false">(G90+G91)</f>
        <v>16062.9542213386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538.859416653153</v>
      </c>
      <c r="C95" s="93"/>
      <c r="D95" s="93"/>
      <c r="E95" s="113"/>
      <c r="F95" s="95" t="s">
        <v>118</v>
      </c>
      <c r="G95" s="96" t="n">
        <f aca="false">G92/(G85)</f>
        <v>458.941549181103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538.859416653153</v>
      </c>
      <c r="C96" s="93"/>
      <c r="D96" s="93"/>
      <c r="E96" s="113"/>
      <c r="F96" s="97" t="s">
        <v>119</v>
      </c>
      <c r="G96" s="98" t="n">
        <f aca="false">G94+G95</f>
        <v>458.941549181103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393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0.1565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406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19500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23400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23400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23400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19500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19500</v>
      </c>
      <c r="H135" s="153" t="n">
        <f aca="false">C125+E125+G125+H128</f>
        <v>21458.33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3900</v>
      </c>
      <c r="H137" s="33" t="n">
        <f aca="false">(H135+H136)*20%</f>
        <v>4291.666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23400</v>
      </c>
      <c r="H141" s="157" t="n">
        <f aca="false">(H135+H136+H139+H140+H137)-H138</f>
        <v>25749.996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23400</v>
      </c>
      <c r="H147" s="164" t="n">
        <f aca="false">H141-((H144*1.2)+(H145*1.2)+(H146*1.2)+(H142*1.2))</f>
        <v>25749.996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-17743.055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23249.996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538.859416653153</v>
      </c>
      <c r="B167" s="177" t="str">
        <f aca="false">B94</f>
        <v>0</v>
      </c>
      <c r="C167" s="174"/>
      <c r="D167" s="174"/>
      <c r="E167" s="177" t="n">
        <f aca="false">B96</f>
        <v>538.859416653153</v>
      </c>
      <c r="F167" s="23"/>
      <c r="G167" s="23" t="n">
        <f aca="false">ROUND(G95, 2)</f>
        <v>458.94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180" t="n">
        <f aca="false">K30</f>
        <v>10000</v>
      </c>
      <c r="C170" s="181"/>
      <c r="D170" s="23"/>
      <c r="E170" s="182" t="n">
        <f aca="false">IF(A111="YES",A40, 0)</f>
        <v>13050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13050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13050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13050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23249.996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8660.08358286034</v>
      </c>
      <c r="B182" s="103" t="str">
        <f aca="false">B114</f>
        <v>199.99</v>
      </c>
      <c r="C182" s="103"/>
      <c r="D182" s="23"/>
      <c r="E182" s="103" t="n">
        <f aca="false">E179+A182+(B182*1.2)+A185</f>
        <v>32160.0675828603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2239.988</v>
      </c>
      <c r="C185" s="103"/>
      <c r="D185" s="23"/>
      <c r="E185" s="103" t="n">
        <f aca="false">IF(A40=0,(E167),(E170+A185))</f>
        <v>13060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13070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13060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13060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0</v>
      </c>
      <c r="B188" s="103" t="n">
        <f aca="false">(G158*B67)/1.2</f>
        <v>193.749966666667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293.739966666667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538.859416653153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5862.904</v>
      </c>
      <c r="B201" s="186" t="n">
        <f aca="false">E179+A201+(B182*1.2)+A185</f>
        <v>29362.888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538.859416653153</v>
      </c>
      <c r="B212" s="177" t="str">
        <f aca="false">B167</f>
        <v>0</v>
      </c>
      <c r="C212" s="174"/>
      <c r="D212" s="174"/>
      <c r="E212" s="177" t="n">
        <f aca="false">E167</f>
        <v>538.859416653153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23249.996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8660.08358286034</v>
      </c>
      <c r="B224" s="103" t="str">
        <f aca="false">B182</f>
        <v>199.99</v>
      </c>
      <c r="C224" s="103"/>
      <c r="D224" s="113"/>
      <c r="E224" s="103" t="n">
        <f aca="false">E182</f>
        <v>32160.0675828603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538.859416653153</v>
      </c>
      <c r="B230" s="103" t="str">
        <f aca="false">B167</f>
        <v>0</v>
      </c>
      <c r="C230" s="186"/>
      <c r="D230" s="186"/>
      <c r="E230" s="103" t="n">
        <f aca="false">E167</f>
        <v>538.859416653153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13050</v>
      </c>
      <c r="B233" s="103" t="n">
        <f aca="false">E185</f>
        <v>13060</v>
      </c>
      <c r="C233" s="93"/>
      <c r="D233" s="93"/>
      <c r="E233" s="103" t="n">
        <f aca="false">J18*0.000006*100</f>
        <v>24.3156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0</v>
      </c>
      <c r="B236" s="103" t="n">
        <f aca="false">E233+A236</f>
        <v>24.3156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193.749966666667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2252.06996666667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2807.17958286034</v>
      </c>
      <c r="C254" s="197"/>
      <c r="D254" s="198" t="s">
        <v>216</v>
      </c>
      <c r="E254" s="198"/>
      <c r="F254" s="200" t="n">
        <f aca="false">F261+F267+F269+B270+B271</f>
        <v>232.49996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2674.66962286034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2807.17958286034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232.49996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2674.66962286034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12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19500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153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10000</v>
      </c>
      <c r="C33" s="93"/>
      <c r="D33" s="93"/>
      <c r="E33" s="232" t="n">
        <f aca="false">K48</f>
        <v>474.611354378281</v>
      </c>
      <c r="F33" s="232"/>
      <c r="G33" s="232"/>
      <c r="H33" s="47"/>
      <c r="I33" s="2"/>
      <c r="J33" s="34" t="s">
        <v>356</v>
      </c>
      <c r="K33" s="48" t="n">
        <f aca="false">E21</f>
        <v>20500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461.861354378281</v>
      </c>
      <c r="B36" s="232" t="n">
        <f aca="false">IF(B26="YES", K42, "0.00")</f>
        <v>12.75</v>
      </c>
      <c r="C36" s="232"/>
      <c r="D36" s="232"/>
      <c r="E36" s="232" t="n">
        <f aca="false">K31</f>
        <v>19500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20500</v>
      </c>
      <c r="L39" s="2" t="n">
        <f aca="false">(L47*K46)+K44</f>
        <v>24270.5927671537</v>
      </c>
      <c r="N39" s="1" t="n">
        <f aca="false">K39-L39</f>
        <v>-3770.59276715369</v>
      </c>
      <c r="P39" s="212"/>
    </row>
    <row r="40" customFormat="false" ht="17.35" hidden="false" customHeight="false" outlineLevel="0" collapsed="false">
      <c r="A40" s="107" t="n">
        <f aca="false">E36*A45/100</f>
        <v>19500</v>
      </c>
      <c r="B40" s="107" t="n">
        <f aca="false">IF(B26="YES", K42, "0.00")</f>
        <v>12.75</v>
      </c>
      <c r="C40" s="107"/>
      <c r="D40" s="107"/>
      <c r="E40" s="182" t="n">
        <f aca="false">K32</f>
        <v>153</v>
      </c>
      <c r="F40" s="186"/>
      <c r="G40" s="186"/>
      <c r="H40" s="47"/>
      <c r="J40" s="2" t="s">
        <v>106</v>
      </c>
      <c r="K40" s="2" t="n">
        <f aca="false">(A40)/1.2</f>
        <v>16250</v>
      </c>
      <c r="L40" s="2" t="n">
        <f aca="false">K39-L39</f>
        <v>-3770.59276715369</v>
      </c>
      <c r="N40" s="1" t="n">
        <f aca="false">N38-N39</f>
        <v>6682.27276715369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12.75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15147.966037908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5352.03396209199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11.5879666297182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461.861354378281</v>
      </c>
      <c r="L47" s="2" t="n">
        <f aca="false">L49-K42</f>
        <v>787.25</v>
      </c>
      <c r="M47" s="1" t="n">
        <f aca="false">K47-L47</f>
        <v>-325.388645621719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474.611354378281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474.611354378281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2211.65791717848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102.083333333333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461.861354378281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461.861354378281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474.611354378281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474.611354378281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24500</v>
      </c>
      <c r="C81" s="93"/>
      <c r="D81" s="93"/>
      <c r="E81" s="113"/>
      <c r="F81" s="25" t="s">
        <v>105</v>
      </c>
      <c r="G81" s="27" t="n">
        <f aca="false">G158</f>
        <v>24500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19500</v>
      </c>
      <c r="C82" s="93"/>
      <c r="D82" s="93"/>
      <c r="E82" s="113"/>
      <c r="F82" s="31" t="s">
        <v>106</v>
      </c>
      <c r="G82" s="33" t="n">
        <f aca="false">IF(A111 = "Yes", A40, 0)</f>
        <v>19500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19500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19500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17211.3007080073</v>
      </c>
      <c r="C86" s="93"/>
      <c r="D86" s="93"/>
      <c r="E86" s="113"/>
      <c r="F86" s="31" t="s">
        <v>110</v>
      </c>
      <c r="G86" s="33" t="n">
        <f aca="false">(G82/((1+G84)^(G85+1)))</f>
        <v>18276.021024736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16941.0932752196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16941.0932752196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/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31" t="s">
        <v>111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7288.69929199271</v>
      </c>
      <c r="C88" s="93"/>
      <c r="D88" s="93"/>
      <c r="E88" s="113"/>
      <c r="F88" s="31" t="s">
        <v>112</v>
      </c>
      <c r="G88" s="33" t="n">
        <f aca="false">G81-G86</f>
        <v>6223.97897526399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704.908560883441</v>
      </c>
      <c r="C89" s="93"/>
      <c r="D89" s="93"/>
      <c r="E89" s="113"/>
      <c r="F89" s="31" t="s">
        <v>113</v>
      </c>
      <c r="G89" s="33" t="n">
        <f aca="false">(G88/G87)</f>
        <v>584.370853512356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7753.99416971785</v>
      </c>
      <c r="C90" s="93"/>
      <c r="D90" s="93"/>
      <c r="E90" s="113"/>
      <c r="F90" s="31" t="s">
        <v>114</v>
      </c>
      <c r="G90" s="33" t="n">
        <f aca="false">((G89*(G85))+G77)</f>
        <v>6428.07938863592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7753.99416971785</v>
      </c>
      <c r="C92" s="93"/>
      <c r="D92" s="93"/>
      <c r="E92" s="113"/>
      <c r="F92" s="56" t="s">
        <v>116</v>
      </c>
      <c r="G92" s="65" t="n">
        <f aca="false">(G90+G91)</f>
        <v>6428.07938863592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IF(B26="YES",((E40/B85)*(1+A108)*1.2*(C45/100)),"0")</f>
        <v>21.6981818181818</v>
      </c>
      <c r="C94" s="93"/>
      <c r="D94" s="93"/>
      <c r="E94" s="113"/>
      <c r="F94" s="88" t="s">
        <v>117</v>
      </c>
      <c r="G94" s="94" t="n">
        <f aca="false">IF(B26="YES",((E40/B85)*(1+A108)*(C45/100)),"0")</f>
        <v>18.0818181818182</v>
      </c>
      <c r="H94" s="33"/>
      <c r="J94" s="88" t="s">
        <v>117</v>
      </c>
      <c r="K94" s="89" t="n">
        <f aca="false">((E40/K85)*(1+J108))*1.2</f>
        <v>19.89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16.6909090909091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20.0290909090909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704.908560883441</v>
      </c>
      <c r="C95" s="93"/>
      <c r="D95" s="93"/>
      <c r="E95" s="113"/>
      <c r="F95" s="95" t="s">
        <v>118</v>
      </c>
      <c r="G95" s="96" t="n">
        <f aca="false">G92/(G85)</f>
        <v>584.370853512356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726.606742701623</v>
      </c>
      <c r="C96" s="93"/>
      <c r="D96" s="93"/>
      <c r="E96" s="113"/>
      <c r="F96" s="97" t="s">
        <v>119</v>
      </c>
      <c r="G96" s="98" t="n">
        <f aca="false">G94+G95</f>
        <v>602.452671694174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0.3</v>
      </c>
      <c r="B108" s="107" t="n">
        <v>0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20500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24600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24600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24600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20500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20500</v>
      </c>
      <c r="H135" s="153" t="n">
        <f aca="false">C125+E125+G125+H128</f>
        <v>22500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-18750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24500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704.908560883441</v>
      </c>
      <c r="B167" s="177" t="n">
        <f aca="false">B94</f>
        <v>21.6981818181818</v>
      </c>
      <c r="C167" s="174"/>
      <c r="D167" s="174"/>
      <c r="E167" s="177" t="n">
        <f aca="false">B96</f>
        <v>726.606742701623</v>
      </c>
      <c r="F167" s="23"/>
      <c r="G167" s="23" t="n">
        <f aca="false">ROUND(G95, 2)</f>
        <v>584.37</v>
      </c>
      <c r="H167" s="33"/>
      <c r="J167" s="176" t="e">
        <f aca="false">K95</f>
        <v>#VALUE!</v>
      </c>
      <c r="K167" s="177" t="n">
        <f aca="false">K94</f>
        <v>19.89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16.6909090909091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20.0290909090909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229" t="n">
        <f aca="false">K30</f>
        <v>10000</v>
      </c>
      <c r="C170" s="181"/>
      <c r="D170" s="23"/>
      <c r="E170" s="182" t="n">
        <f aca="false">IF(A111="YES", A40, 0)</f>
        <v>19500</v>
      </c>
      <c r="F170" s="23"/>
      <c r="G170" s="23"/>
      <c r="H170" s="33"/>
      <c r="J170" s="179" t="n">
        <f aca="false">K29</f>
        <v>12</v>
      </c>
      <c r="K170" s="180" t="n">
        <f aca="false">K30</f>
        <v>10000</v>
      </c>
      <c r="L170" s="181"/>
      <c r="M170" s="23"/>
      <c r="N170" s="182" t="n">
        <f aca="false">IF(A111="YES", A40, 0)</f>
        <v>19500</v>
      </c>
      <c r="O170" s="23"/>
      <c r="P170" s="23"/>
      <c r="Q170" s="33"/>
      <c r="S170" s="179" t="n">
        <f aca="false">K29</f>
        <v>12</v>
      </c>
      <c r="T170" s="180" t="n">
        <f aca="false">K30</f>
        <v>10000</v>
      </c>
      <c r="U170" s="181"/>
      <c r="V170" s="23"/>
      <c r="W170" s="182" t="n">
        <f aca="false">IF(A111="YES", A40, 0)</f>
        <v>19500</v>
      </c>
      <c r="X170" s="23"/>
      <c r="Y170" s="23"/>
      <c r="Z170" s="33"/>
      <c r="AB170" s="179" t="n">
        <f aca="false">K29</f>
        <v>12</v>
      </c>
      <c r="AC170" s="180" t="n">
        <f aca="false">K30</f>
        <v>10000</v>
      </c>
      <c r="AD170" s="181"/>
      <c r="AE170" s="23"/>
      <c r="AF170" s="182" t="n">
        <f aca="false">IF(A111="YES", A40, 0)</f>
        <v>19500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27000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24500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2753.99416971785</v>
      </c>
      <c r="B182" s="103" t="str">
        <f aca="false">B114</f>
        <v>239.99</v>
      </c>
      <c r="C182" s="103"/>
      <c r="D182" s="23"/>
      <c r="E182" s="103" t="n">
        <f aca="false">E179+A182+B182+A185</f>
        <v>27503.9841697179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E170+A185</f>
        <v>19510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19520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19510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19510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 *1.2</f>
        <v>9.72624</v>
      </c>
      <c r="B188" s="103" t="n">
        <f aca="false">(G158*B67)</f>
        <v>122.5</v>
      </c>
      <c r="C188" s="93"/>
      <c r="D188" s="93"/>
      <c r="E188" s="103" t="n">
        <f aca="false">(E40*A108)*0.1*(C45/100)</f>
        <v>4.59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4.59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3.06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3.06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227.081666666667</v>
      </c>
      <c r="C191" s="93"/>
      <c r="D191" s="93"/>
      <c r="E191" s="103" t="n">
        <f aca="false">H148</f>
        <v>2000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726.606742701623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1428.07</v>
      </c>
      <c r="B201" s="186" t="n">
        <f aca="false">E179+A201+B182+A185</f>
        <v>26178.06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12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704.908560883441</v>
      </c>
      <c r="B212" s="177" t="n">
        <f aca="false">B167</f>
        <v>21.6981818181818</v>
      </c>
      <c r="C212" s="174"/>
      <c r="D212" s="174"/>
      <c r="E212" s="177" t="n">
        <f aca="false">E167</f>
        <v>726.606742701623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24500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2753.99416971785</v>
      </c>
      <c r="B224" s="103" t="str">
        <f aca="false">B182</f>
        <v>239.99</v>
      </c>
      <c r="C224" s="103"/>
      <c r="D224" s="113"/>
      <c r="E224" s="103" t="n">
        <f aca="false">E182</f>
        <v>27503.9841697179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704.908560883441</v>
      </c>
      <c r="B230" s="103" t="n">
        <f aca="false">B167</f>
        <v>21.6981818181818</v>
      </c>
      <c r="C230" s="186"/>
      <c r="D230" s="186"/>
      <c r="E230" s="103" t="n">
        <f aca="false">E167</f>
        <v>726.606742701623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19500</v>
      </c>
      <c r="B233" s="103" t="n">
        <f aca="false">E185</f>
        <v>19510</v>
      </c>
      <c r="C233" s="93"/>
      <c r="D233" s="93"/>
      <c r="E233" s="103" t="n">
        <f aca="false">A188</f>
        <v>9.72624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B68</f>
        <v>102.083333333333</v>
      </c>
      <c r="C240" s="93"/>
      <c r="D240" s="93"/>
      <c r="E240" s="103" t="n">
        <f aca="false">E188</f>
        <v>4.59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2206.665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1335.92416971785</v>
      </c>
      <c r="C254" s="197"/>
      <c r="D254" s="198" t="s">
        <v>216</v>
      </c>
      <c r="E254" s="198"/>
      <c r="F254" s="200" t="n">
        <f aca="false">F261+F267+F269+B270+B271</f>
        <v>122.5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145.891666666667</v>
      </c>
      <c r="C255" s="197"/>
      <c r="D255" s="198" t="s">
        <v>218</v>
      </c>
      <c r="E255" s="198"/>
      <c r="F255" s="200" t="n">
        <f aca="false">(B254-F254)+B255</f>
        <v>1359.31583638452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B254</f>
        <v>1335.92416971785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B68*1.2</f>
        <v>122.5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0.3</v>
      </c>
      <c r="C262" s="32"/>
      <c r="D262" s="166" t="s">
        <v>222</v>
      </c>
      <c r="E262" s="166"/>
      <c r="F262" s="146" t="n">
        <f aca="false">E240*10</f>
        <v>45.9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1359.31583638452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19458.33</v>
      </c>
      <c r="C9" s="14" t="n">
        <f aca="false">B9*0.2</f>
        <v>3900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389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12.0</v>
      </c>
      <c r="P29" s="212"/>
    </row>
    <row r="30" customFormat="false" ht="17.9" hidden="false" customHeight="false" outlineLevel="0" collapsed="false">
      <c r="A30" s="31" t="s">
        <v>181</v>
      </c>
      <c r="B30" s="104" t="s">
        <v>403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16950.0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943.9200000000001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35000</v>
      </c>
      <c r="C33" s="93"/>
      <c r="D33" s="93"/>
      <c r="E33" s="232" t="n">
        <f aca="false">K48</f>
        <v>1197.96200615051</v>
      </c>
      <c r="F33" s="232"/>
      <c r="G33" s="232"/>
      <c r="H33" s="47"/>
      <c r="I33" s="2"/>
      <c r="J33" s="34" t="s">
        <v>356</v>
      </c>
      <c r="K33" s="48" t="n">
        <f aca="false">E21</f>
        <v>19500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1156.96200615051</v>
      </c>
      <c r="B36" s="232" t="n">
        <f aca="false">IF(B26="YES", K42, "0.00")</f>
        <v>41</v>
      </c>
      <c r="C36" s="232"/>
      <c r="D36" s="232"/>
      <c r="E36" s="232" t="n">
        <f aca="false">K31</f>
        <v>17190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19500</v>
      </c>
      <c r="L39" s="2" t="n">
        <f aca="false">(L47*K46)+K44</f>
        <v>14988.9044951981</v>
      </c>
      <c r="N39" s="1" t="n">
        <f aca="false">K39-L39</f>
        <v>4511.09550480185</v>
      </c>
      <c r="P39" s="212"/>
    </row>
    <row r="40" customFormat="false" ht="17.35" hidden="false" customHeight="false" outlineLevel="0" collapsed="false">
      <c r="A40" s="107" t="n">
        <f aca="false">E36*A45/100</f>
        <v>8595</v>
      </c>
      <c r="B40" s="107" t="n">
        <f aca="false">IF(B26="YES", K42, "0.00")</f>
        <v>41</v>
      </c>
      <c r="C40" s="107"/>
      <c r="D40" s="107"/>
      <c r="E40" s="182" t="n">
        <f aca="false">K32</f>
        <v>984</v>
      </c>
      <c r="F40" s="186"/>
      <c r="G40" s="186"/>
      <c r="H40" s="47"/>
      <c r="J40" s="2" t="s">
        <v>106</v>
      </c>
      <c r="K40" s="2" t="n">
        <f aca="false">(A40)/1.2</f>
        <v>7162.5</v>
      </c>
      <c r="L40" s="2" t="n">
        <f aca="false">K39-L39</f>
        <v>4511.09550480185</v>
      </c>
      <c r="N40" s="1" t="n">
        <f aca="false">N38-N39</f>
        <v>-1599.41550480186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41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6385.26536576413</v>
      </c>
      <c r="L44" s="2"/>
      <c r="P44" s="212"/>
    </row>
    <row r="45" customFormat="false" ht="17.35" hidden="false" customHeight="false" outlineLevel="0" collapsed="false">
      <c r="A45" s="450" t="n">
        <v>50.0</v>
      </c>
      <c r="B45" s="93"/>
      <c r="C45" s="62" t="n">
        <v>50.0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13114.7346342359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11.3354929241555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1156.96200615051</v>
      </c>
      <c r="L47" s="2" t="n">
        <f aca="false">L49-K42</f>
        <v>759</v>
      </c>
      <c r="M47" s="1" t="n">
        <f aca="false">K47-L47</f>
        <v>397.962006150512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1197.96200615051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1197.96200615051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5848.73986039736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107.29165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1156.96200615051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1156.96200615051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1197.96200615051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1197.96200615051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25749.996</v>
      </c>
      <c r="C81" s="93"/>
      <c r="D81" s="93"/>
      <c r="E81" s="113"/>
      <c r="F81" s="25" t="s">
        <v>105</v>
      </c>
      <c r="G81" s="27" t="n">
        <f aca="false">G158</f>
        <v>25749.996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8595</v>
      </c>
      <c r="C82" s="93"/>
      <c r="D82" s="93"/>
      <c r="E82" s="113"/>
      <c r="F82" s="31" t="s">
        <v>106</v>
      </c>
      <c r="G82" s="33" t="n">
        <f aca="false">IF(A111 = "Yes", A40, 0)</f>
        <v>8595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8595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8595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0.149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0.0124166666666667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7411.9835853766</v>
      </c>
      <c r="C86" s="93"/>
      <c r="D86" s="93"/>
      <c r="E86" s="113"/>
      <c r="F86" s="31" t="s">
        <v>110</v>
      </c>
      <c r="G86" s="33" t="n">
        <f aca="false">(G82/((1+G84)^(G85+1)))</f>
        <v>7730.32151506234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7467.11265130831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7467.11265130831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10.2227465017977</v>
      </c>
      <c r="C87" s="93"/>
      <c r="D87" s="93"/>
      <c r="E87" s="113"/>
      <c r="F87" s="31" t="s">
        <v>111</v>
      </c>
      <c r="G87" s="33" t="n">
        <f aca="false">((1-(1/((1+G84)^G85)))/G84)</f>
        <v>10.4360954238574</v>
      </c>
      <c r="H87" s="33"/>
      <c r="J87" s="31" t="s">
        <v>111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18338.0124146234</v>
      </c>
      <c r="C88" s="93"/>
      <c r="D88" s="93"/>
      <c r="E88" s="113"/>
      <c r="F88" s="31" t="s">
        <v>112</v>
      </c>
      <c r="G88" s="33" t="n">
        <f aca="false">G81-G86</f>
        <v>18019.6744849377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1793.8439940185</v>
      </c>
      <c r="C89" s="93"/>
      <c r="D89" s="93"/>
      <c r="E89" s="113"/>
      <c r="F89" s="31" t="s">
        <v>113</v>
      </c>
      <c r="G89" s="33" t="n">
        <f aca="false">(G88/G87)</f>
        <v>1726.66823683347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19732.2839342035</v>
      </c>
      <c r="C90" s="93"/>
      <c r="D90" s="93"/>
      <c r="E90" s="113"/>
      <c r="F90" s="31" t="s">
        <v>114</v>
      </c>
      <c r="G90" s="33" t="n">
        <f aca="false">((G89*(G85))+G77)</f>
        <v>18993.3506051682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19732.2839342035</v>
      </c>
      <c r="C92" s="93"/>
      <c r="D92" s="93"/>
      <c r="E92" s="113"/>
      <c r="F92" s="56" t="s">
        <v>116</v>
      </c>
      <c r="G92" s="65" t="n">
        <f aca="false">(G90+G91)</f>
        <v>18993.3506051682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53.6727272727273</v>
      </c>
      <c r="C94" s="93"/>
      <c r="D94" s="93"/>
      <c r="E94" s="113"/>
      <c r="F94" s="88" t="s">
        <v>117</v>
      </c>
      <c r="G94" s="94" t="n">
        <f aca="false">IF(B26="YES",((E40/B85)*(1+A108)*(C45/100)),"0")</f>
        <v>53.6727272727273</v>
      </c>
      <c r="H94" s="33"/>
      <c r="J94" s="88" t="s">
        <v>117</v>
      </c>
      <c r="K94" s="89" t="n">
        <f aca="false">((E40/K85)*(1+J108))*1.2</f>
        <v>127.92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107.345454545455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128.814545454545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1793.8439940185</v>
      </c>
      <c r="C95" s="93"/>
      <c r="D95" s="93"/>
      <c r="E95" s="113"/>
      <c r="F95" s="95" t="s">
        <v>118</v>
      </c>
      <c r="G95" s="96" t="n">
        <f aca="false">G92/(G85)</f>
        <v>1726.66823683347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1847.51672129123</v>
      </c>
      <c r="C96" s="93"/>
      <c r="D96" s="93"/>
      <c r="E96" s="113"/>
      <c r="F96" s="97" t="s">
        <v>119</v>
      </c>
      <c r="G96" s="98" t="n">
        <f aca="false">G94+G95</f>
        <v>1780.3409641062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389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0.149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389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406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19500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23400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23400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23400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19500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19500</v>
      </c>
      <c r="H135" s="153" t="n">
        <f aca="false">C125+E125+G125+H128</f>
        <v>21458.33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3900</v>
      </c>
      <c r="H137" s="33" t="n">
        <f aca="false">(H135+H136)*20%</f>
        <v>4291.666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23400</v>
      </c>
      <c r="H141" s="157" t="n">
        <f aca="false">(H135+H136+H139+H140+H137)-H138</f>
        <v>25749.996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23400</v>
      </c>
      <c r="H147" s="164" t="n">
        <f aca="false">H141-((H144*1.2)+(H145*1.2)+(H146*1.2)+(H142*1.2))</f>
        <v>25749.996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-19826.3883333333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25749.996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1793.8439940185</v>
      </c>
      <c r="B167" s="177" t="n">
        <f aca="false">B94</f>
        <v>53.6727272727273</v>
      </c>
      <c r="C167" s="174"/>
      <c r="D167" s="174"/>
      <c r="E167" s="177" t="n">
        <f aca="false">B96</f>
        <v>1847.51672129123</v>
      </c>
      <c r="F167" s="23"/>
      <c r="G167" s="23" t="n">
        <f aca="false">ROUND(G95, 2)</f>
        <v>1726.67</v>
      </c>
      <c r="H167" s="33"/>
      <c r="J167" s="176" t="e">
        <f aca="false">K95</f>
        <v>#VALUE!</v>
      </c>
      <c r="K167" s="177" t="n">
        <f aca="false">K94</f>
        <v>127.92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107.345454545455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128.814545454545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229" t="n">
        <f aca="false">K30</f>
        <v>35000</v>
      </c>
      <c r="C170" s="181"/>
      <c r="D170" s="23"/>
      <c r="E170" s="182" t="n">
        <f aca="false">IF(A111="YES", A40, 0)</f>
        <v>8595</v>
      </c>
      <c r="F170" s="23"/>
      <c r="G170" s="23"/>
      <c r="H170" s="33"/>
      <c r="J170" s="179" t="n">
        <f aca="false">K29</f>
        <v>12</v>
      </c>
      <c r="K170" s="180" t="n">
        <f aca="false">K30</f>
        <v>35000</v>
      </c>
      <c r="L170" s="181"/>
      <c r="M170" s="23"/>
      <c r="N170" s="182" t="n">
        <f aca="false">IF(A111="YES", A40, 0)</f>
        <v>8595</v>
      </c>
      <c r="O170" s="23"/>
      <c r="P170" s="23"/>
      <c r="Q170" s="33"/>
      <c r="S170" s="179" t="n">
        <f aca="false">K29</f>
        <v>12</v>
      </c>
      <c r="T170" s="180" t="n">
        <f aca="false">K30</f>
        <v>35000</v>
      </c>
      <c r="U170" s="181"/>
      <c r="V170" s="23"/>
      <c r="W170" s="182" t="n">
        <f aca="false">IF(A111="YES", A40, 0)</f>
        <v>8595</v>
      </c>
      <c r="X170" s="23"/>
      <c r="Y170" s="23"/>
      <c r="Z170" s="33"/>
      <c r="AB170" s="179" t="n">
        <f aca="false">K29</f>
        <v>12</v>
      </c>
      <c r="AC170" s="180" t="n">
        <f aca="false">K30</f>
        <v>35000</v>
      </c>
      <c r="AD170" s="181"/>
      <c r="AE170" s="23"/>
      <c r="AF170" s="182" t="n">
        <f aca="false">IF(A111="YES", A40, 0)</f>
        <v>8595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25749.996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25749.996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2577.2879342035</v>
      </c>
      <c r="B182" s="103" t="str">
        <f aca="false">B114</f>
        <v>199.99</v>
      </c>
      <c r="C182" s="103"/>
      <c r="D182" s="23"/>
      <c r="E182" s="103" t="n">
        <f aca="false">E179+A182+(B182*1.2)+A185</f>
        <v>28577.2719342035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8605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8615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8605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8605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8.1052</v>
      </c>
      <c r="B188" s="103" t="n">
        <f aca="false">(G158*B67)/1.2</f>
        <v>107.29165</v>
      </c>
      <c r="C188" s="93"/>
      <c r="D188" s="93"/>
      <c r="E188" s="103" t="n">
        <f aca="false">(E40*A108)*0.1*(C45/100)</f>
        <v>9.84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29.52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19.68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19.68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217.12165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1847.51672129123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1838.374</v>
      </c>
      <c r="B201" s="186" t="n">
        <f aca="false">E179+A201+(B182*1.2)+A185</f>
        <v>27838.358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12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1793.8439940185</v>
      </c>
      <c r="B212" s="177" t="n">
        <f aca="false">B167</f>
        <v>53.6727272727273</v>
      </c>
      <c r="C212" s="174"/>
      <c r="D212" s="174"/>
      <c r="E212" s="177" t="n">
        <f aca="false">E167</f>
        <v>1847.51672129123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2577.2879342035</v>
      </c>
      <c r="B224" s="103" t="str">
        <f aca="false">B182</f>
        <v>199.99</v>
      </c>
      <c r="C224" s="103"/>
      <c r="D224" s="113"/>
      <c r="E224" s="103" t="n">
        <f aca="false">E182</f>
        <v>28577.2719342035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1793.8439940185</v>
      </c>
      <c r="B230" s="103" t="n">
        <f aca="false">B167</f>
        <v>53.6727272727273</v>
      </c>
      <c r="C230" s="186"/>
      <c r="D230" s="186"/>
      <c r="E230" s="103" t="n">
        <f aca="false">E167</f>
        <v>1847.51672129123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8595</v>
      </c>
      <c r="B233" s="103" t="n">
        <f aca="false">E185</f>
        <v>8605</v>
      </c>
      <c r="C233" s="93"/>
      <c r="D233" s="93"/>
      <c r="E233" s="103" t="n">
        <f aca="false">A188</f>
        <v>8.1052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107.29165</v>
      </c>
      <c r="C240" s="93"/>
      <c r="D240" s="93"/>
      <c r="E240" s="103" t="n">
        <f aca="false">E188</f>
        <v>9.84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2175.45165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0.149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748.913934203505</v>
      </c>
      <c r="C254" s="197"/>
      <c r="D254" s="198" t="s">
        <v>216</v>
      </c>
      <c r="E254" s="198"/>
      <c r="F254" s="200" t="n">
        <f aca="false">F261+F267+F269+B270+B271</f>
        <v>128.74998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198.39</v>
      </c>
      <c r="C255" s="197"/>
      <c r="D255" s="198" t="s">
        <v>218</v>
      </c>
      <c r="E255" s="198"/>
      <c r="F255" s="200" t="n">
        <f aca="false">(B254-F254)+B255</f>
        <v>818.553954203505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0.0425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0.149</v>
      </c>
      <c r="C260" s="43"/>
      <c r="D260" s="166" t="s">
        <v>215</v>
      </c>
      <c r="E260" s="166"/>
      <c r="F260" s="146" t="n">
        <f aca="false">B254</f>
        <v>748.913934203505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B68*1.2</f>
        <v>128.74998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98.4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818.553954203505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19500.0</v>
      </c>
      <c r="C9" s="14" t="n">
        <f aca="false">B9*0.2</f>
        <v>3900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389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35.0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403</v>
      </c>
      <c r="C30" s="172"/>
      <c r="D30" s="215"/>
      <c r="E30" s="216"/>
      <c r="F30" s="63"/>
      <c r="G30" s="218" t="s">
        <v>32</v>
      </c>
      <c r="H30" s="457" t="n">
        <v>35000.0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0.0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0.0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650.595727376939</v>
      </c>
      <c r="E33" s="216"/>
      <c r="F33" s="63"/>
      <c r="G33" s="219" t="s">
        <v>356</v>
      </c>
      <c r="H33" s="460" t="n">
        <f aca="false">E21-E11</f>
        <v>19500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650.595727376939</v>
      </c>
      <c r="B36" s="103" t="n">
        <f aca="false">IF(B26="YES", H42, "")</f>
        <v>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19500</v>
      </c>
      <c r="I39" s="238" t="n">
        <f aca="false">(I48*H46)+H44</f>
        <v>41961.5420932254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0</v>
      </c>
      <c r="I40" s="238" t="n">
        <f aca="false">H39-I39</f>
        <v>-22461.5420932254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100.0</v>
      </c>
      <c r="D45" s="463"/>
      <c r="E45" s="216"/>
      <c r="F45" s="63"/>
      <c r="G45" s="63" t="s">
        <v>374</v>
      </c>
      <c r="H45" s="238" t="n">
        <f aca="false">(H39-H44)</f>
        <v>19500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29.9725300665895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650.595727376939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650.595727376939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650.595727376939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23400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10000.0</v>
      </c>
      <c r="D64" s="291" t="n">
        <f aca="false">B64</f>
        <v>10000</v>
      </c>
      <c r="E64" s="466" t="n">
        <f aca="false">D64/(B58+B57)</f>
        <v>285.714285714286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0.00979166666666667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229.125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157.5</v>
      </c>
      <c r="C73" s="215"/>
      <c r="D73" s="472" t="n">
        <f aca="false">B73+B71</f>
        <v>317.5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12.6984126984127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473"/>
      <c r="D80" s="291" t="n">
        <f aca="false">B80</f>
        <v>100</v>
      </c>
      <c r="E80" s="466" t="n">
        <f aca="false">(D73+D76+D79+D80)/(B58+B57)</f>
        <v>20.5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11384.1666666667</v>
      </c>
      <c r="C81" s="473"/>
      <c r="D81" s="474"/>
      <c r="E81" s="466"/>
      <c r="F81" s="63"/>
      <c r="G81" s="303" t="s">
        <v>102</v>
      </c>
      <c r="H81" s="304" t="n">
        <f aca="false">SUM(J64:J80)</f>
        <v>1047.5</v>
      </c>
      <c r="I81" s="215"/>
      <c r="J81" s="215"/>
      <c r="K81" s="216"/>
      <c r="L81" s="63"/>
      <c r="M81" s="303" t="s">
        <v>102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325.261904761905</v>
      </c>
      <c r="C82" s="473"/>
      <c r="D82" s="215"/>
      <c r="E82" s="466"/>
      <c r="F82" s="63"/>
      <c r="G82" s="214" t="s">
        <v>103</v>
      </c>
      <c r="H82" s="300" t="n">
        <f aca="false">H81/H29</f>
        <v>29.9285714285714</v>
      </c>
      <c r="I82" s="215"/>
      <c r="J82" s="215"/>
      <c r="K82" s="216"/>
      <c r="L82" s="63"/>
      <c r="M82" s="214" t="s">
        <v>103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650.595727376939</v>
      </c>
      <c r="C83" s="473"/>
      <c r="D83" s="215"/>
      <c r="E83" s="466" t="n">
        <f aca="false">B83+E80+E77+E64</f>
        <v>969.508425789637</v>
      </c>
      <c r="F83" s="63"/>
      <c r="G83" s="305" t="s">
        <v>104</v>
      </c>
      <c r="H83" s="306" t="n">
        <f aca="false">H47</f>
        <v>650.595727376939</v>
      </c>
      <c r="I83" s="215"/>
      <c r="J83" s="215"/>
      <c r="K83" s="216"/>
      <c r="L83" s="63"/>
      <c r="M83" s="305" t="s">
        <v>104</v>
      </c>
      <c r="N83" s="306" t="n">
        <f aca="false">H47</f>
        <v>650.595727376939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34155.0171248595</v>
      </c>
      <c r="C85" s="473"/>
      <c r="D85" s="473"/>
      <c r="E85" s="466" t="n">
        <f aca="false">B85/(B58+B57)</f>
        <v>975.857632138844</v>
      </c>
      <c r="F85" s="63"/>
      <c r="G85" s="288" t="s">
        <v>114</v>
      </c>
      <c r="H85" s="131" t="n">
        <f aca="false">((H83*H29)+H81)*1.2</f>
        <v>28582.0205498314</v>
      </c>
      <c r="I85" s="215"/>
      <c r="J85" s="215"/>
      <c r="K85" s="216"/>
      <c r="L85" s="63"/>
      <c r="M85" s="288" t="s">
        <v>114</v>
      </c>
      <c r="N85" s="131" t="n">
        <f aca="false">((N83*H29)+N81)</f>
        <v>23488.3504581929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289.332537160972</v>
      </c>
      <c r="C86" s="473" t="s">
        <v>230</v>
      </c>
      <c r="D86" s="215"/>
      <c r="E86" s="466" t="n">
        <f aca="false">B86/(B58+B57)</f>
        <v>8.26664391888492</v>
      </c>
      <c r="F86" s="63"/>
      <c r="G86" s="214" t="s">
        <v>115</v>
      </c>
      <c r="H86" s="300" t="n">
        <f aca="false">((((H83*H29)+H81))/(1-H70))*H70</f>
        <v>201.769003478036</v>
      </c>
      <c r="I86" s="215"/>
      <c r="J86" s="215"/>
      <c r="K86" s="216"/>
      <c r="L86" s="63"/>
      <c r="M86" s="214" t="s">
        <v>115</v>
      </c>
      <c r="N86" s="300" t="n">
        <f aca="false">(N85/(1-N70))*N70</f>
        <v>198.973521428822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34444.3496620205</v>
      </c>
      <c r="C87" s="473"/>
      <c r="D87" s="475"/>
      <c r="E87" s="466" t="n">
        <f aca="false">E86+E85</f>
        <v>984.124276057729</v>
      </c>
      <c r="F87" s="63"/>
      <c r="G87" s="285" t="s">
        <v>116</v>
      </c>
      <c r="H87" s="133" t="n">
        <f aca="false">IF(H110="YES",((H85+H86)-K114),(H85+H86))</f>
        <v>28783.7895533095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23687.3239796217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984.124276057729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719.594738832737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592.183099490542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984.124276057729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719.594738832737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592.183099490542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1000.0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389</v>
      </c>
      <c r="B105" s="314" t="n">
        <v>0.2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393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719.594738832737</v>
      </c>
      <c r="H127" s="177" t="n">
        <f aca="false">IF(G105="YES", H89*H57, 0)</f>
        <v>0</v>
      </c>
      <c r="I127" s="177"/>
      <c r="J127" s="334" t="n">
        <f aca="false">H91</f>
        <v>719.594738832737</v>
      </c>
      <c r="K127" s="216"/>
      <c r="L127" s="63"/>
      <c r="M127" s="333" t="n">
        <f aca="false">N90</f>
        <v>592.183099490542</v>
      </c>
      <c r="N127" s="177" t="n">
        <f aca="false">IF(M105="YES", N89*N57, 0)</f>
        <v>0</v>
      </c>
      <c r="O127" s="177"/>
      <c r="P127" s="177" t="n">
        <f aca="false">N91</f>
        <v>592.183099490542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984.124276057729</v>
      </c>
      <c r="B128" s="321" t="n">
        <f aca="false">IF(A105="YES", B89, 0)</f>
        <v>0</v>
      </c>
      <c r="C128" s="325"/>
      <c r="D128" s="321" t="n">
        <f aca="false">B91</f>
        <v>984.124276057729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984.124276057729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4317.56843299642</v>
      </c>
      <c r="H133" s="103" t="n">
        <f aca="false">IF(G105="YES", H89*H57, 0)</f>
        <v>0</v>
      </c>
      <c r="I133" s="221"/>
      <c r="J133" s="184" t="n">
        <f aca="false">H91*H57</f>
        <v>4317.56843299642</v>
      </c>
      <c r="K133" s="216"/>
      <c r="L133" s="63"/>
      <c r="M133" s="185" t="n">
        <f aca="false">N90*N57</f>
        <v>3553.09859694325</v>
      </c>
      <c r="N133" s="103" t="n">
        <f aca="false">IF(M105="YES", N89*N57, 0)</f>
        <v>0</v>
      </c>
      <c r="O133" s="221"/>
      <c r="P133" s="184" t="n">
        <f aca="false">N91*N57</f>
        <v>3553.09859694325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984.124276057729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984.124276057729</v>
      </c>
      <c r="B137" s="38" t="n">
        <f aca="false">IF(A105="YES", B89, 0)</f>
        <v>0</v>
      </c>
      <c r="C137" s="317"/>
      <c r="D137" s="38" t="n">
        <f aca="false">B91</f>
        <v>984.124276057729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229.125</v>
      </c>
      <c r="B148" s="103" t="n">
        <f aca="false">B102</f>
        <v>400</v>
      </c>
      <c r="C148" s="38"/>
      <c r="D148" s="38" t="n">
        <f aca="false">IF(A105="YES", (B40*B105)*B125, 0)*0.1</f>
        <v>0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729.115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719.594738832737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592.183099490542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984.124276057729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984.124276057729</v>
      </c>
      <c r="B177" s="355" t="n">
        <f aca="false">IF(A105="YES", B89, 0)</f>
        <v>0</v>
      </c>
      <c r="C177" s="357"/>
      <c r="D177" s="355" t="n">
        <f aca="false">B91</f>
        <v>984.124276057729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984.124276057729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984.124276057729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984.124276057729</v>
      </c>
      <c r="B186" s="103" t="n">
        <f aca="false">IF(A105="YES", B89, 0)</f>
        <v>0</v>
      </c>
      <c r="C186" s="353"/>
      <c r="D186" s="103" t="n">
        <f aca="false">B91</f>
        <v>984.124276057729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229.125</v>
      </c>
      <c r="B197" s="103" t="n">
        <f aca="false">B102</f>
        <v>400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729.115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229.125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10110.865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0.00979166666666667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229.125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10110.865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317.5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289.332537160972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19500.0</v>
      </c>
      <c r="C9" s="14" t="n">
        <f aca="false">B9*0.2</f>
        <v>3900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389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35.0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403</v>
      </c>
      <c r="C30" s="172"/>
      <c r="D30" s="215"/>
      <c r="E30" s="216"/>
      <c r="F30" s="63"/>
      <c r="G30" s="218" t="s">
        <v>32</v>
      </c>
      <c r="H30" s="457" t="n">
        <v>35000.0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0.0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0.0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650.595727376939</v>
      </c>
      <c r="E33" s="216"/>
      <c r="F33" s="63"/>
      <c r="G33" s="219" t="s">
        <v>356</v>
      </c>
      <c r="H33" s="460" t="n">
        <f aca="false">E21-E11</f>
        <v>19500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650.595727376939</v>
      </c>
      <c r="B36" s="103" t="n">
        <f aca="false">IF(B26="YES", H42, "")</f>
        <v>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19500</v>
      </c>
      <c r="I39" s="238" t="n">
        <f aca="false">(I48*H46)+H44</f>
        <v>41961.5420932254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0</v>
      </c>
      <c r="I40" s="238" t="n">
        <f aca="false">H39-I39</f>
        <v>-22461.5420932254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100.0</v>
      </c>
      <c r="D45" s="463"/>
      <c r="E45" s="216"/>
      <c r="F45" s="63"/>
      <c r="G45" s="63" t="s">
        <v>374</v>
      </c>
      <c r="H45" s="238" t="n">
        <f aca="false">(H39-H44)</f>
        <v>19500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29.9725300665895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650.595727376939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650.595727376939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650.595727376939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23400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10000.0</v>
      </c>
      <c r="D64" s="291" t="n">
        <f aca="false">B64</f>
        <v>10000</v>
      </c>
      <c r="E64" s="466" t="n">
        <f aca="false">D64/(B58+B57)</f>
        <v>285.714285714286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0.00979166666666667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229.125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157.5</v>
      </c>
      <c r="C73" s="215"/>
      <c r="D73" s="472" t="n">
        <f aca="false">B73+B71</f>
        <v>317.5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275.0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870</v>
      </c>
      <c r="C76" s="215"/>
      <c r="D76" s="291" t="n">
        <f aca="false">B76</f>
        <v>870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12.6984126984127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473"/>
      <c r="D80" s="291" t="n">
        <f aca="false">B80</f>
        <v>100</v>
      </c>
      <c r="E80" s="466" t="n">
        <f aca="false">(D73+D76+D79+D80)/(B58+B57)</f>
        <v>45.3571428571429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12254.1666666667</v>
      </c>
      <c r="C81" s="473"/>
      <c r="D81" s="474"/>
      <c r="E81" s="466"/>
      <c r="F81" s="63"/>
      <c r="G81" s="303" t="s">
        <v>102</v>
      </c>
      <c r="H81" s="304" t="n">
        <f aca="false">SUM(J64:J80)</f>
        <v>1047.5</v>
      </c>
      <c r="I81" s="215"/>
      <c r="J81" s="215"/>
      <c r="K81" s="216"/>
      <c r="L81" s="63"/>
      <c r="M81" s="303" t="s">
        <v>102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350.119047619048</v>
      </c>
      <c r="C82" s="473"/>
      <c r="D82" s="215"/>
      <c r="E82" s="466"/>
      <c r="F82" s="63"/>
      <c r="G82" s="214" t="s">
        <v>103</v>
      </c>
      <c r="H82" s="300" t="n">
        <f aca="false">H81/H29</f>
        <v>29.9285714285714</v>
      </c>
      <c r="I82" s="215"/>
      <c r="J82" s="215"/>
      <c r="K82" s="216"/>
      <c r="L82" s="63"/>
      <c r="M82" s="214" t="s">
        <v>103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650.595727376939</v>
      </c>
      <c r="C83" s="473"/>
      <c r="D83" s="215"/>
      <c r="E83" s="466" t="n">
        <f aca="false">B83+E80+E77+E64</f>
        <v>994.36556864678</v>
      </c>
      <c r="F83" s="63"/>
      <c r="G83" s="305" t="s">
        <v>104</v>
      </c>
      <c r="H83" s="306" t="n">
        <f aca="false">H47</f>
        <v>650.595727376939</v>
      </c>
      <c r="I83" s="215"/>
      <c r="J83" s="215"/>
      <c r="K83" s="216"/>
      <c r="L83" s="63"/>
      <c r="M83" s="305" t="s">
        <v>104</v>
      </c>
      <c r="N83" s="306" t="n">
        <f aca="false">H47</f>
        <v>650.595727376939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42030.0205498314</v>
      </c>
      <c r="C85" s="473"/>
      <c r="D85" s="473"/>
      <c r="E85" s="466" t="n">
        <f aca="false">B85/(B58+B57)</f>
        <v>1200.85772999518</v>
      </c>
      <c r="F85" s="63"/>
      <c r="G85" s="288" t="s">
        <v>114</v>
      </c>
      <c r="H85" s="131" t="n">
        <f aca="false">((H83*H29)+H81)*1.2</f>
        <v>28582.0205498314</v>
      </c>
      <c r="I85" s="215"/>
      <c r="J85" s="215"/>
      <c r="K85" s="216"/>
      <c r="L85" s="63"/>
      <c r="M85" s="288" t="s">
        <v>114</v>
      </c>
      <c r="N85" s="131" t="n">
        <f aca="false">((N83*H29)+N81)</f>
        <v>23488.3504581929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296.702444381626</v>
      </c>
      <c r="C86" s="473" t="s">
        <v>230</v>
      </c>
      <c r="D86" s="215"/>
      <c r="E86" s="466" t="n">
        <f aca="false">B86/(B58+B57)</f>
        <v>8.47721269661788</v>
      </c>
      <c r="F86" s="63"/>
      <c r="G86" s="214" t="s">
        <v>115</v>
      </c>
      <c r="H86" s="300" t="n">
        <f aca="false">((((H83*H29)+H81))/(1-H70))*H70</f>
        <v>201.769003478036</v>
      </c>
      <c r="I86" s="215"/>
      <c r="J86" s="215"/>
      <c r="K86" s="216"/>
      <c r="L86" s="63"/>
      <c r="M86" s="214" t="s">
        <v>115</v>
      </c>
      <c r="N86" s="300" t="n">
        <f aca="false">(N85/(1-N70))*N70</f>
        <v>198.973521428822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42326.7229942131</v>
      </c>
      <c r="C87" s="473"/>
      <c r="D87" s="475"/>
      <c r="E87" s="466" t="n">
        <f aca="false">E86+E85</f>
        <v>1209.3349426918</v>
      </c>
      <c r="F87" s="63"/>
      <c r="G87" s="285" t="s">
        <v>116</v>
      </c>
      <c r="H87" s="133" t="n">
        <f aca="false">IF(H110="YES",((H85+H86)-K114),(H85+H86))</f>
        <v>28783.7895533095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23687.3239796217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(I32+(I32*B105))/(B57+B58))*(C45/100)*1.2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1209.3349426918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719.594738832737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592.183099490542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1209.3349426918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719.594738832737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592.183099490542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1000.0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389</v>
      </c>
      <c r="B105" s="314" t="n">
        <v>0.2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393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(E118)+E117-E114</f>
        <v>-2760.01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719.594738832737</v>
      </c>
      <c r="H127" s="177" t="n">
        <f aca="false">IF(G105="YES", H89*H57, 0)</f>
        <v>0</v>
      </c>
      <c r="I127" s="177"/>
      <c r="J127" s="334" t="n">
        <f aca="false">H91</f>
        <v>719.594738832737</v>
      </c>
      <c r="K127" s="216"/>
      <c r="L127" s="63"/>
      <c r="M127" s="333" t="n">
        <f aca="false">N90</f>
        <v>592.183099490542</v>
      </c>
      <c r="N127" s="177" t="n">
        <f aca="false">IF(M105="YES", N89*N57, 0)</f>
        <v>0</v>
      </c>
      <c r="O127" s="177"/>
      <c r="P127" s="177" t="n">
        <f aca="false">N91</f>
        <v>592.183099490542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1209.3349426918</v>
      </c>
      <c r="B128" s="321" t="n">
        <f aca="false">IF(A105="YES", B89, 0)</f>
        <v>0</v>
      </c>
      <c r="C128" s="325"/>
      <c r="D128" s="321" t="n">
        <f aca="false">B91</f>
        <v>1209.3349426918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1209.3349426918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4317.56843299642</v>
      </c>
      <c r="H133" s="103" t="n">
        <f aca="false">IF(G105="YES", H89*H57, 0)</f>
        <v>0</v>
      </c>
      <c r="I133" s="221"/>
      <c r="J133" s="184" t="n">
        <f aca="false">H91*H57</f>
        <v>4317.56843299642</v>
      </c>
      <c r="K133" s="216"/>
      <c r="L133" s="63"/>
      <c r="M133" s="185" t="n">
        <f aca="false">N90*N57</f>
        <v>3553.09859694325</v>
      </c>
      <c r="N133" s="103" t="n">
        <f aca="false">IF(M105="YES", N89*N57, 0)</f>
        <v>0</v>
      </c>
      <c r="O133" s="221"/>
      <c r="P133" s="184" t="n">
        <f aca="false">N91*N57</f>
        <v>3553.09859694325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1209.3349426918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1209.3349426918</v>
      </c>
      <c r="B137" s="38" t="n">
        <f aca="false">IF(A105="YES", B89, 0)</f>
        <v>0</v>
      </c>
      <c r="C137" s="317"/>
      <c r="D137" s="38" t="n">
        <f aca="false">B91</f>
        <v>1209.3349426918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229.125</v>
      </c>
      <c r="B148" s="103" t="n">
        <f aca="false">B102</f>
        <v>400</v>
      </c>
      <c r="C148" s="38"/>
      <c r="D148" s="38" t="n">
        <f aca="false">IF(A105="YES", (B40*B105)*B125, 0)*0.1</f>
        <v>0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729.116666666667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719.594738832737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592.183099490542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1209.3349426918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1209.3349426918</v>
      </c>
      <c r="B177" s="355" t="n">
        <f aca="false">IF(A105="YES", B89, 0)</f>
        <v>0</v>
      </c>
      <c r="C177" s="357"/>
      <c r="D177" s="355" t="n">
        <f aca="false">B91</f>
        <v>1209.3349426918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1209.3349426918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1209.3349426918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1209.3349426918</v>
      </c>
      <c r="B186" s="103" t="n">
        <f aca="false">IF(A105="YES", B89, 0)</f>
        <v>0</v>
      </c>
      <c r="C186" s="353"/>
      <c r="D186" s="103" t="n">
        <f aca="false">B91</f>
        <v>1209.3349426918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229.125</v>
      </c>
      <c r="B197" s="103" t="n">
        <f aca="false">B102</f>
        <v>400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E118/1.2-100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729.116666666667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229.125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10110.8666666667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0.00979166666666667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229.125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10110.8666666667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317.5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296.702444381626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3900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389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35.0</v>
      </c>
      <c r="I29" s="387"/>
      <c r="J29" s="63"/>
      <c r="K29" s="63" t="n">
        <v>35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403</v>
      </c>
      <c r="C30" s="172"/>
      <c r="D30" s="215"/>
      <c r="E30" s="216"/>
      <c r="F30" s="63"/>
      <c r="G30" s="218" t="s">
        <v>32</v>
      </c>
      <c r="H30" s="457" t="n">
        <v>35000.0</v>
      </c>
      <c r="I30" s="63"/>
      <c r="J30" s="63"/>
      <c r="K30" s="63" t="n">
        <v>35000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0.0</v>
      </c>
      <c r="I31" s="63"/>
      <c r="J31" s="63"/>
      <c r="K31" s="63" t="n">
        <v>80000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0.0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12</v>
      </c>
      <c r="B33" s="229" t="n">
        <v>10000</v>
      </c>
      <c r="C33" s="230"/>
      <c r="D33" s="459" t="n">
        <f aca="false">H48</f>
        <v>414.659015800854</v>
      </c>
      <c r="E33" s="216"/>
      <c r="F33" s="63"/>
      <c r="G33" s="219" t="s">
        <v>356</v>
      </c>
      <c r="H33" s="460" t="n">
        <f aca="false">E21-E11</f>
        <v>19500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12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401.659015800854</v>
      </c>
      <c r="B36" s="103" t="n">
        <f aca="false">IF(B26="YES", H42, "")</f>
        <v>13</v>
      </c>
      <c r="C36" s="221"/>
      <c r="D36" s="184" t="n">
        <f aca="false">H31</f>
        <v>19230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19500</v>
      </c>
      <c r="I39" s="238" t="n">
        <f aca="false">(I48*H46)+H44</f>
        <v>30887.7041334893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19230</v>
      </c>
      <c r="B40" s="107" t="n">
        <f aca="false">IF(B26="YES",H42,"0")</f>
        <v>13</v>
      </c>
      <c r="C40" s="107"/>
      <c r="D40" s="184" t="n">
        <f aca="false">I32</f>
        <v>156</v>
      </c>
      <c r="E40" s="216"/>
      <c r="F40" s="63"/>
      <c r="G40" s="63" t="s">
        <v>106</v>
      </c>
      <c r="H40" s="238" t="n">
        <f aca="false">A40/1.2</f>
        <v>16025</v>
      </c>
      <c r="I40" s="238" t="n">
        <f aca="false">H39-I39</f>
        <v>-11387.7041334893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13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14857.97849898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100.0</v>
      </c>
      <c r="D45" s="463"/>
      <c r="E45" s="216"/>
      <c r="F45" s="63"/>
      <c r="G45" s="63" t="s">
        <v>374</v>
      </c>
      <c r="H45" s="238" t="n">
        <f aca="false">(H39-H44)</f>
        <v>4642.02150102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11.5571201402374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401.659015800854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414.659015800854</v>
      </c>
      <c r="I48" s="238" t="n">
        <f aca="false">I49-H42</f>
        <v>1387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H48</f>
        <v>414.659015800854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11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11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11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23400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0.07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10000</v>
      </c>
      <c r="C64" s="465" t="n">
        <v>10000.0</v>
      </c>
      <c r="D64" s="291" t="n">
        <f aca="false">B64</f>
        <v>10000</v>
      </c>
      <c r="E64" s="466" t="n">
        <f aca="false">D64/(B58+B57)</f>
        <v>833.333333333333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117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472" t="n">
        <f aca="false">B73+B71</f>
        <v>214</v>
      </c>
      <c r="E73" s="216" t="s">
        <v>227</v>
      </c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285" t="s">
        <v>99</v>
      </c>
      <c r="N73" s="133" t="n">
        <f aca="false">N72*H29</f>
        <v>54</v>
      </c>
      <c r="O73" s="215"/>
      <c r="P73" s="291" t="n">
        <f aca="false">N73+N71</f>
        <v>214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275.0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314.166666666667</v>
      </c>
      <c r="C76" s="215"/>
      <c r="D76" s="291" t="n">
        <f aca="false">B76</f>
        <v>314.166666666667</v>
      </c>
      <c r="E76" s="216"/>
      <c r="F76" s="63"/>
      <c r="G76" s="285" t="s">
        <v>281</v>
      </c>
      <c r="H76" s="133" t="n">
        <f aca="false">((H74+H75)/12)*(H29-11)</f>
        <v>13.75</v>
      </c>
      <c r="I76" s="215"/>
      <c r="J76" s="291" t="n">
        <f aca="false">H76</f>
        <v>13.75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473"/>
      <c r="D80" s="291" t="n">
        <f aca="false">B80</f>
        <v>100</v>
      </c>
      <c r="E80" s="466" t="n">
        <f aca="false">(D73+D76+D79+D80)/(B58+B57)</f>
        <v>77.3472222222222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10928.1666666667</v>
      </c>
      <c r="C81" s="473"/>
      <c r="D81" s="474"/>
      <c r="E81" s="466"/>
      <c r="F81" s="63"/>
      <c r="G81" s="303" t="s">
        <v>102</v>
      </c>
      <c r="H81" s="304" t="n">
        <f aca="false">SUM(J64:J80)</f>
        <v>627.75</v>
      </c>
      <c r="I81" s="215"/>
      <c r="J81" s="215"/>
      <c r="K81" s="216"/>
      <c r="L81" s="63"/>
      <c r="M81" s="303" t="s">
        <v>102</v>
      </c>
      <c r="N81" s="304" t="n">
        <f aca="false">SUM(P64:P80)</f>
        <v>614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910.680555555556</v>
      </c>
      <c r="C82" s="473"/>
      <c r="D82" s="215"/>
      <c r="E82" s="466"/>
      <c r="F82" s="63"/>
      <c r="G82" s="214" t="s">
        <v>103</v>
      </c>
      <c r="H82" s="300" t="n">
        <f aca="false">H81/H29</f>
        <v>52.3125</v>
      </c>
      <c r="I82" s="215"/>
      <c r="J82" s="215"/>
      <c r="K82" s="216"/>
      <c r="L82" s="63"/>
      <c r="M82" s="214" t="s">
        <v>103</v>
      </c>
      <c r="N82" s="300" t="n">
        <f aca="false">N81/H29</f>
        <v>51.1666666666667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401.659015800854</v>
      </c>
      <c r="C83" s="473"/>
      <c r="D83" s="215"/>
      <c r="E83" s="466" t="n">
        <f aca="false">B83+E80+E77+E64</f>
        <v>1312.33957135641</v>
      </c>
      <c r="F83" s="63"/>
      <c r="G83" s="305" t="s">
        <v>104</v>
      </c>
      <c r="H83" s="306" t="n">
        <f aca="false">H47</f>
        <v>401.659015800854</v>
      </c>
      <c r="I83" s="215"/>
      <c r="J83" s="215"/>
      <c r="K83" s="216"/>
      <c r="L83" s="63"/>
      <c r="M83" s="305" t="s">
        <v>104</v>
      </c>
      <c r="N83" s="306" t="n">
        <f aca="false">H47</f>
        <v>401.659015800854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15748.0748562769</v>
      </c>
      <c r="C85" s="473"/>
      <c r="D85" s="473"/>
      <c r="E85" s="466" t="n">
        <f aca="false">B85/(B58+B57)</f>
        <v>1312.33957135641</v>
      </c>
      <c r="F85" s="63"/>
      <c r="G85" s="288" t="s">
        <v>114</v>
      </c>
      <c r="H85" s="131" t="n">
        <f aca="false">((H83*H29)+H81)*1.2</f>
        <v>6537.1898275323</v>
      </c>
      <c r="I85" s="215"/>
      <c r="J85" s="215"/>
      <c r="K85" s="216"/>
      <c r="L85" s="63"/>
      <c r="M85" s="288" t="s">
        <v>114</v>
      </c>
      <c r="N85" s="131" t="n">
        <f aca="false">((N83*H29)+N81)</f>
        <v>5433.90818961025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133.404425970882</v>
      </c>
      <c r="C86" s="473" t="s">
        <v>230</v>
      </c>
      <c r="D86" s="215"/>
      <c r="E86" s="466" t="n">
        <f aca="false">B86/(B58+B57)</f>
        <v>11.1170354975735</v>
      </c>
      <c r="F86" s="63"/>
      <c r="G86" s="214" t="s">
        <v>115</v>
      </c>
      <c r="H86" s="300" t="n">
        <f aca="false">((((H83*H29)+H81))/(1-H70))*H70</f>
        <v>46.1479717554721</v>
      </c>
      <c r="I86" s="215"/>
      <c r="J86" s="215"/>
      <c r="K86" s="216"/>
      <c r="L86" s="63"/>
      <c r="M86" s="214" t="s">
        <v>115</v>
      </c>
      <c r="N86" s="300" t="n">
        <f aca="false">(N85/(1-N70))*N70</f>
        <v>46.0314933367549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15881.4792822478</v>
      </c>
      <c r="C87" s="473"/>
      <c r="D87" s="475"/>
      <c r="E87" s="466" t="n">
        <f aca="false">E86+E85</f>
        <v>1323.45660685398</v>
      </c>
      <c r="F87" s="63"/>
      <c r="G87" s="285" t="s">
        <v>116</v>
      </c>
      <c r="H87" s="133" t="n">
        <f aca="false">IF(H110="YES",((H85+H86)-K114),(H85+H86))</f>
        <v>6583.33779928777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5479.93968294701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16.9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13.2141176470588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11.0117647058824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1323.45660685398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387.255164663987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322.34939311453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1340.35660685398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400.469282311046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333.361157820412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0.0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0.0</v>
      </c>
      <c r="C102" s="107"/>
      <c r="D102" s="107" t="n">
        <v>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389</v>
      </c>
      <c r="B105" s="314" t="n">
        <v>0.2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393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0</v>
      </c>
      <c r="E113" s="107" t="n">
        <v>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0</v>
      </c>
      <c r="E114" s="167" t="n">
        <f aca="false">E112-E113</f>
        <v>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(E118*1.2)+E117-E114</f>
        <v>239.988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387.255164663987</v>
      </c>
      <c r="H127" s="177" t="n">
        <f aca="false">IF(G105="YES", H89*H57, 0)</f>
        <v>79.2847058823529</v>
      </c>
      <c r="I127" s="177"/>
      <c r="J127" s="334" t="n">
        <f aca="false">H91</f>
        <v>400.469282311046</v>
      </c>
      <c r="K127" s="216"/>
      <c r="L127" s="63"/>
      <c r="M127" s="333" t="n">
        <f aca="false">N90</f>
        <v>322.34939311453</v>
      </c>
      <c r="N127" s="177" t="n">
        <f aca="false">IF(M105="YES", N89*N57, 0)</f>
        <v>66.0705882352941</v>
      </c>
      <c r="O127" s="177"/>
      <c r="P127" s="177" t="n">
        <f aca="false">N91</f>
        <v>333.361157820412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1323.45660685398</v>
      </c>
      <c r="B128" s="321" t="n">
        <f aca="false">IF(A105="YES", B89, 0)</f>
        <v>16.9</v>
      </c>
      <c r="C128" s="325"/>
      <c r="D128" s="321" t="n">
        <f aca="false">B91</f>
        <v>1340.35660685398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12</v>
      </c>
      <c r="H130" s="229" t="n">
        <f aca="false">B151</f>
        <v>0</v>
      </c>
      <c r="I130" s="230"/>
      <c r="J130" s="229" t="n">
        <f aca="false">B58</f>
        <v>11</v>
      </c>
      <c r="K130" s="216"/>
      <c r="L130" s="63"/>
      <c r="M130" s="228" t="n">
        <f aca="false">M155</f>
        <v>12</v>
      </c>
      <c r="N130" s="229" t="n">
        <f aca="false">B151</f>
        <v>0</v>
      </c>
      <c r="O130" s="230"/>
      <c r="P130" s="229" t="n">
        <f aca="false">B58</f>
        <v>11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1323.45660685398</v>
      </c>
      <c r="C131" s="317"/>
      <c r="D131" s="38" t="n">
        <f aca="false">IF(A105="YES", B89*B57, 0)</f>
        <v>16.9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2323.53098798392</v>
      </c>
      <c r="H133" s="103" t="n">
        <f aca="false">IF(G105="YES", H89*H57, 0)</f>
        <v>79.2847058823529</v>
      </c>
      <c r="I133" s="221"/>
      <c r="J133" s="184" t="n">
        <f aca="false">H91*H57</f>
        <v>2402.81569386627</v>
      </c>
      <c r="K133" s="216"/>
      <c r="L133" s="63"/>
      <c r="M133" s="185" t="n">
        <f aca="false">N90*N57</f>
        <v>1934.09635868718</v>
      </c>
      <c r="N133" s="103" t="n">
        <f aca="false">IF(M105="YES", N89*N57, 0)</f>
        <v>66.0705882352941</v>
      </c>
      <c r="O133" s="221"/>
      <c r="P133" s="184" t="n">
        <f aca="false">N91*N57</f>
        <v>2000.16694692247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1340.35660685398</v>
      </c>
      <c r="B134" s="38" t="n">
        <f aca="false">E114</f>
        <v>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1323.45660685398</v>
      </c>
      <c r="B137" s="38" t="n">
        <f aca="false">IF(A105="YES", B89, 0)</f>
        <v>16.9</v>
      </c>
      <c r="C137" s="317"/>
      <c r="D137" s="38" t="n">
        <f aca="false">B91</f>
        <v>1340.35660685398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3.12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3.12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117</v>
      </c>
      <c r="B148" s="103" t="n">
        <f aca="false">B102</f>
        <v>0</v>
      </c>
      <c r="C148" s="38"/>
      <c r="D148" s="38" t="n">
        <f aca="false">IF(A105="YES", (B40*B105)*B125, 0)*0.1</f>
        <v>4.68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221.67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400.469282311046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12</v>
      </c>
      <c r="N155" s="74" t="n">
        <f aca="false">N91</f>
        <v>333.361157820412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1340.35660685398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12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1323.45660685398</v>
      </c>
      <c r="B177" s="355" t="n">
        <f aca="false">IF(A105="YES", B89, 0)</f>
        <v>16.9</v>
      </c>
      <c r="C177" s="357"/>
      <c r="D177" s="355" t="n">
        <f aca="false">B91</f>
        <v>1340.35660685398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1323.45660685398</v>
      </c>
      <c r="C180" s="353"/>
      <c r="D180" s="103" t="n">
        <f aca="false">IF(A105="YES", B89*B57, 0)</f>
        <v>16.9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1340.35660685398</v>
      </c>
      <c r="B183" s="103" t="n">
        <f aca="false">E114</f>
        <v>0</v>
      </c>
      <c r="C183" s="353"/>
      <c r="D183" s="361" t="n">
        <f aca="false">B58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1323.45660685398</v>
      </c>
      <c r="B186" s="103" t="n">
        <f aca="false">IF(A105="YES", B89, 0)</f>
        <v>16.9</v>
      </c>
      <c r="C186" s="353"/>
      <c r="D186" s="103" t="n">
        <f aca="false">B91</f>
        <v>1340.35660685398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117</v>
      </c>
      <c r="B197" s="103" t="n">
        <f aca="false">B102</f>
        <v>0</v>
      </c>
      <c r="C197" s="103"/>
      <c r="D197" s="103" t="n">
        <f aca="false">IF(A105="YES", (B40*B105)*B125, 0)*0.1</f>
        <v>4.68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221.67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146.79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10029.79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117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10029.79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46.8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133.404425970882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9" colorId="64" zoomScale="85" zoomScaleNormal="85" zoomScalePageLayoutView="100" workbookViewId="0">
      <selection pane="topLeft" activeCell="H148" activeCellId="0" sqref="H14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22000</v>
      </c>
      <c r="B37" s="32"/>
      <c r="C37" s="41" t="s">
        <v>45</v>
      </c>
      <c r="D37" s="41"/>
      <c r="E37" s="32"/>
      <c r="F37" s="43" t="n">
        <f aca="false">A37-C37</f>
        <v>21000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4400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283.333333333333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216.666666666667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219.333333333333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219.333333333333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249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219.333333333333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16550.9850972053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143.74998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219.333333333333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219.333333333333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219.333333333333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21000</v>
      </c>
      <c r="C90" s="32"/>
      <c r="D90" s="32"/>
      <c r="E90" s="23"/>
      <c r="F90" s="25" t="s">
        <v>105</v>
      </c>
      <c r="G90" s="27" t="n">
        <f aca="false">F37</f>
        <v>21000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5351.12605035243</v>
      </c>
      <c r="C95" s="32"/>
      <c r="D95" s="32"/>
      <c r="E95" s="23"/>
      <c r="F95" s="31" t="s">
        <v>110</v>
      </c>
      <c r="G95" s="33" t="n">
        <f aca="false">(G91/((1+G93)^(G94+1)))</f>
        <v>5623.39108453416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10.3929099999715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15648.8739496476</v>
      </c>
      <c r="C97" s="32"/>
      <c r="D97" s="32"/>
      <c r="E97" s="23"/>
      <c r="F97" s="31" t="s">
        <v>112</v>
      </c>
      <c r="G97" s="33" t="n">
        <f aca="false">G90-G95</f>
        <v>15376.6089154658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1505.72591792776</v>
      </c>
      <c r="C98" s="32"/>
      <c r="D98" s="32"/>
      <c r="E98" s="23"/>
      <c r="F98" s="31" t="s">
        <v>113</v>
      </c>
      <c r="G98" s="33" t="n">
        <f aca="false">(G97/G96)</f>
        <v>1443.71343665655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16562.9850972053</v>
      </c>
      <c r="C99" s="32"/>
      <c r="D99" s="32"/>
      <c r="E99" s="23"/>
      <c r="F99" s="31" t="s">
        <v>114</v>
      </c>
      <c r="G99" s="33" t="n">
        <f aca="false">((G98*(G94))+G86)</f>
        <v>15880.847803222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16562.9850972053</v>
      </c>
      <c r="C101" s="32"/>
      <c r="D101" s="32"/>
      <c r="E101" s="23"/>
      <c r="F101" s="56" t="s">
        <v>116</v>
      </c>
      <c r="G101" s="65" t="n">
        <f aca="false">(G99+G100)</f>
        <v>15880.847803222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1505.72591792776</v>
      </c>
      <c r="C104" s="32"/>
      <c r="D104" s="32"/>
      <c r="E104" s="23"/>
      <c r="F104" s="95" t="s">
        <v>118</v>
      </c>
      <c r="G104" s="96" t="n">
        <f aca="false">G101/(G94)</f>
        <v>1443.71343665655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1505.72591792776</v>
      </c>
      <c r="C105" s="32"/>
      <c r="D105" s="32"/>
      <c r="E105" s="23" t="s">
        <v>18</v>
      </c>
      <c r="F105" s="97" t="s">
        <v>119</v>
      </c>
      <c r="G105" s="98" t="n">
        <f aca="false">G103+G104</f>
        <v>1443.71343665655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141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26400</v>
      </c>
      <c r="C130" s="121" t="n">
        <v>23958.33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26400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26400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26400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26400</v>
      </c>
      <c r="C134" s="133" t="n">
        <f aca="false">C130-C133</f>
        <v>23958.33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22000</v>
      </c>
      <c r="H144" s="153" t="n">
        <f aca="false">C134+E134+G134+H137</f>
        <v>23958.33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4400</v>
      </c>
      <c r="H146" s="33" t="n">
        <f aca="false">(H144+H145)*20%</f>
        <v>4791.666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26400</v>
      </c>
      <c r="H150" s="157" t="n">
        <f aca="false">(H144+H145+H148+H149+H146)-H147</f>
        <v>28749.996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26400</v>
      </c>
      <c r="H156" s="164" t="n">
        <f aca="false">H150-((H153*1.2)+(H154*1.2)+(H155*1.2)+(H151*1.2))</f>
        <v>28749.996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1958.33</v>
      </c>
      <c r="I157" s="1" t="n">
        <f aca="false">(H157-G90)/1.2</f>
        <v>-15868.0583333333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28749.996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1505.72591792776</v>
      </c>
      <c r="B176" s="177" t="n">
        <f aca="false">B103</f>
        <v>0</v>
      </c>
      <c r="C176" s="174"/>
      <c r="D176" s="174"/>
      <c r="E176" s="177" t="n">
        <f aca="false">B105</f>
        <v>1505.72591792776</v>
      </c>
      <c r="F176" s="23"/>
      <c r="G176" s="23" t="n">
        <f aca="false">ROUND(G104, 2)</f>
        <v>1443.71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23958.33</v>
      </c>
      <c r="B182" s="103" t="n">
        <f aca="false">H146</f>
        <v>4791.666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28749.996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28749.996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-6187.01090279469</v>
      </c>
      <c r="B191" s="103" t="str">
        <f aca="false">B123</f>
        <v>239.99</v>
      </c>
      <c r="C191" s="103"/>
      <c r="D191" s="23"/>
      <c r="E191" s="103" t="n">
        <f aca="false">E188+A191+B191+A194</f>
        <v>22812.9750972053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8.97696</v>
      </c>
      <c r="B197" s="103" t="n">
        <f aca="false">(G167*B76)/1.2</f>
        <v>119.79165</v>
      </c>
      <c r="C197" s="93"/>
      <c r="D197" s="93"/>
      <c r="E197" s="103" t="n">
        <f aca="false">K55*A117*0.1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219.783316666667</v>
      </c>
      <c r="C200" s="93"/>
      <c r="D200" s="93"/>
      <c r="E200" s="103" t="n">
        <f aca="false">H157</f>
        <v>1958.33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1505.72591792776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-6869.186</v>
      </c>
      <c r="B210" s="186" t="n">
        <f aca="false">E188+A210+B191+A194</f>
        <v>22130.8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1505.72591792776</v>
      </c>
      <c r="B221" s="177" t="n">
        <f aca="false">B176</f>
        <v>0</v>
      </c>
      <c r="C221" s="174"/>
      <c r="D221" s="174"/>
      <c r="E221" s="177" t="n">
        <f aca="false">E176</f>
        <v>1505.72591792776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23958.33</v>
      </c>
      <c r="B224" s="103" t="n">
        <f aca="false">B182</f>
        <v>4791.666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28749.996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28749.996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-6187.01090279469</v>
      </c>
      <c r="B233" s="103" t="str">
        <f aca="false">B191</f>
        <v>239.99</v>
      </c>
      <c r="C233" s="103"/>
      <c r="D233" s="113"/>
      <c r="E233" s="103" t="n">
        <f aca="false">E191</f>
        <v>22812.9750972053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1505.72591792776</v>
      </c>
      <c r="B239" s="103" t="n">
        <f aca="false">B176</f>
        <v>0</v>
      </c>
      <c r="C239" s="186"/>
      <c r="D239" s="186"/>
      <c r="E239" s="103" t="n">
        <f aca="false">E176</f>
        <v>1505.72591792776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26.93088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8.97696</v>
      </c>
      <c r="B245" s="103" t="n">
        <f aca="false">E242+A245</f>
        <v>35.90784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1958.33</v>
      </c>
      <c r="B249" s="103" t="n">
        <f aca="false">B197</f>
        <v>119.79165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2178.11331666667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692.175097205312</v>
      </c>
      <c r="C263" s="197"/>
      <c r="D263" s="198" t="s">
        <v>216</v>
      </c>
      <c r="E263" s="198"/>
      <c r="F263" s="200" t="n">
        <f aca="false">F270+F276+F278+B279+B280</f>
        <v>143.74998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99.9916666666667</v>
      </c>
      <c r="C264" s="197"/>
      <c r="D264" s="198" t="s">
        <v>218</v>
      </c>
      <c r="E264" s="198"/>
      <c r="F264" s="200" t="n">
        <f aca="false">(B263-F263)+B264</f>
        <v>648.416783871979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16562.9850972053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143.74998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648.416783871979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48" activeCellId="0" sqref="H14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22000</v>
      </c>
      <c r="B37" s="32"/>
      <c r="C37" s="41" t="s">
        <v>45</v>
      </c>
      <c r="D37" s="41"/>
      <c r="E37" s="32"/>
      <c r="F37" s="43" t="n">
        <f aca="false">A37-C37</f>
        <v>21000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4400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283.333333333333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266.666666666667</v>
      </c>
      <c r="L45" s="2"/>
    </row>
    <row r="46" customFormat="false" ht="17.35" hidden="false" customHeight="false" outlineLevel="0" collapsed="false">
      <c r="A46" s="40" t="s">
        <v>233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269.333333333333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219.333333333333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249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269.333333333333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16550.9850972053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143.74998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269.333333333333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269.333333333333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269.333333333333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21000</v>
      </c>
      <c r="C90" s="32"/>
      <c r="D90" s="32"/>
      <c r="E90" s="23"/>
      <c r="F90" s="25" t="s">
        <v>105</v>
      </c>
      <c r="G90" s="27" t="n">
        <f aca="false">F37</f>
        <v>21000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5351.12605035243</v>
      </c>
      <c r="C95" s="32"/>
      <c r="D95" s="32"/>
      <c r="E95" s="23"/>
      <c r="F95" s="31" t="s">
        <v>110</v>
      </c>
      <c r="G95" s="33" t="n">
        <f aca="false">(G91/((1+G93)^(G94+1)))</f>
        <v>5623.39108453416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10.3929099999715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15648.8739496476</v>
      </c>
      <c r="C97" s="32"/>
      <c r="D97" s="32"/>
      <c r="E97" s="23"/>
      <c r="F97" s="31" t="s">
        <v>112</v>
      </c>
      <c r="G97" s="33" t="n">
        <f aca="false">G90-G95</f>
        <v>15376.6089154658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1505.72591792776</v>
      </c>
      <c r="C98" s="32"/>
      <c r="D98" s="32"/>
      <c r="E98" s="23"/>
      <c r="F98" s="31" t="s">
        <v>113</v>
      </c>
      <c r="G98" s="33" t="n">
        <f aca="false">(G97/G96)</f>
        <v>1443.71343665655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16562.9850972053</v>
      </c>
      <c r="C99" s="32"/>
      <c r="D99" s="32"/>
      <c r="E99" s="23"/>
      <c r="F99" s="31" t="s">
        <v>114</v>
      </c>
      <c r="G99" s="33" t="n">
        <f aca="false">((G98*(G94))+G86)</f>
        <v>15880.847803222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16562.9850972053</v>
      </c>
      <c r="C101" s="32"/>
      <c r="D101" s="32"/>
      <c r="E101" s="23"/>
      <c r="F101" s="56" t="s">
        <v>116</v>
      </c>
      <c r="G101" s="65" t="n">
        <f aca="false">(G99+G100)</f>
        <v>15880.847803222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70.9090909090909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1505.72591792776</v>
      </c>
      <c r="C104" s="32"/>
      <c r="D104" s="32"/>
      <c r="E104" s="23"/>
      <c r="F104" s="95" t="s">
        <v>118</v>
      </c>
      <c r="G104" s="96" t="n">
        <f aca="false">G101/(G94)</f>
        <v>1443.71343665655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1576.63500883685</v>
      </c>
      <c r="C105" s="32"/>
      <c r="D105" s="32"/>
      <c r="E105" s="23" t="s">
        <v>18</v>
      </c>
      <c r="F105" s="97" t="s">
        <v>119</v>
      </c>
      <c r="G105" s="98" t="n">
        <f aca="false">G103+G104</f>
        <v>1443.71343665655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234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235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0.3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235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26400</v>
      </c>
      <c r="C130" s="121" t="n">
        <v>23958.33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26400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26400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26400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26400</v>
      </c>
      <c r="C134" s="133" t="n">
        <f aca="false">C130-C133</f>
        <v>23958.33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22000</v>
      </c>
      <c r="H144" s="153" t="n">
        <f aca="false">C134+E134+G134+H137</f>
        <v>23958.33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4400</v>
      </c>
      <c r="H146" s="33" t="n">
        <f aca="false">(H144+H145)*20%</f>
        <v>4791.666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26400</v>
      </c>
      <c r="H150" s="157" t="n">
        <f aca="false">(H144+H145+H148+H149+H146)-H147</f>
        <v>28749.996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26400</v>
      </c>
      <c r="H156" s="164" t="n">
        <f aca="false">H150-((H153*1.2)+(H154*1.2)+(H155*1.2)+(H151*1.2))</f>
        <v>28749.996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1958.33</v>
      </c>
      <c r="I157" s="1" t="n">
        <f aca="false">(H157-G90)/1.2</f>
        <v>-15868.0583333333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28749.996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1505.72591792776</v>
      </c>
      <c r="B176" s="177" t="n">
        <f aca="false">B103</f>
        <v>70.9090909090909</v>
      </c>
      <c r="C176" s="174"/>
      <c r="D176" s="174"/>
      <c r="E176" s="177" t="n">
        <f aca="false">B105</f>
        <v>1576.63500883685</v>
      </c>
      <c r="F176" s="23"/>
      <c r="G176" s="23" t="n">
        <f aca="false">ROUND(G104, 2)</f>
        <v>1443.71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12</v>
      </c>
      <c r="B179" s="180" t="str">
        <f aca="false">K30</f>
        <v>5000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23958.33</v>
      </c>
      <c r="B182" s="103" t="n">
        <f aca="false">H146</f>
        <v>4791.666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28749.996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28749.996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-6187.01090279469</v>
      </c>
      <c r="B191" s="103" t="str">
        <f aca="false">B123</f>
        <v>199.99</v>
      </c>
      <c r="C191" s="103"/>
      <c r="D191" s="23"/>
      <c r="E191" s="103" t="n">
        <f aca="false">E188+A191+(B191*1.2)+A194</f>
        <v>22812.9730972053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7.4808</v>
      </c>
      <c r="B197" s="103" t="n">
        <f aca="false">(G167*B76)/1.2</f>
        <v>119.79165</v>
      </c>
      <c r="C197" s="93"/>
      <c r="D197" s="93"/>
      <c r="E197" s="103" t="n">
        <f aca="false">K55*A117*0.1</f>
        <v>18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237.78165</v>
      </c>
      <c r="C200" s="93"/>
      <c r="D200" s="93"/>
      <c r="E200" s="103" t="n">
        <f aca="false">H157</f>
        <v>1958.33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1576.63500883685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-6869.186</v>
      </c>
      <c r="B210" s="186" t="n">
        <f aca="false">E188+A210+(B191*1.2)+A194</f>
        <v>22130.798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1505.72591792776</v>
      </c>
      <c r="B221" s="177" t="n">
        <f aca="false">B176</f>
        <v>70.9090909090909</v>
      </c>
      <c r="C221" s="174"/>
      <c r="D221" s="174"/>
      <c r="E221" s="177" t="n">
        <f aca="false">E176</f>
        <v>1576.63500883685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23958.33</v>
      </c>
      <c r="B224" s="103" t="n">
        <f aca="false">B182</f>
        <v>4791.666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28749.996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28749.996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-6187.01090279469</v>
      </c>
      <c r="B233" s="103" t="str">
        <f aca="false">B191</f>
        <v>199.99</v>
      </c>
      <c r="C233" s="103"/>
      <c r="D233" s="113"/>
      <c r="E233" s="103" t="n">
        <f aca="false">E191</f>
        <v>22812.9730972053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1505.72591792776</v>
      </c>
      <c r="B239" s="103" t="n">
        <f aca="false">B176</f>
        <v>70.9090909090909</v>
      </c>
      <c r="C239" s="186"/>
      <c r="D239" s="186"/>
      <c r="E239" s="103" t="n">
        <f aca="false">E176</f>
        <v>1576.63500883685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22.4424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7.4808</v>
      </c>
      <c r="B245" s="103" t="n">
        <f aca="false">E242+A245</f>
        <v>29.9232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1958.33</v>
      </c>
      <c r="B249" s="103" t="n">
        <f aca="false">B197</f>
        <v>119.79165</v>
      </c>
      <c r="C249" s="93"/>
      <c r="D249" s="93"/>
      <c r="E249" s="103" t="n">
        <f aca="false">E197</f>
        <v>18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2196.11165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692.175097205312</v>
      </c>
      <c r="C263" s="197"/>
      <c r="D263" s="198" t="s">
        <v>216</v>
      </c>
      <c r="E263" s="198"/>
      <c r="F263" s="200" t="n">
        <f aca="false">F270+F276+F278+B279+B280</f>
        <v>143.74998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279.99</v>
      </c>
      <c r="C264" s="197"/>
      <c r="D264" s="198" t="s">
        <v>218</v>
      </c>
      <c r="E264" s="198"/>
      <c r="F264" s="200" t="n">
        <f aca="false">(B263-F263)+B264</f>
        <v>828.415117205312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16562.9850972053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143.74998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0.3</v>
      </c>
      <c r="C271" s="32"/>
      <c r="D271" s="166" t="s">
        <v>222</v>
      </c>
      <c r="E271" s="166"/>
      <c r="F271" s="146" t="n">
        <f aca="false">E249*10</f>
        <v>180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828.415117205312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2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248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21000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20509.6597746903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269.5312125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21000</v>
      </c>
      <c r="C81" s="93"/>
      <c r="D81" s="93"/>
      <c r="E81" s="113"/>
      <c r="F81" s="25" t="s">
        <v>105</v>
      </c>
      <c r="G81" s="27" t="n">
        <f aca="false">B81</f>
        <v>21000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3912.46147414419</v>
      </c>
      <c r="C86" s="93" t="n">
        <f aca="false">(B82/((1+B84)^(B85+1)))</f>
        <v>3912.46147414419</v>
      </c>
      <c r="D86" s="93"/>
      <c r="E86" s="113"/>
      <c r="F86" s="31" t="s">
        <v>110</v>
      </c>
      <c r="G86" s="33" t="n">
        <f aca="false">(G82/((1+G84)^(G85+1)))</f>
        <v>4482.47999407216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26.0257317247775</v>
      </c>
      <c r="C87" s="93" t="n">
        <f aca="false">((1-(1/((1+B84)^B85)))/B84)</f>
        <v>26.0257317247775</v>
      </c>
      <c r="D87" s="93"/>
      <c r="E87" s="113"/>
      <c r="F87" s="31" t="s">
        <v>111</v>
      </c>
      <c r="G87" s="33" t="n">
        <f aca="false">((1-(1/((1+G84)^G85)))/G84)</f>
        <v>27.750948281323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17087.5385258558</v>
      </c>
      <c r="C88" s="93" t="n">
        <f aca="false">B81-B86</f>
        <v>17087.5385258558</v>
      </c>
      <c r="D88" s="93"/>
      <c r="E88" s="113"/>
      <c r="F88" s="31" t="s">
        <v>112</v>
      </c>
      <c r="G88" s="33" t="n">
        <f aca="false">G81-G86</f>
        <v>16517.5200059278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656.563231595436</v>
      </c>
      <c r="C89" s="93" t="n">
        <f aca="false">(B88/B87)</f>
        <v>656.563231595436</v>
      </c>
      <c r="D89" s="93"/>
      <c r="E89" s="113"/>
      <c r="F89" s="31" t="s">
        <v>113</v>
      </c>
      <c r="G89" s="33" t="n">
        <f aca="false">(G88/G87)</f>
        <v>595.205606615054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21010.023411054</v>
      </c>
      <c r="C90" s="93"/>
      <c r="D90" s="93"/>
      <c r="E90" s="113"/>
      <c r="F90" s="31" t="s">
        <v>114</v>
      </c>
      <c r="G90" s="33" t="n">
        <f aca="false">((G89*(G85))+G77)</f>
        <v>19046.5794116817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21010.023411054</v>
      </c>
      <c r="C92" s="93"/>
      <c r="D92" s="93"/>
      <c r="E92" s="113"/>
      <c r="F92" s="56" t="s">
        <v>116</v>
      </c>
      <c r="G92" s="65" t="n">
        <f aca="false">(G90+G91)</f>
        <v>19046.5794116817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656.563231595436</v>
      </c>
      <c r="C95" s="93"/>
      <c r="D95" s="93"/>
      <c r="E95" s="113"/>
      <c r="F95" s="95" t="s">
        <v>118</v>
      </c>
      <c r="G95" s="96" t="n">
        <f aca="false">G92/(G85)</f>
        <v>595.205606615054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656.563231595436</v>
      </c>
      <c r="C96" s="93"/>
      <c r="D96" s="93"/>
      <c r="E96" s="113"/>
      <c r="F96" s="97" t="s">
        <v>119</v>
      </c>
      <c r="G96" s="98" t="n">
        <f aca="false">G94+G95</f>
        <v>595.205606615054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26400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26400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22000</v>
      </c>
      <c r="H135" s="153" t="n">
        <f aca="false">C125+E125+G125+H128</f>
        <v>23958.33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-15868.0583333333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28749.996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656.563231595436</v>
      </c>
      <c r="B167" s="177" t="str">
        <f aca="false">B94</f>
        <v>0</v>
      </c>
      <c r="C167" s="174"/>
      <c r="D167" s="174"/>
      <c r="E167" s="177" t="n">
        <f aca="false">B96</f>
        <v>656.563231595436</v>
      </c>
      <c r="F167" s="23"/>
      <c r="G167" s="23" t="n">
        <f aca="false">ROUND(G95, 2)</f>
        <v>595.21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28749.996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28749.996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-1739.97258894604</v>
      </c>
      <c r="B182" s="103" t="str">
        <f aca="false">B114</f>
        <v>239.99</v>
      </c>
      <c r="C182" s="103"/>
      <c r="D182" s="23"/>
      <c r="E182" s="103" t="n">
        <f aca="false">E179+A182+B182+A185</f>
        <v>27260.013411054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8.97696</v>
      </c>
      <c r="B188" s="103" t="n">
        <f aca="false">(G158*B67)/1.2</f>
        <v>224.60934375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324.601010416667</v>
      </c>
      <c r="C191" s="93"/>
      <c r="D191" s="93"/>
      <c r="E191" s="103" t="n">
        <f aca="false">H148</f>
        <v>1958.33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656.563231595436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-3703.276</v>
      </c>
      <c r="B201" s="186" t="n">
        <f aca="false">E179+A201+B182+A185</f>
        <v>25296.71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656.563231595436</v>
      </c>
      <c r="B212" s="177" t="str">
        <f aca="false">B167</f>
        <v>0</v>
      </c>
      <c r="C212" s="174"/>
      <c r="D212" s="174"/>
      <c r="E212" s="177" t="n">
        <f aca="false">E167</f>
        <v>656.563231595436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28749.996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-1739.97258894604</v>
      </c>
      <c r="B224" s="103" t="str">
        <f aca="false">B182</f>
        <v>239.99</v>
      </c>
      <c r="C224" s="103"/>
      <c r="D224" s="113"/>
      <c r="E224" s="103" t="n">
        <f aca="false">E182</f>
        <v>27260.013411054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656.563231595436</v>
      </c>
      <c r="B230" s="103" t="str">
        <f aca="false">B167</f>
        <v>0</v>
      </c>
      <c r="C230" s="186"/>
      <c r="D230" s="186"/>
      <c r="E230" s="103" t="n">
        <f aca="false">E167</f>
        <v>656.563231595436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J18*0.000006*100*1.2</f>
        <v>26.93088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8.97696</v>
      </c>
      <c r="B236" s="103" t="n">
        <f aca="false">E233+A236</f>
        <v>35.90784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B188</f>
        <v>224.60934375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2282.93101041667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1973.30341105396</v>
      </c>
      <c r="C254" s="197"/>
      <c r="D254" s="198" t="s">
        <v>216</v>
      </c>
      <c r="E254" s="198"/>
      <c r="F254" s="200" t="n">
        <f aca="false">F261+F267+F269+B270+B271</f>
        <v>269.5312125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1803.76386522063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269.5312125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1803.76386522063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249</v>
      </c>
      <c r="I36" s="0"/>
      <c r="J36" s="44" t="s">
        <v>51</v>
      </c>
      <c r="K36" s="52" t="n">
        <f aca="false">K32-K34</f>
        <v>21000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n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16061.9850972053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143.74998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21000</v>
      </c>
      <c r="C81" s="93"/>
      <c r="D81" s="93"/>
      <c r="E81" s="113"/>
      <c r="F81" s="25" t="s">
        <v>105</v>
      </c>
      <c r="G81" s="27" t="n">
        <f aca="false">B81</f>
        <v>21000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5351.12605035243</v>
      </c>
      <c r="C86" s="93" t="n">
        <f aca="false">(B82/((1+B84)^(B85+1)))</f>
        <v>5351.12605035243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10.3929099999715</v>
      </c>
      <c r="C87" s="93" t="n">
        <f aca="false">((1-(1/((1+B84)^B85)))/B84)</f>
        <v>10.3929099999715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15648.8739496476</v>
      </c>
      <c r="C88" s="93" t="n">
        <f aca="false">B81-B86</f>
        <v>15648.8739496476</v>
      </c>
      <c r="D88" s="93"/>
      <c r="E88" s="113"/>
      <c r="F88" s="31" t="s">
        <v>112</v>
      </c>
      <c r="G88" s="33" t="n">
        <f aca="false">G81-G86</f>
        <v>15376.6089154658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1505.72591792776</v>
      </c>
      <c r="C89" s="93" t="n">
        <f aca="false">(B88/B87)</f>
        <v>1505.72591792776</v>
      </c>
      <c r="D89" s="93"/>
      <c r="E89" s="113"/>
      <c r="F89" s="31" t="s">
        <v>113</v>
      </c>
      <c r="G89" s="33" t="n">
        <f aca="false">(G88/G87)</f>
        <v>1443.71343665655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16562.9850972053</v>
      </c>
      <c r="C90" s="93"/>
      <c r="D90" s="93"/>
      <c r="E90" s="113"/>
      <c r="F90" s="31" t="s">
        <v>114</v>
      </c>
      <c r="G90" s="33" t="n">
        <f aca="false">((G89*(G85))+G77)</f>
        <v>15880.847803222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16562.9850972053</v>
      </c>
      <c r="C92" s="93"/>
      <c r="D92" s="93"/>
      <c r="E92" s="113"/>
      <c r="F92" s="56" t="s">
        <v>116</v>
      </c>
      <c r="G92" s="65" t="n">
        <f aca="false">(G90+G91)</f>
        <v>15880.847803222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1505.72591792776</v>
      </c>
      <c r="C95" s="93"/>
      <c r="D95" s="93"/>
      <c r="E95" s="113"/>
      <c r="F95" s="95" t="s">
        <v>118</v>
      </c>
      <c r="G95" s="96" t="n">
        <f aca="false">G92/(G85)</f>
        <v>1443.71343665655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1505.72591792776</v>
      </c>
      <c r="C96" s="93"/>
      <c r="D96" s="93"/>
      <c r="E96" s="113"/>
      <c r="F96" s="97" t="s">
        <v>119</v>
      </c>
      <c r="G96" s="98" t="n">
        <f aca="false">G94+G95</f>
        <v>1443.71343665655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26400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26400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22000</v>
      </c>
      <c r="H135" s="153" t="n">
        <f aca="false">C125+E125+G125+H128</f>
        <v>23958.33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-15868.0583333333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28749.996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1505.72591792776</v>
      </c>
      <c r="B167" s="177" t="n">
        <f aca="false">B94</f>
        <v>0</v>
      </c>
      <c r="C167" s="174"/>
      <c r="D167" s="174"/>
      <c r="E167" s="177" t="n">
        <f aca="false">B96</f>
        <v>1505.72591792776</v>
      </c>
      <c r="F167" s="23"/>
      <c r="G167" s="23" t="n">
        <f aca="false">ROUND(G95, 2)</f>
        <v>1443.71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180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28749.996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28749.996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-6187.01090279469</v>
      </c>
      <c r="B182" s="103" t="str">
        <f aca="false">B114</f>
        <v>199.99</v>
      </c>
      <c r="C182" s="103"/>
      <c r="D182" s="23"/>
      <c r="E182" s="103" t="n">
        <f aca="false">E179+A182+(B182*1.2)+A185</f>
        <v>22812.9730972053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7.4808</v>
      </c>
      <c r="B188" s="103" t="n">
        <f aca="false">(G158*B67)/1.2</f>
        <v>119.79165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219.78165</v>
      </c>
      <c r="C191" s="93"/>
      <c r="D191" s="93"/>
      <c r="E191" s="103" t="n">
        <f aca="false">H148</f>
        <v>1958.33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1505.72591792776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-6869.186</v>
      </c>
      <c r="B201" s="186" t="n">
        <f aca="false">E179+A201+(B182*1.2)+A185</f>
        <v>22130.798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1505.72591792776</v>
      </c>
      <c r="B212" s="177" t="n">
        <f aca="false">B167</f>
        <v>0</v>
      </c>
      <c r="C212" s="174"/>
      <c r="D212" s="174"/>
      <c r="E212" s="177" t="n">
        <f aca="false">E167</f>
        <v>1505.72591792776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28749.996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-6187.01090279469</v>
      </c>
      <c r="B224" s="103" t="str">
        <f aca="false">B182</f>
        <v>199.99</v>
      </c>
      <c r="C224" s="103"/>
      <c r="D224" s="113"/>
      <c r="E224" s="103" t="n">
        <f aca="false">E182</f>
        <v>22812.9730972053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1505.72591792776</v>
      </c>
      <c r="B230" s="103" t="n">
        <f aca="false">B167</f>
        <v>0</v>
      </c>
      <c r="C230" s="186"/>
      <c r="D230" s="186"/>
      <c r="E230" s="103" t="n">
        <f aca="false">E167</f>
        <v>1505.72591792776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</f>
        <v>22.4424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7.4808</v>
      </c>
      <c r="B236" s="103" t="n">
        <f aca="false">E233+A236</f>
        <v>29.9232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B188</f>
        <v>119.79165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2178.11165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692.175097205312</v>
      </c>
      <c r="C254" s="197"/>
      <c r="D254" s="198" t="s">
        <v>216</v>
      </c>
      <c r="E254" s="198"/>
      <c r="F254" s="200" t="n">
        <f aca="false">F261+F267+F269+B270+B271</f>
        <v>143.74998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648.415117205312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143.74998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648.415117205312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21000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16631.1754280035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143.74998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21000</v>
      </c>
      <c r="C81" s="93"/>
      <c r="D81" s="93"/>
      <c r="E81" s="113"/>
      <c r="F81" s="25" t="s">
        <v>105</v>
      </c>
      <c r="G81" s="27" t="n">
        <f aca="false">B81</f>
        <v>21000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5135.98267310144</v>
      </c>
      <c r="C86" s="93" t="n">
        <f aca="false">(B82/((1+B84)^(B85+1)))</f>
        <v>5135.98267310144</v>
      </c>
      <c r="D86" s="93"/>
      <c r="E86" s="113"/>
      <c r="F86" s="31" t="s">
        <v>110</v>
      </c>
      <c r="G86" s="33" t="n">
        <f aca="false">(G82/((1+G84)^(G85+1)))</f>
        <v>5396.38500178872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10.1857578641559</v>
      </c>
      <c r="C87" s="93" t="n">
        <f aca="false">((1-(1/((1+B84)^B85)))/B84)</f>
        <v>10.1857578641559</v>
      </c>
      <c r="D87" s="93"/>
      <c r="E87" s="113"/>
      <c r="F87" s="31" t="s">
        <v>111</v>
      </c>
      <c r="G87" s="33" t="n">
        <f aca="false">((1-(1/((1+G84)^G85)))/G84)</f>
        <v>10.4360954238574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15864.0173268986</v>
      </c>
      <c r="C88" s="93" t="n">
        <f aca="false">B81-B86</f>
        <v>15864.0173268986</v>
      </c>
      <c r="D88" s="93"/>
      <c r="E88" s="113"/>
      <c r="F88" s="31" t="s">
        <v>112</v>
      </c>
      <c r="G88" s="33" t="n">
        <f aca="false">G81-G86</f>
        <v>15603.6149982113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1557.47049345486</v>
      </c>
      <c r="C89" s="93" t="n">
        <f aca="false">(B88/B87)</f>
        <v>1557.47049345486</v>
      </c>
      <c r="D89" s="93"/>
      <c r="E89" s="113"/>
      <c r="F89" s="31" t="s">
        <v>113</v>
      </c>
      <c r="G89" s="33" t="n">
        <f aca="false">(G88/G87)</f>
        <v>1495.15832928671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17132.1754280035</v>
      </c>
      <c r="C90" s="93"/>
      <c r="D90" s="93"/>
      <c r="E90" s="113"/>
      <c r="F90" s="31" t="s">
        <v>114</v>
      </c>
      <c r="G90" s="33" t="n">
        <f aca="false">((G89*(G85))+G77)</f>
        <v>16446.7416221538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17132.1754280035</v>
      </c>
      <c r="C92" s="93"/>
      <c r="D92" s="93"/>
      <c r="E92" s="113"/>
      <c r="F92" s="56" t="s">
        <v>116</v>
      </c>
      <c r="G92" s="65" t="n">
        <f aca="false">(G90+G91)</f>
        <v>16446.7416221538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1557.47049345486</v>
      </c>
      <c r="C95" s="93"/>
      <c r="D95" s="93"/>
      <c r="E95" s="113"/>
      <c r="F95" s="95" t="s">
        <v>118</v>
      </c>
      <c r="G95" s="96" t="n">
        <f aca="false">G92/(G85)</f>
        <v>1495.15832928671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1557.47049345486</v>
      </c>
      <c r="C96" s="93"/>
      <c r="D96" s="93"/>
      <c r="E96" s="113"/>
      <c r="F96" s="97" t="s">
        <v>119</v>
      </c>
      <c r="G96" s="98" t="n">
        <f aca="false">G94+G95</f>
        <v>1495.15832928671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271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272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26400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26400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22000</v>
      </c>
      <c r="H135" s="153" t="n">
        <f aca="false">C125+E125+G125+H128</f>
        <v>23958.33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-15868.0583333333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28749.996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1557.47049345486</v>
      </c>
      <c r="B167" s="177" t="str">
        <f aca="false">B94</f>
        <v>0</v>
      </c>
      <c r="C167" s="174"/>
      <c r="D167" s="174"/>
      <c r="E167" s="177" t="n">
        <f aca="false">B96</f>
        <v>1557.47049345486</v>
      </c>
      <c r="F167" s="23"/>
      <c r="G167" s="23" t="n">
        <f aca="false">ROUND(G95, 2)</f>
        <v>1495.16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28749.996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-5617.82057199653</v>
      </c>
      <c r="B182" s="103" t="str">
        <f aca="false">B114</f>
        <v>239.99</v>
      </c>
      <c r="C182" s="103"/>
      <c r="D182" s="23"/>
      <c r="E182" s="103" t="n">
        <f aca="false">E179+A182+B182+A185</f>
        <v>23382.1654280035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8.97696</v>
      </c>
      <c r="B188" s="103" t="n">
        <f aca="false">(G158*B67)/1.2</f>
        <v>119.79165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219.783316666667</v>
      </c>
      <c r="C191" s="93"/>
      <c r="D191" s="93"/>
      <c r="E191" s="103" t="n">
        <f aca="false">H148</f>
        <v>1958.33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1557.47049345486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-6303.236</v>
      </c>
      <c r="B201" s="186" t="n">
        <f aca="false">E179+A201+B182+A185</f>
        <v>22696.75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1557.47049345486</v>
      </c>
      <c r="B212" s="177" t="str">
        <f aca="false">B167</f>
        <v>0</v>
      </c>
      <c r="C212" s="174"/>
      <c r="D212" s="174"/>
      <c r="E212" s="177" t="n">
        <f aca="false">E167</f>
        <v>1557.47049345486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28749.996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-5617.82057199653</v>
      </c>
      <c r="B224" s="103" t="str">
        <f aca="false">B182</f>
        <v>239.99</v>
      </c>
      <c r="C224" s="103"/>
      <c r="D224" s="113"/>
      <c r="E224" s="103" t="n">
        <f aca="false">E182</f>
        <v>23382.1654280035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1557.47049345486</v>
      </c>
      <c r="B230" s="103" t="str">
        <f aca="false">B167</f>
        <v>0</v>
      </c>
      <c r="C230" s="186"/>
      <c r="D230" s="186"/>
      <c r="E230" s="103" t="n">
        <f aca="false">E167</f>
        <v>1557.47049345486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8.97696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B188</f>
        <v>119.79165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2178.11331666667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695.415428003471</v>
      </c>
      <c r="C254" s="197"/>
      <c r="D254" s="198" t="s">
        <v>216</v>
      </c>
      <c r="E254" s="198"/>
      <c r="F254" s="200" t="n">
        <f aca="false">F261+F267+F269+B270+B271</f>
        <v>143.74998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651.657114670138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143.74998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651.657114670138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5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263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21000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16631.1754280035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143.74998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21000</v>
      </c>
      <c r="C81" s="93"/>
      <c r="D81" s="93"/>
      <c r="E81" s="113"/>
      <c r="F81" s="25" t="s">
        <v>105</v>
      </c>
      <c r="G81" s="27" t="n">
        <f aca="false">B81</f>
        <v>21000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5135.98267310144</v>
      </c>
      <c r="C86" s="93" t="n">
        <f aca="false">(B82/((1+B84)^(B85+1)))</f>
        <v>5135.98267310144</v>
      </c>
      <c r="D86" s="93"/>
      <c r="E86" s="113"/>
      <c r="F86" s="31" t="s">
        <v>110</v>
      </c>
      <c r="G86" s="33" t="n">
        <f aca="false">(G82/((1+G84)^(G85+1)))</f>
        <v>5396.38500178872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10.1857578641559</v>
      </c>
      <c r="C87" s="93" t="n">
        <f aca="false">((1-(1/((1+B84)^B85)))/B84)</f>
        <v>10.1857578641559</v>
      </c>
      <c r="D87" s="93"/>
      <c r="E87" s="113"/>
      <c r="F87" s="31" t="s">
        <v>111</v>
      </c>
      <c r="G87" s="33" t="n">
        <f aca="false">((1-(1/((1+G84)^G85)))/G84)</f>
        <v>10.4360954238574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15864.0173268986</v>
      </c>
      <c r="C88" s="93" t="n">
        <f aca="false">B81-B86</f>
        <v>15864.0173268986</v>
      </c>
      <c r="D88" s="93"/>
      <c r="E88" s="113"/>
      <c r="F88" s="31" t="s">
        <v>112</v>
      </c>
      <c r="G88" s="33" t="n">
        <f aca="false">G81-G86</f>
        <v>15603.6149982113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1557.47049345486</v>
      </c>
      <c r="C89" s="93" t="n">
        <f aca="false">(B88/B87)</f>
        <v>1557.47049345486</v>
      </c>
      <c r="D89" s="93"/>
      <c r="E89" s="113"/>
      <c r="F89" s="31" t="s">
        <v>113</v>
      </c>
      <c r="G89" s="33" t="n">
        <f aca="false">(G88/G87)</f>
        <v>1495.15832928671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17132.1754280035</v>
      </c>
      <c r="C90" s="93"/>
      <c r="D90" s="93"/>
      <c r="E90" s="113"/>
      <c r="F90" s="31" t="s">
        <v>114</v>
      </c>
      <c r="G90" s="33" t="n">
        <f aca="false">((G89*(G85))+G77)</f>
        <v>16446.7416221538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17132.1754280035</v>
      </c>
      <c r="C92" s="93"/>
      <c r="D92" s="93"/>
      <c r="E92" s="113"/>
      <c r="F92" s="56" t="s">
        <v>116</v>
      </c>
      <c r="G92" s="65" t="n">
        <f aca="false">(G90+G91)</f>
        <v>16446.7416221538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1557.47049345486</v>
      </c>
      <c r="C95" s="93"/>
      <c r="D95" s="93"/>
      <c r="E95" s="113"/>
      <c r="F95" s="95" t="s">
        <v>118</v>
      </c>
      <c r="G95" s="96" t="n">
        <f aca="false">G92/(G85)</f>
        <v>1495.15832928671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1557.47049345486</v>
      </c>
      <c r="C96" s="93"/>
      <c r="D96" s="93"/>
      <c r="E96" s="113"/>
      <c r="F96" s="97" t="s">
        <v>119</v>
      </c>
      <c r="G96" s="98" t="n">
        <f aca="false">G94+G95</f>
        <v>1495.15832928671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26400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26400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22000</v>
      </c>
      <c r="H135" s="153" t="n">
        <f aca="false">C125+E125+G125+H128</f>
        <v>23958.33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-15868.0583333333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28749.996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1557.47049345486</v>
      </c>
      <c r="B167" s="177" t="str">
        <f aca="false">B94</f>
        <v>0</v>
      </c>
      <c r="C167" s="174"/>
      <c r="D167" s="174"/>
      <c r="E167" s="177" t="n">
        <f aca="false">B96</f>
        <v>1557.47049345486</v>
      </c>
      <c r="F167" s="23"/>
      <c r="G167" s="23" t="n">
        <f aca="false">ROUND(G95, 2)</f>
        <v>1495.16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28749.996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-5617.82057199653</v>
      </c>
      <c r="B182" s="103" t="str">
        <f aca="false">B114</f>
        <v>199.99</v>
      </c>
      <c r="C182" s="103"/>
      <c r="D182" s="23"/>
      <c r="E182" s="103" t="n">
        <f aca="false">E179+A182+(B182*1.2)+A185</f>
        <v>23382.1634280035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7.4808</v>
      </c>
      <c r="B188" s="103" t="n">
        <f aca="false">(G158*B67)/1.2</f>
        <v>119.79165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219.78165</v>
      </c>
      <c r="C191" s="93"/>
      <c r="D191" s="93"/>
      <c r="E191" s="103" t="n">
        <f aca="false">H148</f>
        <v>1958.33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1557.47049345486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-6303.236</v>
      </c>
      <c r="B201" s="186" t="n">
        <f aca="false">E179+A201+(B182*1.2)+A185</f>
        <v>22696.748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1557.47049345486</v>
      </c>
      <c r="B212" s="177" t="str">
        <f aca="false">B167</f>
        <v>0</v>
      </c>
      <c r="C212" s="174"/>
      <c r="D212" s="174"/>
      <c r="E212" s="177" t="n">
        <f aca="false">E167</f>
        <v>1557.47049345486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28749.996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-5617.82057199653</v>
      </c>
      <c r="B224" s="103" t="str">
        <f aca="false">B182</f>
        <v>199.99</v>
      </c>
      <c r="C224" s="103"/>
      <c r="D224" s="113"/>
      <c r="E224" s="103" t="n">
        <f aca="false">E182</f>
        <v>23382.1634280035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1557.47049345486</v>
      </c>
      <c r="B230" s="103" t="str">
        <f aca="false">B167</f>
        <v>0</v>
      </c>
      <c r="C230" s="186"/>
      <c r="D230" s="186"/>
      <c r="E230" s="103" t="n">
        <f aca="false">E167</f>
        <v>1557.47049345486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7.4808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B188</f>
        <v>119.79165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2178.11165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695.415428003471</v>
      </c>
      <c r="C254" s="197"/>
      <c r="D254" s="198" t="s">
        <v>216</v>
      </c>
      <c r="E254" s="198"/>
      <c r="F254" s="200" t="n">
        <f aca="false">F261+F267+F269+B270+B271</f>
        <v>143.74998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651.655448003471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143.74998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651.655448003471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8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45159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C15</f>
        <v>4400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335</v>
      </c>
      <c r="B41" s="104" t="s">
        <v>336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336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337</v>
      </c>
      <c r="C44" s="104"/>
      <c r="D44" s="104" t="s">
        <v>337</v>
      </c>
      <c r="E44" s="104"/>
      <c r="F44" s="388"/>
      <c r="G44" s="2" t="s">
        <v>65</v>
      </c>
      <c r="H44" s="2" t="n">
        <f aca="false">((H40-(((H42/(1.2))*0.2)))/(H43))</f>
        <v>283.333333333333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266.666666666667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269.333333333333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340</v>
      </c>
      <c r="H50" s="2" t="n">
        <f aca="false">H49-H41</f>
        <v>219.333333333333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269.333333333333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269.333333333333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v>37404</v>
      </c>
      <c r="C67" s="317"/>
      <c r="D67" s="317"/>
      <c r="E67" s="318"/>
      <c r="F67" s="388"/>
      <c r="G67" s="316" t="s">
        <v>14</v>
      </c>
      <c r="H67" s="32" t="n">
        <f aca="false">G18</f>
        <v>37404</v>
      </c>
      <c r="I67" s="317"/>
      <c r="J67" s="317"/>
      <c r="K67" s="318"/>
      <c r="L67" s="388"/>
      <c r="M67" s="316" t="s">
        <v>14</v>
      </c>
      <c r="N67" s="32" t="n">
        <f aca="false">G18</f>
        <v>37404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317" t="n">
        <v>10000</v>
      </c>
      <c r="D70" s="32" t="n">
        <f aca="false">B70-A149</f>
        <v>1848</v>
      </c>
      <c r="E70" s="318" t="n">
        <f aca="false">D70/12</f>
        <v>154</v>
      </c>
      <c r="F70" s="388"/>
      <c r="G70" s="366" t="s">
        <v>90</v>
      </c>
      <c r="H70" s="65" t="n">
        <f aca="false">H67*H69</f>
        <v>2618.28</v>
      </c>
      <c r="I70" s="317"/>
      <c r="J70" s="32" t="n">
        <f aca="false">H70-G151</f>
        <v>2618.28</v>
      </c>
      <c r="K70" s="318"/>
      <c r="L70" s="388"/>
      <c r="M70" s="366" t="s">
        <v>90</v>
      </c>
      <c r="N70" s="65" t="n">
        <f aca="false">N67*N69</f>
        <v>2618.28</v>
      </c>
      <c r="O70" s="317"/>
      <c r="P70" s="32" t="n">
        <f aca="false">N70-M151</f>
        <v>2618.28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317"/>
      <c r="D73" s="32"/>
      <c r="E73" s="318"/>
      <c r="F73" s="388"/>
      <c r="G73" s="366" t="s">
        <v>93</v>
      </c>
      <c r="H73" s="65" t="n">
        <f aca="false">H67*H72</f>
        <v>187.02</v>
      </c>
      <c r="I73" s="317"/>
      <c r="J73" s="32"/>
      <c r="K73" s="318"/>
      <c r="L73" s="388"/>
      <c r="M73" s="366" t="s">
        <v>93</v>
      </c>
      <c r="N73" s="65" t="n">
        <f aca="false">N67*N72</f>
        <v>187.02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180</v>
      </c>
      <c r="C80" s="317"/>
      <c r="D80" s="317"/>
      <c r="E80" s="404" t="n">
        <f aca="false">E79+D82</f>
        <v>809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</v>
      </c>
      <c r="C81" s="317"/>
      <c r="D81" s="317"/>
      <c r="E81" s="318" t="n">
        <f aca="false">E80/12</f>
        <v>67.4166666666667</v>
      </c>
      <c r="F81" s="388"/>
      <c r="G81" s="401" t="s">
        <v>280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195</v>
      </c>
      <c r="C82" s="317"/>
      <c r="D82" s="32" t="n">
        <f aca="false">IF(A50="YES", 0, B82)</f>
        <v>195</v>
      </c>
      <c r="E82" s="318"/>
      <c r="F82" s="388"/>
      <c r="G82" s="366" t="s">
        <v>281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3323.66666666667</v>
      </c>
      <c r="C87" s="317"/>
      <c r="D87" s="317"/>
      <c r="E87" s="318"/>
      <c r="F87" s="388"/>
      <c r="G87" s="412" t="s">
        <v>102</v>
      </c>
      <c r="H87" s="413" t="n">
        <f aca="false">SUM(J70:J86)</f>
        <v>5744.78</v>
      </c>
      <c r="I87" s="317"/>
      <c r="J87" s="317"/>
      <c r="K87" s="318"/>
      <c r="L87" s="388"/>
      <c r="M87" s="412" t="s">
        <v>102</v>
      </c>
      <c r="N87" s="413" t="n">
        <f aca="false">SUM(P70:P86)</f>
        <v>5732.28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276.972222222222</v>
      </c>
      <c r="C88" s="317"/>
      <c r="D88" s="317"/>
      <c r="E88" s="318"/>
      <c r="F88" s="388"/>
      <c r="G88" s="316" t="s">
        <v>103</v>
      </c>
      <c r="H88" s="33" t="n">
        <f aca="false">H87/H29</f>
        <v>478.731666666667</v>
      </c>
      <c r="I88" s="317"/>
      <c r="J88" s="317"/>
      <c r="K88" s="318"/>
      <c r="L88" s="388"/>
      <c r="M88" s="316" t="s">
        <v>103</v>
      </c>
      <c r="N88" s="33" t="n">
        <f aca="false">N87/H29</f>
        <v>477.69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219.333333333333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7146.8</v>
      </c>
      <c r="C91" s="317"/>
      <c r="D91" s="317"/>
      <c r="E91" s="318"/>
      <c r="F91" s="388"/>
      <c r="G91" s="396" t="s">
        <v>114</v>
      </c>
      <c r="H91" s="27" t="n">
        <f aca="false">((H89*H29)+H87)*1.2</f>
        <v>6893.736</v>
      </c>
      <c r="I91" s="317"/>
      <c r="J91" s="317"/>
      <c r="K91" s="318"/>
      <c r="L91" s="388"/>
      <c r="M91" s="396" t="s">
        <v>114</v>
      </c>
      <c r="N91" s="27" t="n">
        <f aca="false">((N89*H29)+N87)</f>
        <v>5732.28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50.4513916901977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48.6649374747882</v>
      </c>
      <c r="I92" s="317"/>
      <c r="J92" s="317"/>
      <c r="K92" s="318"/>
      <c r="L92" s="388"/>
      <c r="M92" s="316" t="s">
        <v>115</v>
      </c>
      <c r="N92" s="33" t="n">
        <f aca="false">(N91/(1-N76))*N76</f>
        <v>48.5590480032271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7197.2513916902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8942.40093747479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7780.83904800323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72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599.770949307517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671.770949307517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18</v>
      </c>
      <c r="B111" s="312" t="n">
        <v>20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19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599.770949307517</v>
      </c>
      <c r="B134" s="321" t="n">
        <f aca="false">IF(A111="YES", B95, 0)</f>
        <v>72</v>
      </c>
      <c r="C134" s="325"/>
      <c r="D134" s="321" t="n">
        <f aca="false">B97</f>
        <v>671.770949307517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599.770949307517</v>
      </c>
      <c r="C137" s="317"/>
      <c r="D137" s="38" t="n">
        <f aca="false">IF(A111="YES", B95*B63, 0)</f>
        <v>72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671.770949307517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599.770949307517</v>
      </c>
      <c r="B143" s="38" t="n">
        <f aca="false">IF(A111="YES", B95, 0)</f>
        <v>72</v>
      </c>
      <c r="C143" s="317"/>
      <c r="D143" s="38" t="n">
        <f aca="false">B97</f>
        <v>671.770949307517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(A44/100*B111)*B131, 0)*0.1</f>
        <v>12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4400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699.011666666667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671.770949307517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599.770949307517</v>
      </c>
      <c r="B177" s="355" t="n">
        <f aca="false">IF(A111="YES", B95, 0)</f>
        <v>72</v>
      </c>
      <c r="C177" s="357"/>
      <c r="D177" s="355" t="n">
        <f aca="false">A177+B177</f>
        <v>671.770949307517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599.770949307517</v>
      </c>
      <c r="C180" s="353"/>
      <c r="D180" s="103" t="n">
        <f aca="false">IF(A111="YES", B95*B63, 0)</f>
        <v>72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671.770949307517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599.770949307517</v>
      </c>
      <c r="B186" s="103" t="n">
        <f aca="false">IF(A111="YES", B95, 0)</f>
        <v>72</v>
      </c>
      <c r="C186" s="353"/>
      <c r="D186" s="103" t="n">
        <f aca="false">B97</f>
        <v>671.770949307517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(A44/100*B111)*B131, 0)*0.1</f>
        <v>12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699.011666666667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1848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459.991666666667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2120.97166666667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2120.97166666667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120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50.4513916901977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45159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338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C15</f>
        <v>4400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335</v>
      </c>
      <c r="B41" s="104" t="s">
        <v>336</v>
      </c>
      <c r="C41" s="104"/>
      <c r="D41" s="223" t="s">
        <v>18</v>
      </c>
      <c r="E41" s="223"/>
      <c r="F41" s="388"/>
      <c r="G41" s="2" t="s">
        <v>59</v>
      </c>
      <c r="H41" s="2" t="n">
        <f aca="false">IF(D41="Yes",A44, 0)</f>
        <v>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n">
        <v>0</v>
      </c>
      <c r="B44" s="104" t="s">
        <v>337</v>
      </c>
      <c r="C44" s="104"/>
      <c r="D44" s="104" t="n">
        <v>0</v>
      </c>
      <c r="E44" s="104"/>
      <c r="F44" s="388"/>
      <c r="G44" s="2" t="s">
        <v>65</v>
      </c>
      <c r="H44" s="2" t="n">
        <f aca="false">((H40-(((H42/(1.2))*0.2)))/(H43))</f>
        <v>283.333333333333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216.666666666667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219.333333333333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340</v>
      </c>
      <c r="H50" s="2" t="n">
        <f aca="false">H49-H41</f>
        <v>219.333333333333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219.333333333333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9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3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v>37404</v>
      </c>
      <c r="C67" s="317"/>
      <c r="D67" s="317"/>
      <c r="E67" s="318"/>
      <c r="F67" s="388"/>
      <c r="G67" s="316" t="s">
        <v>14</v>
      </c>
      <c r="H67" s="32" t="n">
        <f aca="false">G18</f>
        <v>37404</v>
      </c>
      <c r="I67" s="317"/>
      <c r="J67" s="317"/>
      <c r="K67" s="318"/>
      <c r="L67" s="388"/>
      <c r="M67" s="316" t="s">
        <v>14</v>
      </c>
      <c r="N67" s="32" t="n">
        <f aca="false">G18</f>
        <v>37404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317" t="n">
        <v>10000</v>
      </c>
      <c r="D70" s="32" t="n">
        <f aca="false">B70-A149</f>
        <v>1848</v>
      </c>
      <c r="E70" s="318" t="n">
        <f aca="false">D70/12</f>
        <v>154</v>
      </c>
      <c r="F70" s="388"/>
      <c r="G70" s="366" t="s">
        <v>90</v>
      </c>
      <c r="H70" s="65" t="n">
        <f aca="false">H67*H69</f>
        <v>2618.28</v>
      </c>
      <c r="I70" s="317"/>
      <c r="J70" s="32" t="n">
        <f aca="false">H70-G151</f>
        <v>2618.28</v>
      </c>
      <c r="K70" s="318"/>
      <c r="L70" s="388"/>
      <c r="M70" s="366" t="s">
        <v>90</v>
      </c>
      <c r="N70" s="65" t="n">
        <f aca="false">N67*N69</f>
        <v>2618.28</v>
      </c>
      <c r="O70" s="317"/>
      <c r="P70" s="32" t="n">
        <f aca="false">N70-M151</f>
        <v>2618.28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317"/>
      <c r="D73" s="32"/>
      <c r="E73" s="318"/>
      <c r="F73" s="388"/>
      <c r="G73" s="366" t="s">
        <v>93</v>
      </c>
      <c r="H73" s="65" t="n">
        <f aca="false">H67*H72</f>
        <v>187.02</v>
      </c>
      <c r="I73" s="317"/>
      <c r="J73" s="32"/>
      <c r="K73" s="318"/>
      <c r="L73" s="388"/>
      <c r="M73" s="366" t="s">
        <v>93</v>
      </c>
      <c r="N73" s="65" t="n">
        <f aca="false">N67*N72</f>
        <v>187.02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180</v>
      </c>
      <c r="C80" s="317"/>
      <c r="D80" s="317"/>
      <c r="E80" s="404" t="n">
        <f aca="false">E79+D82</f>
        <v>809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</v>
      </c>
      <c r="C81" s="317"/>
      <c r="D81" s="317"/>
      <c r="E81" s="318" t="n">
        <f aca="false">E80/12</f>
        <v>67.4166666666667</v>
      </c>
      <c r="F81" s="388"/>
      <c r="G81" s="401" t="s">
        <v>280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195</v>
      </c>
      <c r="C82" s="317"/>
      <c r="D82" s="32" t="n">
        <f aca="false">IF(A50="YES", 0, B82)</f>
        <v>195</v>
      </c>
      <c r="E82" s="318"/>
      <c r="F82" s="388"/>
      <c r="G82" s="366" t="s">
        <v>281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0</v>
      </c>
      <c r="C83" s="317"/>
      <c r="D83" s="32" t="n">
        <f aca="false">B83</f>
        <v>0</v>
      </c>
      <c r="E83" s="318" t="n">
        <f aca="false">D83/12</f>
        <v>0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0</v>
      </c>
      <c r="C84" s="317"/>
      <c r="D84" s="32" t="n">
        <f aca="false">B84</f>
        <v>0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2657</v>
      </c>
      <c r="C87" s="317"/>
      <c r="D87" s="317"/>
      <c r="E87" s="318"/>
      <c r="F87" s="388"/>
      <c r="G87" s="412" t="s">
        <v>102</v>
      </c>
      <c r="H87" s="413" t="n">
        <f aca="false">SUM(J70:J86)</f>
        <v>5744.78</v>
      </c>
      <c r="I87" s="317"/>
      <c r="J87" s="317"/>
      <c r="K87" s="318"/>
      <c r="L87" s="388"/>
      <c r="M87" s="412" t="s">
        <v>102</v>
      </c>
      <c r="N87" s="413" t="n">
        <f aca="false">SUM(P70:P86)</f>
        <v>5732.28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221.416666666667</v>
      </c>
      <c r="C88" s="317"/>
      <c r="D88" s="317"/>
      <c r="E88" s="318"/>
      <c r="F88" s="388"/>
      <c r="G88" s="316" t="s">
        <v>103</v>
      </c>
      <c r="H88" s="33" t="n">
        <f aca="false">H87/H29</f>
        <v>478.731666666667</v>
      </c>
      <c r="I88" s="317"/>
      <c r="J88" s="317"/>
      <c r="K88" s="318"/>
      <c r="L88" s="388"/>
      <c r="M88" s="316" t="s">
        <v>103</v>
      </c>
      <c r="N88" s="33" t="n">
        <f aca="false">N87/H29</f>
        <v>477.69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219.333333333333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5289</v>
      </c>
      <c r="C91" s="317"/>
      <c r="D91" s="317"/>
      <c r="E91" s="318"/>
      <c r="F91" s="388"/>
      <c r="G91" s="396" t="s">
        <v>114</v>
      </c>
      <c r="H91" s="27" t="n">
        <f aca="false">((H89*H29)+H87)*1.2</f>
        <v>6893.736</v>
      </c>
      <c r="I91" s="317"/>
      <c r="J91" s="317"/>
      <c r="K91" s="318"/>
      <c r="L91" s="388"/>
      <c r="M91" s="396" t="s">
        <v>114</v>
      </c>
      <c r="N91" s="27" t="n">
        <f aca="false">((N89*H29)+N87)</f>
        <v>5732.28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44.8039532069383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48.6649374747882</v>
      </c>
      <c r="I92" s="317"/>
      <c r="J92" s="317"/>
      <c r="K92" s="318"/>
      <c r="L92" s="388"/>
      <c r="M92" s="316" t="s">
        <v>115</v>
      </c>
      <c r="N92" s="33" t="n">
        <f aca="false">(N91/(1-N76))*N76</f>
        <v>48.5590480032271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5333.80395320694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8942.40093747479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7780.83904800323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444.483662767245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444.483662767245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287</v>
      </c>
      <c r="C105" s="312"/>
      <c r="D105" s="421" t="n">
        <v>1000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19</v>
      </c>
      <c r="B111" s="312" t="n">
        <v>0</v>
      </c>
      <c r="C111" s="312"/>
      <c r="D111" s="107" t="s">
        <v>291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19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3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3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444.483662767245</v>
      </c>
      <c r="B134" s="321" t="n">
        <f aca="false">IF(A111="YES", B95, 0)</f>
        <v>0</v>
      </c>
      <c r="C134" s="326"/>
      <c r="D134" s="321" t="n">
        <f aca="false">B97</f>
        <v>444.483662767245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4000.3529649052</v>
      </c>
      <c r="C137" s="317"/>
      <c r="D137" s="38" t="n">
        <f aca="false">IF(A111="YES", B95*B63, 0)</f>
        <v>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4000.3529649052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444.483662767245</v>
      </c>
      <c r="B143" s="38" t="n">
        <f aca="false">IF(A111="YES", B95, 0)</f>
        <v>0</v>
      </c>
      <c r="C143" s="317"/>
      <c r="D143" s="38" t="n">
        <f aca="false">B97</f>
        <v>444.483662767245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187.02</v>
      </c>
      <c r="B154" s="103" t="n">
        <f aca="false">B108</f>
        <v>0</v>
      </c>
      <c r="C154" s="38"/>
      <c r="D154" s="38" t="n">
        <f aca="false">IF(A111="YES", (A44/100*B111)*B131, 0)*0.1</f>
        <v>0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4400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287.01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444.483662767245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444.483662767245</v>
      </c>
      <c r="B177" s="355" t="n">
        <f aca="false">IF(A111="YES", B95, 0)</f>
        <v>0</v>
      </c>
      <c r="C177" s="358"/>
      <c r="D177" s="355" t="n">
        <f aca="false">B91</f>
        <v>5289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4000.3529649052</v>
      </c>
      <c r="C180" s="353"/>
      <c r="D180" s="103" t="n">
        <f aca="false">IF(A111="YES", B95*B63, 0)</f>
        <v>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4000.3529649052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444.483662767245</v>
      </c>
      <c r="B186" s="103" t="n">
        <f aca="false">IF(A111="YES", B95, 0)</f>
        <v>0</v>
      </c>
      <c r="C186" s="353"/>
      <c r="D186" s="103" t="n">
        <f aca="false">B97</f>
        <v>444.483662767245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0</v>
      </c>
      <c r="C197" s="103"/>
      <c r="D197" s="103" t="n">
        <f aca="false">IF(A111="YES", (A44/100*B111)*B131, 0)*0.1</f>
        <v>0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287.01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1848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99.99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1760.97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1760.97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44.8039532069383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3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352</v>
      </c>
      <c r="B41" s="241" t="str">
        <f aca="false">IF(B38="YES", D38+A41, D38)</f>
        <v>500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352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339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3128.66666666667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260.722222222222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9140.66666666667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77.4320290439694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9218.09869571064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768.17489130922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768.17489130922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4" t="n">
        <v>0</v>
      </c>
      <c r="C111" s="314"/>
      <c r="D111" s="107" t="s">
        <v>291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768.17489130922</v>
      </c>
      <c r="B134" s="321" t="n">
        <f aca="false">IF(A111="YES", B95, 0)</f>
        <v>0</v>
      </c>
      <c r="C134" s="326"/>
      <c r="D134" s="321" t="n">
        <f aca="false">B97</f>
        <v>768.17489130922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6913.57402178298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6913.57402178298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768.17489130922</v>
      </c>
      <c r="B143" s="38" t="n">
        <f aca="false">IF(A111="YES", B95, 0)</f>
        <v>0</v>
      </c>
      <c r="C143" s="317"/>
      <c r="D143" s="38" t="n">
        <f aca="false">B97</f>
        <v>768.17489130922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103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768.17489130922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768.17489130922</v>
      </c>
      <c r="B177" s="355" t="n">
        <f aca="false">IF(A111="YES", B95, 0)</f>
        <v>0</v>
      </c>
      <c r="C177" s="358"/>
      <c r="D177" s="355" t="n">
        <f aca="false">B91</f>
        <v>9140.66666666667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6913.57402178298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6913.57402178298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768.17489130922</v>
      </c>
      <c r="B186" s="103" t="n">
        <f aca="false">IF(A111="YES", B95, 0)</f>
        <v>0</v>
      </c>
      <c r="C186" s="353"/>
      <c r="D186" s="103" t="n">
        <f aca="false">B97</f>
        <v>768.17489130922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687.01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2000.97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2000.97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77.4320290439694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352</v>
      </c>
      <c r="B41" s="241" t="str">
        <f aca="false">IF(B38="YES", D38+A41, D38)</f>
        <v>500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352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180</v>
      </c>
      <c r="C80" s="215"/>
      <c r="D80" s="215"/>
      <c r="E80" s="430" t="n">
        <f aca="false">E79+D82</f>
        <v>809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67.4166666666667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195</v>
      </c>
      <c r="C82" s="215"/>
      <c r="D82" s="291" t="n">
        <f aca="false">IF(A50="YES", 0, B82)</f>
        <v>195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3323.66666666667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276.972222222222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11202.8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79.0839048003227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11281.8839048003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940.156992066694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940.156992066694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940.156992066694</v>
      </c>
      <c r="B134" s="321" t="n">
        <f aca="false">IF(A111="YES", B95, 0)</f>
        <v>0</v>
      </c>
      <c r="C134" s="326"/>
      <c r="D134" s="321" t="n">
        <f aca="false">B97</f>
        <v>940.156992066694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940.156992066694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940.156992066694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940.156992066694</v>
      </c>
      <c r="B143" s="38" t="n">
        <f aca="false">IF(A111="YES", B95, 0)</f>
        <v>0</v>
      </c>
      <c r="C143" s="317"/>
      <c r="D143" s="38" t="n">
        <f aca="false">B97</f>
        <v>940.156992066694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687.011666666667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940.156992066694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940.156992066694</v>
      </c>
      <c r="B177" s="355" t="n">
        <f aca="false">IF(A111="YES", B95, 0)</f>
        <v>0</v>
      </c>
      <c r="C177" s="358"/>
      <c r="D177" s="355" t="n">
        <f aca="false">B97</f>
        <v>940.156992066694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940.156992066694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940.156992066694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940.156992066694</v>
      </c>
      <c r="B186" s="103" t="n">
        <f aca="false">IF(A111="YES", B95, 0)</f>
        <v>0</v>
      </c>
      <c r="C186" s="353"/>
      <c r="D186" s="103" t="n">
        <f aca="false">B97</f>
        <v>940.156992066694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687.011666666667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2000.97166666667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2000.97166666667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79.0839048003227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5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243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233</v>
      </c>
      <c r="B41" s="241" t="n">
        <f aca="false">IF(B38="YES", D38+A41, D38)</f>
        <v>550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350</v>
      </c>
      <c r="E44" s="104"/>
      <c r="F44" s="63"/>
      <c r="G44" s="63" t="s">
        <v>257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180</v>
      </c>
      <c r="C80" s="215"/>
      <c r="D80" s="215"/>
      <c r="E80" s="430" t="n">
        <f aca="false">E79+D82</f>
        <v>809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67.4166666666667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195</v>
      </c>
      <c r="C82" s="215"/>
      <c r="D82" s="291" t="n">
        <f aca="false">IF(A50="YES", 0, B82)</f>
        <v>195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3323.66666666667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276.972222222222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9335.66666666667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79.0839048003227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9414.75057146699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60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784.562547622249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784.562547622249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784.562547622249</v>
      </c>
      <c r="B134" s="321" t="n">
        <f aca="false">IF(A111="YES", B95, 0)</f>
        <v>0</v>
      </c>
      <c r="C134" s="326"/>
      <c r="D134" s="321" t="n">
        <f aca="false">B97</f>
        <v>784.562547622249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784.562547622249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784.562547622249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784.562547622249</v>
      </c>
      <c r="B143" s="38" t="n">
        <f aca="false">IF(A111="YES", B95, 0)</f>
        <v>0</v>
      </c>
      <c r="C143" s="317"/>
      <c r="D143" s="38" t="n">
        <f aca="false">B97</f>
        <v>784.562547622249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1387.838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1347.84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784.562547622249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784.562547622249</v>
      </c>
      <c r="B177" s="355" t="n">
        <f aca="false">IF(A111="YES", B95, 0)</f>
        <v>0</v>
      </c>
      <c r="C177" s="358"/>
      <c r="D177" s="355" t="n">
        <f aca="false">B91</f>
        <v>9335.66666666667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784.562547622249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784.562547622249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784.562547622249</v>
      </c>
      <c r="B186" s="103" t="n">
        <f aca="false">IF(A111="YES", B95, 0)</f>
        <v>0</v>
      </c>
      <c r="C186" s="353"/>
      <c r="D186" s="103" t="n">
        <f aca="false">B97</f>
        <v>784.562547622249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B154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687.01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2000.97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2000.97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79.0839048003227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243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249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3128.66666666667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260.722222222222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9140.66666666667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77.4320290439694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9218.09869571064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768.17489130922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768.17489130922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342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768.17489130922</v>
      </c>
      <c r="B134" s="321" t="n">
        <f aca="false">IF(A111="YES", B95, 0)</f>
        <v>0</v>
      </c>
      <c r="C134" s="326"/>
      <c r="D134" s="321" t="n">
        <f aca="false">B97</f>
        <v>768.17489130922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768.17489130922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768.17489130922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768.17489130922</v>
      </c>
      <c r="B143" s="38" t="n">
        <f aca="false">IF(A111="YES", B95, 0)</f>
        <v>0</v>
      </c>
      <c r="C143" s="317"/>
      <c r="D143" s="38" t="n">
        <f aca="false">B97</f>
        <v>768.17489130922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768.17489130922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768.17489130922</v>
      </c>
      <c r="B177" s="355" t="n">
        <f aca="false">IF(A111="YES", B95, 0)</f>
        <v>0</v>
      </c>
      <c r="C177" s="358"/>
      <c r="D177" s="355" t="n">
        <f aca="false">B91</f>
        <v>9140.66666666667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768.17489130922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768.17489130922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768.17489130922</v>
      </c>
      <c r="B186" s="103" t="n">
        <f aca="false">IF(A111="YES", B95, 0)</f>
        <v>0</v>
      </c>
      <c r="C186" s="353"/>
      <c r="D186" s="103" t="n">
        <f aca="false">B97</f>
        <v>768.17489130922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687.01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2000.97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2000.97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77.4320290439694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243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249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180</v>
      </c>
      <c r="C80" s="215"/>
      <c r="D80" s="215"/>
      <c r="E80" s="430" t="n">
        <f aca="false">E79+D82</f>
        <v>809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67.4166666666667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195</v>
      </c>
      <c r="C82" s="215"/>
      <c r="D82" s="291" t="n">
        <f aca="false">IF(A50="YES", 0, B82)</f>
        <v>195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3323.66666666667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276.972222222222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11202.8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79.0839048003227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11281.8839048003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940.156992066694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940.156992066694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940.156992066694</v>
      </c>
      <c r="B134" s="321" t="n">
        <f aca="false">IF(A111="YES", B95, 0)</f>
        <v>0</v>
      </c>
      <c r="C134" s="326"/>
      <c r="D134" s="321" t="n">
        <f aca="false">B97</f>
        <v>940.156992066694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940.156992066694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940.156992066694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940.156992066694</v>
      </c>
      <c r="B143" s="38" t="n">
        <f aca="false">IF(A111="YES", B95, 0)</f>
        <v>0</v>
      </c>
      <c r="C143" s="317"/>
      <c r="D143" s="38" t="n">
        <f aca="false">B97</f>
        <v>940.156992066694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687.011666666667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940.156992066694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940.156992066694</v>
      </c>
      <c r="B177" s="355" t="n">
        <f aca="false">IF(A111="YES", B95, 0)</f>
        <v>0</v>
      </c>
      <c r="C177" s="358"/>
      <c r="D177" s="355" t="n">
        <f aca="false">B91</f>
        <v>11202.8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940.156992066694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940.156992066694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940.156992066694</v>
      </c>
      <c r="B186" s="103" t="n">
        <f aca="false">IF(A111="YES", B95, 0)</f>
        <v>0</v>
      </c>
      <c r="C186" s="353"/>
      <c r="D186" s="103" t="n">
        <f aca="false">B97</f>
        <v>940.156992066694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687.011666666667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2000.97166666667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2000.97166666667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79.0839048003227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73" activeCellId="0" sqref="B7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60000</v>
      </c>
      <c r="C2" s="4" t="s">
        <v>2</v>
      </c>
      <c r="D2" s="5" t="n">
        <f aca="false">C9</f>
        <v>12000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72000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60000</v>
      </c>
      <c r="C9" s="14" t="n">
        <f aca="false">B9*0.2</f>
        <v>12000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60000</v>
      </c>
      <c r="C15" s="14" t="n">
        <f aca="false">SUM(C9:C13)</f>
        <v>12000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72000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60000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243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249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72000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5040</v>
      </c>
      <c r="C70" s="215" t="n">
        <v>10000</v>
      </c>
      <c r="D70" s="291" t="n">
        <f aca="false">B70-A149</f>
        <v>5040</v>
      </c>
      <c r="E70" s="216" t="n">
        <f aca="false">D70/12</f>
        <v>420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180</v>
      </c>
      <c r="C80" s="215"/>
      <c r="D80" s="215"/>
      <c r="E80" s="430" t="n">
        <f aca="false">E79+D82</f>
        <v>809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67.4166666666667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195</v>
      </c>
      <c r="C82" s="215"/>
      <c r="D82" s="291" t="n">
        <f aca="false">IF(A50="YES", 0, B82)</f>
        <v>195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6515.66666666667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542.972222222222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12527.6666666667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106.123840258169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12633.7905069248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1052.81587557707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1052.81587557707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1052.81587557707</v>
      </c>
      <c r="B134" s="321" t="n">
        <f aca="false">IF(A111="YES", B95, 0)</f>
        <v>0</v>
      </c>
      <c r="C134" s="326"/>
      <c r="D134" s="321" t="n">
        <f aca="false">B97</f>
        <v>1052.81587557707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1052.81587557707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1052.81587557707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1052.81587557707</v>
      </c>
      <c r="B143" s="38" t="n">
        <f aca="false">IF(A111="YES", B95, 0)</f>
        <v>0</v>
      </c>
      <c r="C143" s="317"/>
      <c r="D143" s="38" t="n">
        <f aca="false">B97</f>
        <v>1052.81587557707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1052.81587557707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1052.81587557707</v>
      </c>
      <c r="B177" s="355" t="n">
        <f aca="false">IF(A111="YES", B95, 0)</f>
        <v>0</v>
      </c>
      <c r="C177" s="358"/>
      <c r="D177" s="355" t="n">
        <f aca="false">B91</f>
        <v>12527.6666666667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1052.81587557707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1052.81587557707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1052.81587557707</v>
      </c>
      <c r="B186" s="103" t="n">
        <f aca="false">IF(A111="YES", B95, 0)</f>
        <v>0</v>
      </c>
      <c r="C186" s="353"/>
      <c r="D186" s="103" t="n">
        <f aca="false">B97</f>
        <v>1052.81587557707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687.01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5040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5192.97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5040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5192.97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106.123840258169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18325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357.90279794936</v>
      </c>
      <c r="F33" s="232"/>
      <c r="G33" s="232"/>
      <c r="H33" s="47"/>
      <c r="I33" s="2"/>
      <c r="J33" s="34" t="s">
        <v>356</v>
      </c>
      <c r="K33" s="48" t="n">
        <f aca="false">E21</f>
        <v>22000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357.90279794936</v>
      </c>
      <c r="B36" s="232" t="str">
        <f aca="false">IF(B26="YES", K42, "0.00")</f>
        <v>0.00</v>
      </c>
      <c r="C36" s="232"/>
      <c r="D36" s="232"/>
      <c r="E36" s="232" t="n">
        <f aca="false">K31</f>
        <v>18325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22000</v>
      </c>
      <c r="L39" s="2" t="n">
        <f aca="false">(L47*K46)+K44</f>
        <v>35572.4137111818</v>
      </c>
      <c r="N39" s="1" t="n">
        <f aca="false">K39-L39</f>
        <v>-13572.4137111818</v>
      </c>
      <c r="P39" s="212"/>
    </row>
    <row r="40" customFormat="false" ht="17.35" hidden="false" customHeight="false" outlineLevel="0" collapsed="false">
      <c r="A40" s="107" t="n">
        <f aca="false">E36*A45/100</f>
        <v>18325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15270.8333333333</v>
      </c>
      <c r="L40" s="2" t="n">
        <f aca="false">K39-L39</f>
        <v>-13572.4137111818</v>
      </c>
      <c r="N40" s="1" t="n">
        <f aca="false">N38-N39</f>
        <v>16484.0937111818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11012.3601334129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10987.6398665871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30.7000669722112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357.90279794936</v>
      </c>
      <c r="L47" s="2" t="n">
        <f aca="false">L49-K42</f>
        <v>800</v>
      </c>
      <c r="M47" s="1" t="n">
        <f aca="false">K47-L47</f>
        <v>-442.09720205064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357.90279794936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357.90279794936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0.0725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-26766.5028158088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0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357.90279794936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357.90279794936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357.90279794936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357.90279794936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0</v>
      </c>
      <c r="C81" s="93"/>
      <c r="D81" s="93"/>
      <c r="E81" s="113"/>
      <c r="F81" s="25" t="s">
        <v>105</v>
      </c>
      <c r="G81" s="27" t="n">
        <f aca="false">G158</f>
        <v>0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18325</v>
      </c>
      <c r="C82" s="93"/>
      <c r="D82" s="93"/>
      <c r="E82" s="113"/>
      <c r="F82" s="31" t="s">
        <v>106</v>
      </c>
      <c r="G82" s="33" t="n">
        <f aca="false">IF(A111 = "Yes", A40, 0)</f>
        <v>18325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18325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18325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0.179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0.0149166666666667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10753.5075423224</v>
      </c>
      <c r="C86" s="93"/>
      <c r="D86" s="93"/>
      <c r="E86" s="113"/>
      <c r="F86" s="31" t="s">
        <v>110</v>
      </c>
      <c r="G86" s="33" t="n">
        <f aca="false">(G82/((1+G84)^(G85+1)))</f>
        <v>13332.1137955163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12396.273307778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12396.273307778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27.1122826196943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-10753.5075423224</v>
      </c>
      <c r="C88" s="93"/>
      <c r="D88" s="93"/>
      <c r="E88" s="113"/>
      <c r="F88" s="31" t="s">
        <v>112</v>
      </c>
      <c r="G88" s="33" t="n">
        <f aca="false">G81-G86</f>
        <v>-13332.1137955163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-396.628631132337</v>
      </c>
      <c r="C89" s="93"/>
      <c r="D89" s="93"/>
      <c r="E89" s="113"/>
      <c r="F89" s="31" t="s">
        <v>113</v>
      </c>
      <c r="G89" s="33" t="n">
        <f aca="false">(G88/G87)</f>
        <v>-444.811090885438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-13882.0020896318</v>
      </c>
      <c r="C90" s="93"/>
      <c r="D90" s="93"/>
      <c r="E90" s="113"/>
      <c r="F90" s="31" t="s">
        <v>114</v>
      </c>
      <c r="G90" s="33" t="n">
        <f aca="false">((G89*(G85))+G77)</f>
        <v>-15568.3881809903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-0</v>
      </c>
      <c r="C91" s="93"/>
      <c r="D91" s="93"/>
      <c r="E91" s="113"/>
      <c r="F91" s="31" t="s">
        <v>115</v>
      </c>
      <c r="G91" s="33" t="n">
        <f aca="false">(((G89*(G85))+G77)/(1-G71))*G71</f>
        <v>-0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-13882.0020896318</v>
      </c>
      <c r="C92" s="93"/>
      <c r="D92" s="93"/>
      <c r="E92" s="113"/>
      <c r="F92" s="56" t="s">
        <v>116</v>
      </c>
      <c r="G92" s="65" t="n">
        <f aca="false">(G90+G91)</f>
        <v>-15568.3881809903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-396.628631132337</v>
      </c>
      <c r="C95" s="93"/>
      <c r="D95" s="93"/>
      <c r="E95" s="113"/>
      <c r="F95" s="95" t="s">
        <v>118</v>
      </c>
      <c r="G95" s="96" t="n">
        <f aca="false">G92/(G85)</f>
        <v>-444.811090885438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-396.628631132337</v>
      </c>
      <c r="C96" s="93"/>
      <c r="D96" s="93"/>
      <c r="E96" s="113"/>
      <c r="F96" s="97" t="s">
        <v>119</v>
      </c>
      <c r="G96" s="98" t="n">
        <f aca="false">G94+G95</f>
        <v>-444.811090885438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0.179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22000</v>
      </c>
      <c r="C121" s="121" t="n">
        <v>0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26400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26400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26400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22000</v>
      </c>
      <c r="C125" s="133" t="n">
        <f aca="false">C121-C124</f>
        <v>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22000</v>
      </c>
      <c r="H135" s="153" t="n">
        <f aca="false">C125+E125+G125+H128</f>
        <v>0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0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0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26400</v>
      </c>
      <c r="H147" s="164" t="n">
        <f aca="false">H141-((H144*1.2)+(H145*1.2)+(H146*1.2)+(H142*1.2))</f>
        <v>0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-22000</v>
      </c>
      <c r="I148" s="1" t="n">
        <f aca="false">(H148-G81)/1.2</f>
        <v>-18333.3333333333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0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-396.628631132337</v>
      </c>
      <c r="B167" s="177" t="str">
        <f aca="false">B94</f>
        <v>0</v>
      </c>
      <c r="C167" s="174"/>
      <c r="D167" s="174"/>
      <c r="E167" s="177" t="n">
        <f aca="false">B96</f>
        <v>-396.628631132337</v>
      </c>
      <c r="F167" s="23"/>
      <c r="G167" s="23" t="n">
        <f aca="false">ROUND(G95, 2)</f>
        <v>-444.81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18325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18325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18325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18325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0</v>
      </c>
      <c r="B173" s="103" t="n">
        <f aca="false">H137</f>
        <v>0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0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4442.9979103682</v>
      </c>
      <c r="B182" s="103" t="str">
        <f aca="false">B114</f>
        <v>239.99</v>
      </c>
      <c r="C182" s="103"/>
      <c r="D182" s="23"/>
      <c r="E182" s="103" t="n">
        <f aca="false">E179+A182+B182+A185</f>
        <v>4692.9879103682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IF(A40=0,(E167),(E170+A185))</f>
        <v>18335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18345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18335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18335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0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99.9916666666667</v>
      </c>
      <c r="C191" s="93"/>
      <c r="D191" s="93"/>
      <c r="E191" s="103" t="n">
        <f aca="false">H148</f>
        <v>-22000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-396.628631132337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2756.65</v>
      </c>
      <c r="B201" s="186" t="n">
        <f aca="false">E179+A201+B182+A185</f>
        <v>3006.64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-396.628631132337</v>
      </c>
      <c r="B212" s="177" t="str">
        <f aca="false">B167</f>
        <v>0</v>
      </c>
      <c r="C212" s="174"/>
      <c r="D212" s="174"/>
      <c r="E212" s="177" t="n">
        <f aca="false">E167</f>
        <v>-396.628631132337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0</v>
      </c>
      <c r="B215" s="103" t="n">
        <f aca="false">B173</f>
        <v>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4442.9979103682</v>
      </c>
      <c r="B224" s="103" t="str">
        <f aca="false">B182</f>
        <v>239.99</v>
      </c>
      <c r="C224" s="103"/>
      <c r="D224" s="113"/>
      <c r="E224" s="103" t="n">
        <f aca="false">E182</f>
        <v>4692.9879103682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-396.628631132337</v>
      </c>
      <c r="B230" s="103" t="str">
        <f aca="false">B167</f>
        <v>0</v>
      </c>
      <c r="C230" s="186"/>
      <c r="D230" s="186"/>
      <c r="E230" s="103" t="n">
        <f aca="false">E167</f>
        <v>-396.628631132337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18325</v>
      </c>
      <c r="B233" s="103" t="n">
        <f aca="false">E185</f>
        <v>18335</v>
      </c>
      <c r="C233" s="93"/>
      <c r="D233" s="93"/>
      <c r="E233" s="103" t="n">
        <f aca="false">J18*0.000006*100*1.2</f>
        <v>26.9316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0</v>
      </c>
      <c r="B236" s="103" t="n">
        <f aca="false">E233+A236</f>
        <v>26.9316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-22000</v>
      </c>
      <c r="B240" s="103" t="n">
        <f aca="false">B68</f>
        <v>0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-21900.0083333333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0.179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1696.3479103682</v>
      </c>
      <c r="C254" s="197"/>
      <c r="D254" s="198" t="s">
        <v>216</v>
      </c>
      <c r="E254" s="198"/>
      <c r="F254" s="200" t="n">
        <f aca="false">F261+F267+F269+B270+B271</f>
        <v>0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1796.33957703487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0.179</v>
      </c>
      <c r="C260" s="43"/>
      <c r="D260" s="166" t="s">
        <v>215</v>
      </c>
      <c r="E260" s="166"/>
      <c r="F260" s="146" t="n">
        <f aca="false">B254</f>
        <v>1696.3479103682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0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1796.33957703487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-0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18325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357.90279794936</v>
      </c>
      <c r="F33" s="232"/>
      <c r="G33" s="232"/>
      <c r="H33" s="47"/>
      <c r="I33" s="2"/>
      <c r="J33" s="34" t="s">
        <v>356</v>
      </c>
      <c r="K33" s="48" t="n">
        <f aca="false">E21</f>
        <v>22000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357.90279794936</v>
      </c>
      <c r="B36" s="232" t="str">
        <f aca="false">IF(B26="YES", K42, "0.00")</f>
        <v>0.00</v>
      </c>
      <c r="C36" s="232"/>
      <c r="D36" s="232"/>
      <c r="E36" s="232" t="n">
        <f aca="false">K31</f>
        <v>18325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22000</v>
      </c>
      <c r="L39" s="2" t="n">
        <f aca="false">(L47*K46)+K44</f>
        <v>35572.4137111818</v>
      </c>
      <c r="N39" s="1" t="n">
        <f aca="false">K39-L39</f>
        <v>-13572.4137111818</v>
      </c>
      <c r="P39" s="212"/>
    </row>
    <row r="40" customFormat="false" ht="17.35" hidden="false" customHeight="false" outlineLevel="0" collapsed="false">
      <c r="A40" s="107" t="n">
        <f aca="false">E36*A45/100</f>
        <v>18325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15270.8333333333</v>
      </c>
      <c r="L40" s="2" t="n">
        <f aca="false">K39-L39</f>
        <v>-13572.4137111818</v>
      </c>
      <c r="N40" s="1" t="n">
        <f aca="false">N38-N39</f>
        <v>16484.0937111818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11012.3601334129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10987.6398665871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30.7000669722112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357.90279794936</v>
      </c>
      <c r="L47" s="2" t="n">
        <f aca="false">L49-K42</f>
        <v>800</v>
      </c>
      <c r="M47" s="1" t="n">
        <f aca="false">K47-L47</f>
        <v>-442.09720205064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357.90279794936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357.90279794936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0.0425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5079.75314230575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218.749966666667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357.90279794936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357.90279794936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357.90279794936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357.90279794936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26249.996</v>
      </c>
      <c r="C81" s="93"/>
      <c r="D81" s="93"/>
      <c r="E81" s="113"/>
      <c r="F81" s="25" t="s">
        <v>105</v>
      </c>
      <c r="G81" s="27" t="n">
        <f aca="false">G158</f>
        <v>26249.996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18325</v>
      </c>
      <c r="C82" s="93"/>
      <c r="D82" s="93"/>
      <c r="E82" s="113"/>
      <c r="F82" s="31" t="s">
        <v>106</v>
      </c>
      <c r="G82" s="33" t="n">
        <f aca="false">IF(A111 = "Yes", A40, 0)</f>
        <v>18325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18325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18325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0.149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0.0124166666666667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11751.9432832851</v>
      </c>
      <c r="C86" s="93"/>
      <c r="D86" s="93"/>
      <c r="E86" s="113"/>
      <c r="F86" s="31" t="s">
        <v>110</v>
      </c>
      <c r="G86" s="33" t="n">
        <f aca="false">(G82/((1+G84)^(G85+1)))</f>
        <v>13332.1137955163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12396.273307778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12396.273307778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28.2467531799516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14498.0527167149</v>
      </c>
      <c r="C88" s="93"/>
      <c r="D88" s="93"/>
      <c r="E88" s="113"/>
      <c r="F88" s="31" t="s">
        <v>112</v>
      </c>
      <c r="G88" s="33" t="n">
        <f aca="false">G81-G86</f>
        <v>12917.8822044837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513.264396242364</v>
      </c>
      <c r="C89" s="93"/>
      <c r="D89" s="93"/>
      <c r="E89" s="113"/>
      <c r="F89" s="31" t="s">
        <v>113</v>
      </c>
      <c r="G89" s="33" t="n">
        <f aca="false">(G88/G87)</f>
        <v>430.990716358754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17964.2538684827</v>
      </c>
      <c r="C90" s="93"/>
      <c r="D90" s="93"/>
      <c r="E90" s="113"/>
      <c r="F90" s="31" t="s">
        <v>114</v>
      </c>
      <c r="G90" s="33" t="n">
        <f aca="false">((G89*(G85))+G77)</f>
        <v>15084.6750725564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17964.2538684827</v>
      </c>
      <c r="C92" s="93"/>
      <c r="D92" s="93"/>
      <c r="E92" s="113"/>
      <c r="F92" s="56" t="s">
        <v>116</v>
      </c>
      <c r="G92" s="65" t="n">
        <f aca="false">(G90+G91)</f>
        <v>15084.6750725564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513.264396242364</v>
      </c>
      <c r="C95" s="93"/>
      <c r="D95" s="93"/>
      <c r="E95" s="113"/>
      <c r="F95" s="95" t="s">
        <v>118</v>
      </c>
      <c r="G95" s="96" t="n">
        <f aca="false">G92/(G85)</f>
        <v>430.990716358754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513.264396242364</v>
      </c>
      <c r="C96" s="93"/>
      <c r="D96" s="93"/>
      <c r="E96" s="113"/>
      <c r="F96" s="97" t="s">
        <v>119</v>
      </c>
      <c r="G96" s="98" t="n">
        <f aca="false">G94+G95</f>
        <v>430.990716358754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0.149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22000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26400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26400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26400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22000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22000</v>
      </c>
      <c r="H135" s="153" t="n">
        <f aca="false">C125+E125+G125+H128</f>
        <v>23958.33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-20243.055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26249.996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513.264396242364</v>
      </c>
      <c r="B167" s="177" t="str">
        <f aca="false">B94</f>
        <v>0</v>
      </c>
      <c r="C167" s="174"/>
      <c r="D167" s="174"/>
      <c r="E167" s="177" t="n">
        <f aca="false">B96</f>
        <v>513.264396242364</v>
      </c>
      <c r="F167" s="23"/>
      <c r="G167" s="23" t="n">
        <f aca="false">ROUND(G95, 2)</f>
        <v>430.99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18325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18325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18325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18325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26249.996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10039.2578684827</v>
      </c>
      <c r="B182" s="103" t="str">
        <f aca="false">B114</f>
        <v>199.99</v>
      </c>
      <c r="C182" s="103"/>
      <c r="D182" s="23"/>
      <c r="E182" s="103" t="n">
        <f aca="false">E179+A182+(B182*1.2)+A185</f>
        <v>36539.2418684827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IF(A40=0,(E167),(E170+A185))</f>
        <v>18335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18345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18335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18335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218.749966666667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318.739966666667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513.264396242364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7159.654</v>
      </c>
      <c r="B201" s="186" t="n">
        <f aca="false">E179+A201+(B182*1.2)+A185</f>
        <v>33659.638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513.264396242364</v>
      </c>
      <c r="B212" s="177" t="str">
        <f aca="false">B167</f>
        <v>0</v>
      </c>
      <c r="C212" s="174"/>
      <c r="D212" s="174"/>
      <c r="E212" s="177" t="n">
        <f aca="false">E167</f>
        <v>513.264396242364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26249.996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10039.2578684827</v>
      </c>
      <c r="B224" s="103" t="str">
        <f aca="false">B182</f>
        <v>199.99</v>
      </c>
      <c r="C224" s="103"/>
      <c r="D224" s="113"/>
      <c r="E224" s="103" t="n">
        <f aca="false">E182</f>
        <v>36539.2418684827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513.264396242364</v>
      </c>
      <c r="B230" s="103" t="str">
        <f aca="false">B167</f>
        <v>0</v>
      </c>
      <c r="C230" s="186"/>
      <c r="D230" s="186"/>
      <c r="E230" s="103" t="n">
        <f aca="false">E167</f>
        <v>513.264396242364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18325</v>
      </c>
      <c r="B233" s="103" t="n">
        <f aca="false">E185</f>
        <v>18335</v>
      </c>
      <c r="C233" s="93"/>
      <c r="D233" s="93"/>
      <c r="E233" s="103" t="n">
        <f aca="false">J18*0.000006*100</f>
        <v>22.443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0</v>
      </c>
      <c r="B236" s="103" t="n">
        <f aca="false">E233+A236</f>
        <v>22.443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218.749966666667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2277.06996666667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0.149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2889.60386848272</v>
      </c>
      <c r="C254" s="197"/>
      <c r="D254" s="198" t="s">
        <v>216</v>
      </c>
      <c r="E254" s="198"/>
      <c r="F254" s="200" t="n">
        <f aca="false">F261+F267+F269+B270+B271</f>
        <v>262.49996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2727.09390848272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0.0425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0.149</v>
      </c>
      <c r="C260" s="43"/>
      <c r="D260" s="166" t="s">
        <v>215</v>
      </c>
      <c r="E260" s="166"/>
      <c r="F260" s="146" t="n">
        <f aca="false">B254</f>
        <v>2889.60386848272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262.49996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2727.09390848272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6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18325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299.074948996254</v>
      </c>
      <c r="F33" s="232"/>
      <c r="G33" s="232"/>
      <c r="H33" s="47"/>
      <c r="I33" s="2"/>
      <c r="J33" s="34" t="s">
        <v>356</v>
      </c>
      <c r="K33" s="48" t="n">
        <f aca="false">E21</f>
        <v>22000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299.074948996254</v>
      </c>
      <c r="B36" s="232" t="str">
        <f aca="false">IF(B26="YES", K42, "0.00")</f>
        <v>0.00</v>
      </c>
      <c r="C36" s="232"/>
      <c r="D36" s="232"/>
      <c r="E36" s="232" t="n">
        <f aca="false">K31</f>
        <v>18325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22000</v>
      </c>
      <c r="L39" s="2" t="n">
        <f aca="false">(L47*K46)+K44</f>
        <v>38223.1913572654</v>
      </c>
      <c r="N39" s="1" t="n">
        <f aca="false">K39-L39</f>
        <v>-16223.1913572654</v>
      </c>
      <c r="P39" s="212"/>
    </row>
    <row r="40" customFormat="false" ht="17.35" hidden="false" customHeight="false" outlineLevel="0" collapsed="false">
      <c r="A40" s="107" t="n">
        <f aca="false">E36*A45/100</f>
        <v>18325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15270.8333333333</v>
      </c>
      <c r="L40" s="2" t="n">
        <f aca="false">K39-L39</f>
        <v>-16223.1913572654</v>
      </c>
      <c r="N40" s="1" t="n">
        <f aca="false">N38-N39</f>
        <v>19134.8713572654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12314.0197959588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9685.98020404118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32.3864644516332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299.074948996254</v>
      </c>
      <c r="L47" s="2" t="n">
        <f aca="false">L49-K42</f>
        <v>800</v>
      </c>
      <c r="M47" s="1" t="n">
        <f aca="false">K47-L47</f>
        <v>-500.925051003746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299.074948996254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299.074948996254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5231.2476407486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218.749966666667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299.074948996254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299.074948996254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299.074948996254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299.074948996254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26249.996</v>
      </c>
      <c r="C81" s="93"/>
      <c r="D81" s="93"/>
      <c r="E81" s="113"/>
      <c r="F81" s="25" t="s">
        <v>105</v>
      </c>
      <c r="G81" s="27" t="n">
        <f aca="false">G158</f>
        <v>26249.996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18325</v>
      </c>
      <c r="C82" s="93"/>
      <c r="D82" s="93"/>
      <c r="E82" s="113"/>
      <c r="F82" s="31" t="s">
        <v>106</v>
      </c>
      <c r="G82" s="33" t="n">
        <f aca="false">IF(A111 = "Yes", A40, 0)</f>
        <v>18325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18325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18325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12807.7997019195</v>
      </c>
      <c r="C86" s="93"/>
      <c r="D86" s="93"/>
      <c r="E86" s="113"/>
      <c r="F86" s="31" t="s">
        <v>110</v>
      </c>
      <c r="G86" s="33" t="n">
        <f aca="false">(G82/((1+G84)^(G85+1)))</f>
        <v>14863.0218937223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12396.273307778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12396.273307778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29.4085800876469</v>
      </c>
      <c r="C87" s="93"/>
      <c r="D87" s="93"/>
      <c r="E87" s="113"/>
      <c r="F87" s="31" t="s">
        <v>111</v>
      </c>
      <c r="G87" s="33" t="n">
        <f aca="false">((1-(1/((1+G84)^G85)))/G84)</f>
        <v>31.5753854942677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13442.1962980805</v>
      </c>
      <c r="C88" s="93"/>
      <c r="D88" s="93"/>
      <c r="E88" s="113"/>
      <c r="F88" s="31" t="s">
        <v>112</v>
      </c>
      <c r="G88" s="33" t="n">
        <f aca="false">G81-G86</f>
        <v>11386.9741062777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457.084165846107</v>
      </c>
      <c r="C89" s="93"/>
      <c r="D89" s="93"/>
      <c r="E89" s="113"/>
      <c r="F89" s="31" t="s">
        <v>113</v>
      </c>
      <c r="G89" s="33" t="n">
        <f aca="false">(G88/G87)</f>
        <v>360.628189585997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15997.9458046137</v>
      </c>
      <c r="C90" s="93"/>
      <c r="D90" s="93"/>
      <c r="E90" s="113"/>
      <c r="F90" s="31" t="s">
        <v>114</v>
      </c>
      <c r="G90" s="33" t="n">
        <f aca="false">((G89*(G85))+G77)</f>
        <v>12621.9866355099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15997.9458046137</v>
      </c>
      <c r="C92" s="93"/>
      <c r="D92" s="93"/>
      <c r="E92" s="113"/>
      <c r="F92" s="56" t="s">
        <v>116</v>
      </c>
      <c r="G92" s="65" t="n">
        <f aca="false">(G90+G91)</f>
        <v>12621.9866355099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457.084165846107</v>
      </c>
      <c r="C95" s="93"/>
      <c r="D95" s="93"/>
      <c r="E95" s="113"/>
      <c r="F95" s="95" t="s">
        <v>118</v>
      </c>
      <c r="G95" s="96" t="n">
        <f aca="false">G92/(G85)</f>
        <v>360.628189585997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457.084165846107</v>
      </c>
      <c r="C96" s="93"/>
      <c r="D96" s="93"/>
      <c r="E96" s="113"/>
      <c r="F96" s="97" t="s">
        <v>119</v>
      </c>
      <c r="G96" s="98" t="n">
        <f aca="false">G94+G95</f>
        <v>360.628189585997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22000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26400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26400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26400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22000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22000</v>
      </c>
      <c r="H135" s="153" t="n">
        <f aca="false">C125+E125+G125+H128</f>
        <v>23958.33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-20243.055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26249.996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457.084165846107</v>
      </c>
      <c r="B167" s="177" t="str">
        <f aca="false">B94</f>
        <v>0</v>
      </c>
      <c r="C167" s="174"/>
      <c r="D167" s="174"/>
      <c r="E167" s="177" t="n">
        <f aca="false">B96</f>
        <v>457.084165846107</v>
      </c>
      <c r="F167" s="23"/>
      <c r="G167" s="23" t="n">
        <f aca="false">ROUND(G95, 2)</f>
        <v>360.63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18325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18325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18325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18325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26249.996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8072.94980461373</v>
      </c>
      <c r="B182" s="103" t="str">
        <f aca="false">B114</f>
        <v>239.99</v>
      </c>
      <c r="C182" s="103"/>
      <c r="D182" s="23"/>
      <c r="E182" s="103" t="n">
        <f aca="false">E179+A182+B182+A185</f>
        <v>34572.9358046137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IF(A40=0,(E167+A185),(E170+A185))</f>
        <v>18335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18345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18335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18335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0)*100*1.2</f>
        <v>0</v>
      </c>
      <c r="B188" s="103" t="n">
        <f aca="false">(G158*B67)/1.2</f>
        <v>218.749966666667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318.741633333333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457.084165846107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4697.054</v>
      </c>
      <c r="B201" s="186" t="n">
        <f aca="false">E179+A201+B182+A185</f>
        <v>31197.04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457.084165846107</v>
      </c>
      <c r="B212" s="177" t="str">
        <f aca="false">B167</f>
        <v>0</v>
      </c>
      <c r="C212" s="174"/>
      <c r="D212" s="174"/>
      <c r="E212" s="177" t="n">
        <f aca="false">E167</f>
        <v>457.084165846107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26249.996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8072.94980461373</v>
      </c>
      <c r="B224" s="103" t="str">
        <f aca="false">B182</f>
        <v>239.99</v>
      </c>
      <c r="C224" s="103"/>
      <c r="D224" s="113"/>
      <c r="E224" s="103" t="n">
        <f aca="false">E182</f>
        <v>34572.9358046137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457.084165846107</v>
      </c>
      <c r="B230" s="103" t="str">
        <f aca="false">B167</f>
        <v>0</v>
      </c>
      <c r="C230" s="186"/>
      <c r="D230" s="186"/>
      <c r="E230" s="103" t="n">
        <f aca="false">E167</f>
        <v>457.084165846107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18325</v>
      </c>
      <c r="B233" s="103" t="n">
        <f aca="false">E185</f>
        <v>18335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218.749966666667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2277.07163333334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3385.89580461373</v>
      </c>
      <c r="C254" s="197"/>
      <c r="D254" s="198" t="s">
        <v>216</v>
      </c>
      <c r="E254" s="198"/>
      <c r="F254" s="200" t="n">
        <f aca="false">F261+F267+F269+B270+B271</f>
        <v>262.49996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3223.3875112804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3385.89580461373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262.49996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3223.3875112804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8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 t="s">
        <v>4</v>
      </c>
      <c r="C3" s="267" t="n">
        <v>0</v>
      </c>
      <c r="D3" s="267" t="s">
        <v>4</v>
      </c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26949.996</v>
      </c>
      <c r="C4" s="269" t="n">
        <v>0</v>
      </c>
      <c r="D4" s="269" t="n">
        <v>0</v>
      </c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 t="n">
        <v>0</v>
      </c>
      <c r="C5" s="63" t="n">
        <v>0</v>
      </c>
      <c r="D5" s="63" t="n">
        <v>0</v>
      </c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22000.0</v>
      </c>
      <c r="C9" s="14" t="n">
        <f aca="false">B9*0.2</f>
        <v>4491.666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18325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313.22684880256</v>
      </c>
      <c r="F33" s="232"/>
      <c r="G33" s="232"/>
      <c r="H33" s="47"/>
      <c r="I33" s="2"/>
      <c r="J33" s="34" t="s">
        <v>356</v>
      </c>
      <c r="K33" s="48" t="n">
        <f aca="false">E21</f>
        <v>22458.33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313.22684880256</v>
      </c>
      <c r="B36" s="232" t="str">
        <f aca="false">IF(B26="YES", K42, "0.00")</f>
        <v>0.00</v>
      </c>
      <c r="C36" s="232"/>
      <c r="D36" s="232"/>
      <c r="E36" s="232" t="n">
        <f aca="false">K31</f>
        <v>18325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22458.33</v>
      </c>
      <c r="L39" s="2" t="n">
        <f aca="false">(L47*K46)+K44</f>
        <v>38223.1913572654</v>
      </c>
      <c r="N39" s="1" t="n">
        <f aca="false">K39-L39</f>
        <v>-15764.8613572654</v>
      </c>
      <c r="P39" s="212"/>
    </row>
    <row r="40" customFormat="false" ht="17.35" hidden="false" customHeight="false" outlineLevel="0" collapsed="false">
      <c r="A40" s="107" t="n">
        <f aca="false">E36*A45/100</f>
        <v>18325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15270.8333333333</v>
      </c>
      <c r="L40" s="2" t="n">
        <f aca="false">K39-L39</f>
        <v>-15764.8613572654</v>
      </c>
      <c r="N40" s="1" t="n">
        <f aca="false">N38-N39</f>
        <v>18676.5413572654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12314.0197959588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10144.3102040412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32.3864644516332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313.22684880256</v>
      </c>
      <c r="L47" s="2" t="n">
        <f aca="false">L49-K42</f>
        <v>800</v>
      </c>
      <c r="M47" s="1" t="n">
        <f aca="false">K47-L47</f>
        <v>-486.77315119744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313.22684880256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313.22684880256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4721.77924772159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218.749966666667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313.22684880256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313.22684880256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313.22684880256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313.22684880256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26249.996</v>
      </c>
      <c r="C81" s="93"/>
      <c r="D81" s="93"/>
      <c r="E81" s="113"/>
      <c r="F81" s="25" t="s">
        <v>105</v>
      </c>
      <c r="G81" s="27" t="n">
        <f aca="false">G158</f>
        <v>26249.996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18325</v>
      </c>
      <c r="C82" s="93"/>
      <c r="D82" s="93"/>
      <c r="E82" s="113"/>
      <c r="F82" s="31" t="s">
        <v>106</v>
      </c>
      <c r="G82" s="33" t="n">
        <f aca="false">IF(A111 = "Yes", A40, 0)</f>
        <v>18325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18325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18325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12807.7997019195</v>
      </c>
      <c r="C86" s="93"/>
      <c r="D86" s="93"/>
      <c r="E86" s="113"/>
      <c r="F86" s="31" t="s">
        <v>110</v>
      </c>
      <c r="G86" s="33" t="n">
        <f aca="false">(G82/((1+G84)^(G85+1)))</f>
        <v>14863.0218937223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12396.273307778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12396.273307778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29.4085800876469</v>
      </c>
      <c r="C87" s="93"/>
      <c r="D87" s="93"/>
      <c r="E87" s="113"/>
      <c r="F87" s="31" t="s">
        <v>111</v>
      </c>
      <c r="G87" s="33" t="n">
        <f aca="false">((1-(1/((1+G84)^G85)))/G84)</f>
        <v>31.5753854942677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13442.1962980805</v>
      </c>
      <c r="C88" s="93"/>
      <c r="D88" s="93"/>
      <c r="E88" s="113"/>
      <c r="F88" s="31" t="s">
        <v>112</v>
      </c>
      <c r="G88" s="33" t="n">
        <f aca="false">G81-G86</f>
        <v>11386.9741062777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457.084165846107</v>
      </c>
      <c r="C89" s="93"/>
      <c r="D89" s="93"/>
      <c r="E89" s="113"/>
      <c r="F89" s="31" t="s">
        <v>113</v>
      </c>
      <c r="G89" s="33" t="n">
        <f aca="false">(G88/G87)</f>
        <v>360.628189585997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15997.9458046137</v>
      </c>
      <c r="C90" s="93"/>
      <c r="D90" s="93"/>
      <c r="E90" s="113"/>
      <c r="F90" s="31" t="s">
        <v>114</v>
      </c>
      <c r="G90" s="33" t="n">
        <f aca="false">((G89*(G85))+G77)</f>
        <v>12621.9866355099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15997.9458046137</v>
      </c>
      <c r="C92" s="93"/>
      <c r="D92" s="93"/>
      <c r="E92" s="113"/>
      <c r="F92" s="56" t="s">
        <v>116</v>
      </c>
      <c r="G92" s="65" t="n">
        <f aca="false">(G90+G91)</f>
        <v>12621.9866355099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457.084165846107</v>
      </c>
      <c r="C95" s="93"/>
      <c r="D95" s="93"/>
      <c r="E95" s="113"/>
      <c r="F95" s="95" t="s">
        <v>118</v>
      </c>
      <c r="G95" s="96" t="n">
        <f aca="false">G92/(G85)</f>
        <v>360.628189585997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457.084165846107</v>
      </c>
      <c r="C96" s="93"/>
      <c r="D96" s="93"/>
      <c r="E96" s="113"/>
      <c r="F96" s="97" t="s">
        <v>119</v>
      </c>
      <c r="G96" s="98" t="n">
        <f aca="false">G94+G95</f>
        <v>360.628189585997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22458.33</v>
      </c>
      <c r="C121" s="121" t="n">
        <v>23958.33</v>
      </c>
      <c r="D121" s="120" t="n"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str">
        <f aca="false">B3</f>
        <v> </v>
      </c>
      <c r="L121" s="121" t="n">
        <v>28629.17</v>
      </c>
      <c r="M121" s="120" t="str">
        <f aca="false">D3</f>
        <v> </v>
      </c>
      <c r="N121" s="121" t="str">
        <f aca="false">M121</f>
        <v> 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str">
        <f aca="false">B3</f>
        <v> </v>
      </c>
      <c r="U121" s="121" t="str">
        <f aca="false">T121</f>
        <v> </v>
      </c>
      <c r="V121" s="120" t="str">
        <f aca="false">D3</f>
        <v> </v>
      </c>
      <c r="W121" s="121" t="str">
        <f aca="false">V121</f>
        <v> 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str">
        <f aca="false">B3</f>
        <v> </v>
      </c>
      <c r="AD121" s="121" t="str">
        <f aca="false">AC121</f>
        <v> </v>
      </c>
      <c r="AE121" s="120" t="str">
        <f aca="false">D3</f>
        <v> </v>
      </c>
      <c r="AF121" s="121" t="str">
        <f aca="false">AE121</f>
        <v> 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26949.996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26949.996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26949.996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e">
        <f aca="false">(K121*K122)+K123</f>
        <v>#VALUE!</v>
      </c>
      <c r="L124" s="131" t="n">
        <f aca="false">(L121*L122)+L123</f>
        <v>0</v>
      </c>
      <c r="M124" s="130" t="e">
        <f aca="false">(M121*M122)+M123</f>
        <v>#VALUE!</v>
      </c>
      <c r="N124" s="131" t="e">
        <f aca="false">(N121*N122)+N123</f>
        <v>#VALUE!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e">
        <f aca="false">(T121*T122)+T123</f>
        <v>#VALUE!</v>
      </c>
      <c r="U124" s="131" t="e">
        <f aca="false">(U121*U122)+U123</f>
        <v>#VALUE!</v>
      </c>
      <c r="V124" s="130" t="e">
        <f aca="false">(V121*V122)+V123</f>
        <v>#VALUE!</v>
      </c>
      <c r="W124" s="131" t="e">
        <f aca="false">(W121*W122)+W123</f>
        <v>#VALUE!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e">
        <f aca="false">(AC121*AC122)+AC123</f>
        <v>#VALUE!</v>
      </c>
      <c r="AD124" s="131" t="e">
        <f aca="false">(AD121*AD122)+AD123</f>
        <v>#VALUE!</v>
      </c>
      <c r="AE124" s="130" t="e">
        <f aca="false">(AE121*AE122)+AE123</f>
        <v>#VALUE!</v>
      </c>
      <c r="AF124" s="131" t="e">
        <f aca="false">(AF121*AF122)+AF123</f>
        <v>#VALUE!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22458.33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e">
        <f aca="false">K121-K124</f>
        <v>#VALUE!</v>
      </c>
      <c r="L125" s="133" t="n">
        <f aca="false">L121-L124</f>
        <v>28629.17</v>
      </c>
      <c r="M125" s="132" t="e">
        <f aca="false">M121-M124</f>
        <v>#VALUE!</v>
      </c>
      <c r="N125" s="133" t="e">
        <f aca="false">N121-N124</f>
        <v>#VALUE!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e">
        <f aca="false">T121-T124</f>
        <v>#VALUE!</v>
      </c>
      <c r="U125" s="133" t="e">
        <f aca="false">U121-U124</f>
        <v>#VALUE!</v>
      </c>
      <c r="V125" s="132" t="e">
        <f aca="false">V121-V124</f>
        <v>#VALUE!</v>
      </c>
      <c r="W125" s="133" t="e">
        <f aca="false">W121-W124</f>
        <v>#VALUE!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e">
        <f aca="false">AC121-AC124</f>
        <v>#VALUE!</v>
      </c>
      <c r="AD125" s="133" t="e">
        <f aca="false">AD121-AD124</f>
        <v>#VALUE!</v>
      </c>
      <c r="AE125" s="132" t="e">
        <f aca="false">AE121-AE124</f>
        <v>#VALUE!</v>
      </c>
      <c r="AF125" s="133" t="e">
        <f aca="false">AF121-AF124</f>
        <v>#VALUE!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22458.33</v>
      </c>
      <c r="H135" s="153" t="n">
        <f aca="false">C125+E125+G125+H128</f>
        <v>23958.33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4491.666</v>
      </c>
      <c r="H137" s="33" t="n">
        <f aca="false">(H135+H136)*20%</f>
        <v>4791.666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26949.996</v>
      </c>
      <c r="H141" s="157" t="n">
        <f aca="false">(H135+H136+H139+H140+H137)-H138</f>
        <v>28749.996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26949.996</v>
      </c>
      <c r="H147" s="164" t="n">
        <f aca="false">H141-((H144*1.2)+(H145*1.2)+(H146*1.2)+(H142*1.2))</f>
        <v>28749.996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1500</v>
      </c>
      <c r="I148" s="1" t="n">
        <f aca="false">(H148-G81)/1.2</f>
        <v>-20624.9966666667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26249.996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457.084165846107</v>
      </c>
      <c r="B167" s="177" t="str">
        <f aca="false">B94</f>
        <v>0</v>
      </c>
      <c r="C167" s="174"/>
      <c r="D167" s="174"/>
      <c r="E167" s="177" t="n">
        <f aca="false">B96</f>
        <v>457.084165846107</v>
      </c>
      <c r="F167" s="23"/>
      <c r="G167" s="23" t="n">
        <f aca="false">ROUND(G95, 2)</f>
        <v>360.63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18325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18325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18325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18325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26249.996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8072.94980461373</v>
      </c>
      <c r="B182" s="103" t="str">
        <f aca="false">B114</f>
        <v>199.99</v>
      </c>
      <c r="C182" s="103"/>
      <c r="D182" s="23"/>
      <c r="E182" s="103" t="n">
        <f aca="false">E179+A182+(B182*1.2)+A185</f>
        <v>34572.9338046137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IF(A40=0,(E167+A185),(E170+A185))</f>
        <v>18335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18345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18335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18335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218.749966666667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318.739966666667</v>
      </c>
      <c r="C191" s="93"/>
      <c r="D191" s="93"/>
      <c r="E191" s="103" t="n">
        <f aca="false">H148</f>
        <v>1500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457.084165846107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4697.054</v>
      </c>
      <c r="B201" s="186" t="n">
        <f aca="false">E179+A201+(B182*1.2)+A185</f>
        <v>31197.038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457.084165846107</v>
      </c>
      <c r="B212" s="177" t="str">
        <f aca="false">B167</f>
        <v>0</v>
      </c>
      <c r="C212" s="174"/>
      <c r="D212" s="174"/>
      <c r="E212" s="177" t="n">
        <f aca="false">E167</f>
        <v>457.084165846107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26249.996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8072.94980461373</v>
      </c>
      <c r="B224" s="103" t="str">
        <f aca="false">B182</f>
        <v>199.99</v>
      </c>
      <c r="C224" s="103"/>
      <c r="D224" s="113"/>
      <c r="E224" s="103" t="n">
        <f aca="false">E182</f>
        <v>34572.9338046137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457.084165846107</v>
      </c>
      <c r="B230" s="103" t="str">
        <f aca="false">B167</f>
        <v>0</v>
      </c>
      <c r="C230" s="186"/>
      <c r="D230" s="186"/>
      <c r="E230" s="103" t="n">
        <f aca="false">E167</f>
        <v>457.084165846107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18325</v>
      </c>
      <c r="B233" s="103" t="n">
        <f aca="false">E185</f>
        <v>18335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1500</v>
      </c>
      <c r="B240" s="103" t="n">
        <f aca="false">B68</f>
        <v>218.749966666667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1818.73996666667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3385.89580461373</v>
      </c>
      <c r="C254" s="197"/>
      <c r="D254" s="198" t="s">
        <v>216</v>
      </c>
      <c r="E254" s="198"/>
      <c r="F254" s="200" t="n">
        <f aca="false">F261+F267+F269+B270+B271</f>
        <v>262.49996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3223.38584461373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3385.89580461373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262.49996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3223.38584461373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22000.0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0</v>
      </c>
      <c r="E32" s="226"/>
      <c r="F32" s="63"/>
      <c r="G32" s="227" t="s">
        <v>243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393</v>
      </c>
      <c r="C38" s="223"/>
      <c r="D38" s="104" t="n">
        <v>500.0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0.0</v>
      </c>
      <c r="B41" s="241" t="n">
        <f aca="false">IF(B38="YES", D38+A41, D38)</f>
        <v>500</v>
      </c>
      <c r="C41" s="241"/>
      <c r="D41" s="104" t="n">
        <v>12.0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1.0</v>
      </c>
      <c r="B44" s="104" t="n">
        <v>0.0</v>
      </c>
      <c r="C44" s="104"/>
      <c r="D44" s="279" t="n">
        <f aca="false">A44+B44</f>
        <v>1</v>
      </c>
      <c r="E44" s="279"/>
      <c r="F44" s="63"/>
      <c r="G44" s="63" t="s">
        <v>257</v>
      </c>
      <c r="H44" s="238" t="n">
        <f aca="false">((A41*(B35-1))+D32)/B35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501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26400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37405</v>
      </c>
      <c r="C61" s="215"/>
      <c r="D61" s="215"/>
      <c r="E61" s="216"/>
      <c r="F61" s="63"/>
      <c r="G61" s="214" t="s">
        <v>14</v>
      </c>
      <c r="H61" s="291" t="n">
        <f aca="false">G18</f>
        <v>37405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1848</v>
      </c>
      <c r="C64" s="215" t="n">
        <v>10000</v>
      </c>
      <c r="D64" s="291" t="n">
        <f aca="false">B64</f>
        <v>1848</v>
      </c>
      <c r="E64" s="216"/>
      <c r="F64" s="63"/>
      <c r="G64" s="285" t="s">
        <v>90</v>
      </c>
      <c r="H64" s="133" t="n">
        <f aca="false">H61*H63</f>
        <v>2618.35</v>
      </c>
      <c r="I64" s="215"/>
      <c r="J64" s="291" t="n">
        <f aca="false">H64</f>
        <v>2618.35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132</v>
      </c>
      <c r="C67" s="215"/>
      <c r="D67" s="291"/>
      <c r="E67" s="216"/>
      <c r="F67" s="63"/>
      <c r="G67" s="285" t="s">
        <v>93</v>
      </c>
      <c r="H67" s="133" t="n">
        <f aca="false">H61*H66</f>
        <v>187.025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0.0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 t="n">
        <f aca="false">IF(G18&gt;40000, 325, 0)</f>
        <v>0</v>
      </c>
      <c r="D75" s="215"/>
      <c r="E75" s="216"/>
      <c r="F75" s="63"/>
      <c r="G75" s="295" t="s">
        <v>280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3128.66666666667</v>
      </c>
      <c r="C81" s="215"/>
      <c r="D81" s="215"/>
      <c r="E81" s="216"/>
      <c r="F81" s="63"/>
      <c r="G81" s="303" t="s">
        <v>102</v>
      </c>
      <c r="H81" s="304" t="n">
        <f aca="false">SUM(J64:J80)</f>
        <v>4244.85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260.722222222222</v>
      </c>
      <c r="C82" s="215"/>
      <c r="D82" s="215"/>
      <c r="E82" s="216"/>
      <c r="F82" s="63"/>
      <c r="G82" s="214" t="s">
        <v>103</v>
      </c>
      <c r="H82" s="300" t="n">
        <f aca="false">H81/H29</f>
        <v>353.7375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10968.8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12308.22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77.4320290439694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86.8873941105285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11046.232029044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12295.1173941105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0</v>
      </c>
      <c r="C89" s="215"/>
      <c r="D89" s="215"/>
      <c r="E89" s="216"/>
      <c r="F89" s="63"/>
      <c r="G89" s="303" t="s">
        <v>117</v>
      </c>
      <c r="H89" s="304" t="n">
        <f aca="false">(A41+(A41*H105))*1.2</f>
        <v>0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920.519335753664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1024.59311617588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920.519335753664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1024.59311617588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239.99</v>
      </c>
      <c r="B102" s="107" t="n">
        <v>400.0</v>
      </c>
      <c r="C102" s="107"/>
      <c r="D102" s="107" t="n">
        <v>200.0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393</v>
      </c>
      <c r="B105" s="312" t="n">
        <v>0.0</v>
      </c>
      <c r="C105" s="312"/>
      <c r="D105" s="107" t="s">
        <v>401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 t="n">
        <v>0.0</v>
      </c>
      <c r="C108" s="217"/>
      <c r="D108" s="217" t="n">
        <v>0.0</v>
      </c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393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(E118+E117)-D115</f>
        <v>-2760.012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920.519335753664</v>
      </c>
      <c r="B128" s="321" t="n">
        <f aca="false">IF(A105="YES", B89, 0)</f>
        <v>0</v>
      </c>
      <c r="C128" s="326"/>
      <c r="D128" s="321" t="n">
        <f aca="false">B91</f>
        <v>920.519335753664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1024.59311617588</v>
      </c>
      <c r="H130" s="177" t="n">
        <f aca="false">IF(G105="YES", H89*H57, 0)</f>
        <v>0</v>
      </c>
      <c r="I130" s="177"/>
      <c r="J130" s="334" t="n">
        <f aca="false">H91</f>
        <v>1024.59311617588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8284.67402178298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1024.59311617588</v>
      </c>
      <c r="H133" s="103" t="n">
        <f aca="false">IF(G105="YES", H89*H57, 0)</f>
        <v>0</v>
      </c>
      <c r="I133" s="221"/>
      <c r="J133" s="184" t="n">
        <f aca="false">H91*H57</f>
        <v>1024.59311617588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8284.67402178298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920.519335753664</v>
      </c>
      <c r="B137" s="38" t="n">
        <f aca="false">IF(A105="YES", B89, 0)</f>
        <v>0</v>
      </c>
      <c r="C137" s="317"/>
      <c r="D137" s="38" t="n">
        <f aca="false">B91</f>
        <v>920.519335753664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187.025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26.9316</v>
      </c>
      <c r="B140" s="343" t="n">
        <f aca="false">G18*0.000002 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0</v>
      </c>
      <c r="H142" s="103" t="n">
        <f aca="false">G102-100</f>
        <v>139.988</v>
      </c>
      <c r="I142" s="103"/>
      <c r="J142" s="103" t="n">
        <f aca="false">(H139+J139+G142+H142)-H145</f>
        <v>1407.013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132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631.99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1024.59311617588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920.519335753664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920.519335753664</v>
      </c>
      <c r="B171" s="355" t="n">
        <f aca="false">IF(A105="YES", B89, 0)</f>
        <v>0</v>
      </c>
      <c r="C171" s="358"/>
      <c r="D171" s="355" t="n">
        <f aca="false">B91</f>
        <v>920.519335753664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8284.67402178298</v>
      </c>
      <c r="C174" s="353"/>
      <c r="D174" s="103" t="n">
        <f aca="false">IF(A105="YES", B89*B57, 0)</f>
        <v>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8284.67402178298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920.519335753664</v>
      </c>
      <c r="B180" s="103" t="n">
        <f aca="false">IF(A105="YES", B89, 0)</f>
        <v>0</v>
      </c>
      <c r="C180" s="353"/>
      <c r="D180" s="103" t="n">
        <f aca="false">B91</f>
        <v>920.519335753664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26.9316</v>
      </c>
      <c r="B183" s="365" t="n">
        <f aca="false">G18*0.000002 *1.2*100</f>
        <v>8.9772</v>
      </c>
      <c r="C183" s="353"/>
      <c r="D183" s="365" t="n">
        <f aca="false">A183+B183</f>
        <v>35.9088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132</v>
      </c>
      <c r="B191" s="103" t="n">
        <f aca="false">B102</f>
        <v>400</v>
      </c>
      <c r="C191" s="103"/>
      <c r="D191" s="103" t="n">
        <f aca="false">IF(A105="YES", (A38/100*B105)*B125, 0)*0.001</f>
        <v>0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631.99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1848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132</v>
      </c>
      <c r="C205" s="320" t="s">
        <v>217</v>
      </c>
      <c r="D205" s="370" t="n">
        <f aca="false">B219+E215+B215+B217</f>
        <v>339.99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2055.99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1848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132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2055.99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77.4320290439694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26400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37405</v>
      </c>
      <c r="C61" s="215"/>
      <c r="D61" s="215"/>
      <c r="E61" s="216"/>
      <c r="F61" s="63"/>
      <c r="G61" s="214" t="s">
        <v>14</v>
      </c>
      <c r="H61" s="291" t="n">
        <f aca="false">G18</f>
        <v>37405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1848</v>
      </c>
      <c r="C64" s="215" t="n">
        <v>10000</v>
      </c>
      <c r="D64" s="291" t="n">
        <f aca="false">B64</f>
        <v>1848</v>
      </c>
      <c r="E64" s="216"/>
      <c r="F64" s="63"/>
      <c r="G64" s="285" t="s">
        <v>90</v>
      </c>
      <c r="H64" s="133" t="n">
        <f aca="false">H61*H63</f>
        <v>2618.35</v>
      </c>
      <c r="I64" s="215"/>
      <c r="J64" s="291" t="n">
        <f aca="false">H64</f>
        <v>2618.35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132</v>
      </c>
      <c r="C67" s="215"/>
      <c r="D67" s="291"/>
      <c r="E67" s="216"/>
      <c r="F67" s="63"/>
      <c r="G67" s="285" t="s">
        <v>93</v>
      </c>
      <c r="H67" s="133" t="n">
        <f aca="false">H61*H66</f>
        <v>187.025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3128.66666666667</v>
      </c>
      <c r="C81" s="215"/>
      <c r="D81" s="215"/>
      <c r="E81" s="216"/>
      <c r="F81" s="63"/>
      <c r="G81" s="303" t="s">
        <v>102</v>
      </c>
      <c r="H81" s="304" t="n">
        <f aca="false">SUM(J64:J80)</f>
        <v>4244.85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260.722222222222</v>
      </c>
      <c r="C82" s="215"/>
      <c r="D82" s="215"/>
      <c r="E82" s="216"/>
      <c r="F82" s="63"/>
      <c r="G82" s="214" t="s">
        <v>103</v>
      </c>
      <c r="H82" s="300" t="n">
        <f aca="false">H81/H29</f>
        <v>353.7375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9140.66666666667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12308.22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77.4320290439694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86.8873941105285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9218.09869571064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12295.1173941105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60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768.17489130922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1024.59311617588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828.17489130922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1096.59311617588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20</v>
      </c>
      <c r="C105" s="312"/>
      <c r="D105" s="107" t="s">
        <v>291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 t="n">
        <v>0</v>
      </c>
      <c r="C108" s="217"/>
      <c r="D108" s="217" t="n">
        <v>0</v>
      </c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((E118*1.2)+E117)-E114</f>
        <v>-3760.012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768.17489130922</v>
      </c>
      <c r="B128" s="321" t="n">
        <f aca="false">IF(A105="YES", B89, 0)</f>
        <v>60</v>
      </c>
      <c r="C128" s="326"/>
      <c r="D128" s="321" t="n">
        <f aca="false">B91</f>
        <v>828.17489130922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1024.59311617588</v>
      </c>
      <c r="H130" s="177" t="n">
        <f aca="false">IF(G105="YES", H89*H57, 0)</f>
        <v>72</v>
      </c>
      <c r="I130" s="177"/>
      <c r="J130" s="334" t="n">
        <f aca="false">H91</f>
        <v>1096.59311617588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6913.57402178298</v>
      </c>
      <c r="C131" s="317"/>
      <c r="D131" s="38" t="n">
        <f aca="false">IF(A105="YES", B89*B57, 0)</f>
        <v>540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1024.59311617588</v>
      </c>
      <c r="H133" s="103" t="n">
        <f aca="false">IF(G105="YES", H89*H57, 0)</f>
        <v>72</v>
      </c>
      <c r="I133" s="221"/>
      <c r="J133" s="184" t="n">
        <f aca="false">H91*H57</f>
        <v>1096.59311617588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7453.57402178298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768.17489130922</v>
      </c>
      <c r="B137" s="38" t="n">
        <f aca="false">IF(A105="YES", B89, 0)</f>
        <v>60</v>
      </c>
      <c r="C137" s="317"/>
      <c r="D137" s="38" t="n">
        <f aca="false">B91</f>
        <v>828.17489130922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187.025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26.9316</v>
      </c>
      <c r="B140" s="343" t="n">
        <f aca="false">G18*0.000002 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1414.213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132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643.99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1096.59311617588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828.17489130922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768.17489130922</v>
      </c>
      <c r="B171" s="355" t="n">
        <f aca="false">IF(A105="YES", B89, 0)</f>
        <v>60</v>
      </c>
      <c r="C171" s="358"/>
      <c r="D171" s="355" t="n">
        <f aca="false">B91</f>
        <v>828.17489130922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6913.57402178298</v>
      </c>
      <c r="C174" s="353"/>
      <c r="D174" s="103" t="n">
        <f aca="false">IF(A105="YES", B89*B57, 0)</f>
        <v>540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7453.57402178298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768.17489130922</v>
      </c>
      <c r="B180" s="103" t="n">
        <f aca="false">IF(A105="YES", B89, 0)</f>
        <v>60</v>
      </c>
      <c r="C180" s="353"/>
      <c r="D180" s="103" t="n">
        <f aca="false">B91</f>
        <v>828.17489130922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26.9316</v>
      </c>
      <c r="B183" s="365" t="n">
        <f aca="false">G18*0.000002 *1.2*100</f>
        <v>8.9772</v>
      </c>
      <c r="C183" s="353"/>
      <c r="D183" s="365" t="n">
        <f aca="false">A183+B183</f>
        <v>35.9088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132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643.99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H29</f>
        <v>12</v>
      </c>
      <c r="C203" s="321" t="s">
        <v>215</v>
      </c>
      <c r="D203" s="370" t="n">
        <f aca="false">D64</f>
        <v>1848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132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2175.99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1848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132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2175.99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77.4320290439694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19500.0</v>
      </c>
      <c r="C9" s="14" t="n">
        <f aca="false">B9*0.2</f>
        <v>4400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</v>
      </c>
      <c r="I29" s="387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66666.6666666667</v>
      </c>
      <c r="I31" s="63"/>
      <c r="J31" s="63"/>
      <c r="K31" s="63" t="n">
        <v>66666.6666666667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6000</v>
      </c>
      <c r="J32" s="63"/>
      <c r="K32" s="63" t="n">
        <v>6000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314.320761824618</v>
      </c>
      <c r="E33" s="216"/>
      <c r="F33" s="63"/>
      <c r="G33" s="219" t="s">
        <v>356</v>
      </c>
      <c r="H33" s="460" t="n">
        <f aca="false">E21-E11</f>
        <v>22000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264.320761824618</v>
      </c>
      <c r="B36" s="103" t="n">
        <f aca="false">IF(B26="YES", H42, "")</f>
        <v>50</v>
      </c>
      <c r="C36" s="221"/>
      <c r="D36" s="184" t="n">
        <f aca="false">H31</f>
        <v>66666.6666666667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22000</v>
      </c>
      <c r="I39" s="238" t="n">
        <f aca="false">(I48*H46)+H44</f>
        <v>57161.3120530432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20000</v>
      </c>
      <c r="B40" s="107" t="n">
        <f aca="false">IF(B26="YES",H42,"0")</f>
        <v>50</v>
      </c>
      <c r="C40" s="107"/>
      <c r="D40" s="184" t="n">
        <f aca="false">I32</f>
        <v>6000</v>
      </c>
      <c r="E40" s="216"/>
      <c r="F40" s="63"/>
      <c r="G40" s="63" t="s">
        <v>106</v>
      </c>
      <c r="H40" s="238" t="n">
        <f aca="false">A40/1.2</f>
        <v>16666.6666666667</v>
      </c>
      <c r="I40" s="238" t="n">
        <f aca="false">H39-I39</f>
        <v>-35161.3120530432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50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13439.5850433384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</v>
      </c>
      <c r="B45" s="215"/>
      <c r="C45" s="463" t="n">
        <v>30</v>
      </c>
      <c r="D45" s="463"/>
      <c r="E45" s="216"/>
      <c r="F45" s="63"/>
      <c r="G45" s="63" t="s">
        <v>374</v>
      </c>
      <c r="H45" s="238" t="n">
        <f aca="false">(H39-H44)</f>
        <v>8560.41495666158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32.3864644516332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264.320761824618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314.320761824618</v>
      </c>
      <c r="I48" s="238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314.320761824618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26400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37404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277.777777777778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264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162</v>
      </c>
      <c r="C73" s="215"/>
      <c r="D73" s="472" t="n">
        <f aca="false">B73+B71</f>
        <v>322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473"/>
      <c r="D80" s="291" t="n">
        <f aca="false">B80</f>
        <v>100</v>
      </c>
      <c r="E80" s="466" t="n">
        <f aca="false">(D73+D76+D79+D80)/(B58+B57)</f>
        <v>20.0555555555556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10722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297.833333333333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264.320761824618</v>
      </c>
      <c r="C83" s="473"/>
      <c r="D83" s="215"/>
      <c r="E83" s="466" t="n">
        <f aca="false">B83+E80+E77+E64</f>
        <v>562.154095157951</v>
      </c>
      <c r="F83" s="63"/>
      <c r="G83" s="305" t="s">
        <v>104</v>
      </c>
      <c r="H83" s="306" t="n">
        <f aca="false">H47</f>
        <v>264.320761824618</v>
      </c>
      <c r="I83" s="215"/>
      <c r="J83" s="215"/>
      <c r="K83" s="216"/>
      <c r="L83" s="63"/>
      <c r="M83" s="305" t="s">
        <v>104</v>
      </c>
      <c r="N83" s="306" t="n">
        <f aca="false">H47</f>
        <v>264.320761824618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20237.5474256862</v>
      </c>
      <c r="C85" s="473"/>
      <c r="D85" s="473"/>
      <c r="E85" s="466" t="n">
        <f aca="false">B85/(B58+B57)</f>
        <v>562.154095157951</v>
      </c>
      <c r="F85" s="63"/>
      <c r="G85" s="288" t="s">
        <v>114</v>
      </c>
      <c r="H85" s="131" t="n">
        <f aca="false">((H83*H29)+H81)*1.2</f>
        <v>12697.5569108235</v>
      </c>
      <c r="I85" s="215"/>
      <c r="J85" s="215"/>
      <c r="K85" s="216"/>
      <c r="L85" s="63"/>
      <c r="M85" s="288" t="s">
        <v>114</v>
      </c>
      <c r="N85" s="131" t="n">
        <f aca="false">((N83*H29)+N81)</f>
        <v>10237.5474256862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171.435456207911</v>
      </c>
      <c r="C86" s="473" t="s">
        <v>230</v>
      </c>
      <c r="D86" s="215"/>
      <c r="E86" s="466" t="n">
        <f aca="false">B86/(B58+B57)</f>
        <v>4.7620960057753</v>
      </c>
      <c r="F86" s="63"/>
      <c r="G86" s="214" t="s">
        <v>115</v>
      </c>
      <c r="H86" s="300" t="n">
        <f aca="false">((((H83*H29)+H81))/(1-H70))*H70</f>
        <v>89.6358394269508</v>
      </c>
      <c r="I86" s="215"/>
      <c r="J86" s="215"/>
      <c r="K86" s="216"/>
      <c r="L86" s="63"/>
      <c r="M86" s="214" t="s">
        <v>115</v>
      </c>
      <c r="N86" s="300" t="n">
        <f aca="false">(N85/(1-N70))*N70</f>
        <v>86.7238789590201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20408.9828818941</v>
      </c>
      <c r="C87" s="473"/>
      <c r="D87" s="475"/>
      <c r="E87" s="466" t="n">
        <f aca="false">E86+E85</f>
        <v>566.916191163726</v>
      </c>
      <c r="F87" s="63"/>
      <c r="G87" s="285" t="s">
        <v>116</v>
      </c>
      <c r="H87" s="133" t="n">
        <f aca="false">IF(H110="YES",((H85+H86)-K114),(H85+H86))</f>
        <v>12787.1927502504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10324.2713046453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65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210.731707317073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175.609756097561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566.916191163726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311.882750006108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251.81149523525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631.916191163726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522.614457323181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427.421251332811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0.0</v>
      </c>
      <c r="C102" s="107"/>
      <c r="D102" s="107" t="n">
        <v>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311.882750006108</v>
      </c>
      <c r="H127" s="177" t="n">
        <f aca="false">IF(G105="YES", H89*H57, 0)</f>
        <v>1264.39024390244</v>
      </c>
      <c r="I127" s="177"/>
      <c r="J127" s="334" t="n">
        <f aca="false">H91</f>
        <v>522.614457323181</v>
      </c>
      <c r="K127" s="216"/>
      <c r="L127" s="63"/>
      <c r="M127" s="333" t="n">
        <f aca="false">N90</f>
        <v>251.81149523525</v>
      </c>
      <c r="N127" s="177" t="n">
        <f aca="false">IF(M105="YES", N89*N57, 0)</f>
        <v>1053.65853658537</v>
      </c>
      <c r="O127" s="177"/>
      <c r="P127" s="177" t="n">
        <f aca="false">N91</f>
        <v>427.421251332811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566.916191163726</v>
      </c>
      <c r="B128" s="321" t="n">
        <f aca="false">IF(A105="YES", B89, 0)</f>
        <v>65</v>
      </c>
      <c r="C128" s="325"/>
      <c r="D128" s="321" t="n">
        <f aca="false">B91</f>
        <v>631.916191163726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566.916191163726</v>
      </c>
      <c r="C131" s="317"/>
      <c r="D131" s="38" t="n">
        <f aca="false">IF(A105="YES", B89*B57, 0)</f>
        <v>65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1871.29650003665</v>
      </c>
      <c r="H133" s="103" t="n">
        <f aca="false">IF(G105="YES", H89*H57, 0)</f>
        <v>1264.39024390244</v>
      </c>
      <c r="I133" s="221"/>
      <c r="J133" s="184" t="n">
        <f aca="false">H91*H57</f>
        <v>3135.68674393909</v>
      </c>
      <c r="K133" s="216"/>
      <c r="L133" s="63"/>
      <c r="M133" s="185" t="n">
        <f aca="false">N90*N57</f>
        <v>1510.8689714115</v>
      </c>
      <c r="N133" s="103" t="n">
        <f aca="false">IF(M105="YES", N89*N57, 0)</f>
        <v>1053.65853658537</v>
      </c>
      <c r="O133" s="221"/>
      <c r="P133" s="184" t="n">
        <f aca="false">N91*N57</f>
        <v>2564.52750799687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631.916191163726</v>
      </c>
      <c r="B134" s="38" t="n">
        <f aca="false">E114</f>
        <v>4000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566.916191163726</v>
      </c>
      <c r="B137" s="38" t="n">
        <f aca="false">IF(A105="YES", B89, 0)</f>
        <v>65</v>
      </c>
      <c r="C137" s="317"/>
      <c r="D137" s="38" t="n">
        <f aca="false">B91</f>
        <v>631.916191163726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26.93088</v>
      </c>
      <c r="B140" s="343" t="n">
        <f aca="false">IF(A105="YES", B61*0.000002, 0)*1.2*100</f>
        <v>8.97696</v>
      </c>
      <c r="C140" s="317"/>
      <c r="D140" s="343" t="n">
        <f aca="false">A140+B140</f>
        <v>35.90784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36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36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264</v>
      </c>
      <c r="B148" s="103" t="n">
        <f aca="false">B102</f>
        <v>0</v>
      </c>
      <c r="C148" s="38"/>
      <c r="D148" s="38" t="n">
        <f aca="false">IF(A105="YES", (B40*B105)*B125, 0)*0.1</f>
        <v>54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417.99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522.614457323181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427.421251332811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631.916191163726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566.916191163726</v>
      </c>
      <c r="B177" s="355" t="n">
        <f aca="false">IF(A105="YES", B89, 0)</f>
        <v>65</v>
      </c>
      <c r="C177" s="357"/>
      <c r="D177" s="355" t="n">
        <f aca="false">B91</f>
        <v>631.916191163726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566.916191163726</v>
      </c>
      <c r="C180" s="353"/>
      <c r="D180" s="103" t="n">
        <f aca="false">IF(A105="YES", B89*B57, 0)</f>
        <v>65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631.916191163726</v>
      </c>
      <c r="B183" s="103" t="n">
        <f aca="false">E114</f>
        <v>4000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566.916191163726</v>
      </c>
      <c r="B186" s="103" t="n">
        <f aca="false">IF(A105="YES", B89, 0)</f>
        <v>65</v>
      </c>
      <c r="C186" s="353"/>
      <c r="D186" s="103" t="n">
        <f aca="false">B91</f>
        <v>631.916191163726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26.93088</v>
      </c>
      <c r="B189" s="365" t="n">
        <f aca="false">B140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264</v>
      </c>
      <c r="B197" s="103" t="n">
        <f aca="false">B102</f>
        <v>0</v>
      </c>
      <c r="C197" s="103"/>
      <c r="D197" s="103" t="n">
        <f aca="false">IF(A105="YES", (B40*B105)*B125, 0)*0.1</f>
        <v>54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417.99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264</v>
      </c>
      <c r="C211" s="320" t="s">
        <v>217</v>
      </c>
      <c r="D211" s="370" t="n">
        <f aca="false">B225+E221+B221+B223</f>
        <v>639.99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10375.99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264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10375.99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540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322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171.435456207911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75" colorId="64" zoomScale="85" zoomScaleNormal="85" zoomScalePageLayoutView="100" workbookViewId="0">
      <selection pane="topLeft" activeCell="A201" activeCellId="0" sqref="A201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734.005436015008</v>
      </c>
      <c r="E33" s="216"/>
      <c r="F33" s="63"/>
      <c r="G33" s="219" t="s">
        <v>356</v>
      </c>
      <c r="H33" s="460" t="n">
        <f aca="false">E21-E11</f>
        <v>22000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0.1065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734.005436015008</v>
      </c>
      <c r="B36" s="103" t="n">
        <f aca="false">IF(B26="YES", H42, "")</f>
        <v>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22000</v>
      </c>
      <c r="I39" s="238" t="n">
        <f aca="false">(I48*H46)+H44</f>
        <v>41961.5420932254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0</v>
      </c>
      <c r="I40" s="238" t="n">
        <f aca="false">H39-I39</f>
        <v>-19961.5420932254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22000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29.9725300665895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734.005436015008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734.005436015008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734.005436015008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26400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37404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285.714285714286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0.00979166666666667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258.5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157.5</v>
      </c>
      <c r="C73" s="215"/>
      <c r="D73" s="472" t="n">
        <f aca="false">B73+B71</f>
        <v>317.5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180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540</v>
      </c>
      <c r="C76" s="215"/>
      <c r="D76" s="291" t="n">
        <f aca="false">B76</f>
        <v>540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12.6984126984127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473"/>
      <c r="D80" s="291" t="n">
        <f aca="false">B80</f>
        <v>100</v>
      </c>
      <c r="E80" s="466" t="n">
        <f aca="false">(D73+D76+D79+D80)/(B58+B57)</f>
        <v>35.9285714285714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11924.1666666667</v>
      </c>
      <c r="C81" s="473"/>
      <c r="D81" s="474"/>
      <c r="E81" s="466"/>
      <c r="F81" s="63"/>
      <c r="G81" s="303" t="s">
        <v>102</v>
      </c>
      <c r="H81" s="304" t="n">
        <f aca="false">SUM(J64:J80)</f>
        <v>1047.5</v>
      </c>
      <c r="I81" s="215"/>
      <c r="J81" s="215"/>
      <c r="K81" s="216"/>
      <c r="L81" s="63"/>
      <c r="M81" s="303" t="s">
        <v>102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340.690476190476</v>
      </c>
      <c r="C82" s="473"/>
      <c r="D82" s="215"/>
      <c r="E82" s="466"/>
      <c r="F82" s="63"/>
      <c r="G82" s="214" t="s">
        <v>103</v>
      </c>
      <c r="H82" s="300" t="n">
        <f aca="false">H81/H29</f>
        <v>29.9285714285714</v>
      </c>
      <c r="I82" s="215"/>
      <c r="J82" s="215"/>
      <c r="K82" s="216"/>
      <c r="L82" s="63"/>
      <c r="M82" s="214" t="s">
        <v>103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734.005436015008</v>
      </c>
      <c r="C83" s="473"/>
      <c r="D83" s="215"/>
      <c r="E83" s="466" t="n">
        <f aca="false">B83+E80+E77+E64</f>
        <v>1068.34670585628</v>
      </c>
      <c r="F83" s="63"/>
      <c r="G83" s="305" t="s">
        <v>104</v>
      </c>
      <c r="H83" s="306" t="n">
        <f aca="false">H47</f>
        <v>734.005436015008</v>
      </c>
      <c r="I83" s="215"/>
      <c r="J83" s="215"/>
      <c r="K83" s="216"/>
      <c r="L83" s="63"/>
      <c r="M83" s="305" t="s">
        <v>104</v>
      </c>
      <c r="N83" s="306" t="n">
        <f aca="false">H47</f>
        <v>734.005436015008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45137.2283126303</v>
      </c>
      <c r="C85" s="473"/>
      <c r="D85" s="473"/>
      <c r="E85" s="466" t="n">
        <f aca="false">B85/(B58+B57)</f>
        <v>1289.63509464658</v>
      </c>
      <c r="F85" s="63"/>
      <c r="G85" s="288" t="s">
        <v>114</v>
      </c>
      <c r="H85" s="131" t="n">
        <f aca="false">((H83*H29)+H81)*1.2</f>
        <v>32085.2283126303</v>
      </c>
      <c r="I85" s="215"/>
      <c r="J85" s="215"/>
      <c r="K85" s="216"/>
      <c r="L85" s="63"/>
      <c r="M85" s="288" t="s">
        <v>114</v>
      </c>
      <c r="N85" s="131" t="n">
        <f aca="false">((N83*H29)+N81)</f>
        <v>26407.6902605253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318.637150250517</v>
      </c>
      <c r="C86" s="473" t="s">
        <v>230</v>
      </c>
      <c r="D86" s="215"/>
      <c r="E86" s="466" t="n">
        <f aca="false">B86/(B58+B57)</f>
        <v>9.10391857858619</v>
      </c>
      <c r="F86" s="63"/>
      <c r="G86" s="214" t="s">
        <v>115</v>
      </c>
      <c r="H86" s="300" t="n">
        <f aca="false">((((H83*H29)+H81))/(1-H70))*H70</f>
        <v>226.49919139614</v>
      </c>
      <c r="I86" s="215"/>
      <c r="J86" s="215"/>
      <c r="K86" s="216"/>
      <c r="L86" s="63"/>
      <c r="M86" s="214" t="s">
        <v>115</v>
      </c>
      <c r="N86" s="300" t="n">
        <f aca="false">(N85/(1-N70))*N70</f>
        <v>223.703709346927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45455.8654628809</v>
      </c>
      <c r="C87" s="473"/>
      <c r="D87" s="475"/>
      <c r="E87" s="466" t="n">
        <f aca="false">E86+E85</f>
        <v>1298.73901322517</v>
      </c>
      <c r="F87" s="63"/>
      <c r="G87" s="285" t="s">
        <v>116</v>
      </c>
      <c r="H87" s="133" t="n">
        <f aca="false">IF(H110="YES",((H85+H86)-K114),(H85+H86))</f>
        <v>32311.7275040265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26631.3939698722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(I32+(I32*B105))/(B57+B58))*(C45/100)*1.2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1298.73901322517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807.793187600662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665.784849246805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1298.73901322517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807.793187600662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665.784849246805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((E118)+E117)-E114</f>
        <v>-2760.01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807.793187600662</v>
      </c>
      <c r="H127" s="177" t="n">
        <f aca="false">IF(G105="YES", H89*H57, 0)</f>
        <v>0</v>
      </c>
      <c r="I127" s="177"/>
      <c r="J127" s="334" t="n">
        <f aca="false">H91</f>
        <v>807.793187600662</v>
      </c>
      <c r="K127" s="216"/>
      <c r="L127" s="63"/>
      <c r="M127" s="333" t="n">
        <f aca="false">N90</f>
        <v>665.784849246805</v>
      </c>
      <c r="N127" s="177" t="n">
        <f aca="false">IF(M105="YES", N89*N57, 0)</f>
        <v>0</v>
      </c>
      <c r="O127" s="177"/>
      <c r="P127" s="177" t="n">
        <f aca="false">N91</f>
        <v>665.784849246805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1298.73901322517</v>
      </c>
      <c r="B128" s="321" t="n">
        <f aca="false">IF(A105="YES", B89, 0)</f>
        <v>0</v>
      </c>
      <c r="C128" s="325"/>
      <c r="D128" s="321" t="n">
        <f aca="false">B91</f>
        <v>1298.73901322517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1298.73901322517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4846.75912560397</v>
      </c>
      <c r="H133" s="103" t="n">
        <f aca="false">IF(G105="YES", H89*H57, 0)</f>
        <v>0</v>
      </c>
      <c r="I133" s="221"/>
      <c r="J133" s="184" t="n">
        <f aca="false">H91*H57</f>
        <v>4846.75912560397</v>
      </c>
      <c r="K133" s="216"/>
      <c r="L133" s="63"/>
      <c r="M133" s="185" t="n">
        <f aca="false">N90*N57</f>
        <v>3994.70909548083</v>
      </c>
      <c r="N133" s="103" t="n">
        <f aca="false">IF(M105="YES", N89*N57, 0)</f>
        <v>0</v>
      </c>
      <c r="O133" s="221"/>
      <c r="P133" s="184" t="n">
        <f aca="false">N91*N57</f>
        <v>3994.70909548083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1298.73901322517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1298.73901322517</v>
      </c>
      <c r="B137" s="38" t="n">
        <f aca="false">IF(A105="YES", B89, 0)</f>
        <v>0</v>
      </c>
      <c r="C137" s="317"/>
      <c r="D137" s="38" t="n">
        <f aca="false">B91</f>
        <v>1298.73901322517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26.93088</v>
      </c>
      <c r="B140" s="343" t="n">
        <f aca="false">IF(A105="YES", B61*0.000002, 0)*1.2*100</f>
        <v>8.97696</v>
      </c>
      <c r="C140" s="317"/>
      <c r="D140" s="343" t="n">
        <f aca="false">A140+B140</f>
        <v>35.90784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258.5</v>
      </c>
      <c r="B148" s="103" t="n">
        <f aca="false">B102</f>
        <v>400</v>
      </c>
      <c r="C148" s="38"/>
      <c r="D148" s="38" t="n">
        <f aca="false">IF(A105="YES", (B40*B105)*B125, 0)*0.1</f>
        <v>0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139.99</v>
      </c>
      <c r="B151" s="38" t="n">
        <f aca="false">(A148+B148+D148+A151)*(A143/B64)</f>
        <v>0</v>
      </c>
      <c r="C151" s="38"/>
      <c r="D151" s="38" t="n">
        <f aca="false">(A148+B148+D148+A151)-B151</f>
        <v>798.49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807.793187600662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665.784849246805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1298.73901322517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1298.73901322517</v>
      </c>
      <c r="B177" s="355" t="n">
        <f aca="false">IF(A105="YES", B89, 0)</f>
        <v>0</v>
      </c>
      <c r="C177" s="357"/>
      <c r="D177" s="355" t="n">
        <f aca="false">B91</f>
        <v>1298.73901322517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1298.73901322517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1298.73901322517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1298.73901322517</v>
      </c>
      <c r="B186" s="103" t="n">
        <f aca="false">IF(A105="YES", B89, 0)</f>
        <v>0</v>
      </c>
      <c r="C186" s="353"/>
      <c r="D186" s="103" t="n">
        <f aca="false">B91</f>
        <v>1298.73901322517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26.93088</v>
      </c>
      <c r="B189" s="365" t="n">
        <f aca="false">B140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258.5</v>
      </c>
      <c r="B197" s="103" t="n">
        <f aca="false">B102</f>
        <v>400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E118/1.2-100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798.49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258.5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10081.4916666667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0.00979166666666667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258.5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10081.4916666667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317.5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318.637150250517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6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01"/>
      <c r="B2" s="482" t="s">
        <v>143</v>
      </c>
      <c r="C2" s="482" t="s">
        <v>144</v>
      </c>
      <c r="D2" s="482" t="s">
        <v>145</v>
      </c>
      <c r="E2" s="483" t="s">
        <v>146</v>
      </c>
      <c r="F2" s="388"/>
      <c r="G2" s="388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316" t="s">
        <v>149</v>
      </c>
      <c r="B3" s="484" t="n">
        <v>46854.17</v>
      </c>
      <c r="C3" s="484" t="n">
        <v>0.0</v>
      </c>
      <c r="D3" s="484" t="n">
        <v>833.33</v>
      </c>
      <c r="E3" s="442" t="n">
        <v>0</v>
      </c>
      <c r="F3" s="388"/>
      <c r="G3" s="388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316" t="s">
        <v>150</v>
      </c>
      <c r="B4" s="485" t="n">
        <v>0.0</v>
      </c>
      <c r="C4" s="485" t="n">
        <v>0.0</v>
      </c>
      <c r="D4" s="485" t="n">
        <v>0.0</v>
      </c>
      <c r="E4" s="376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316" t="s">
        <v>151</v>
      </c>
      <c r="B5" s="484" t="n">
        <v>0.0</v>
      </c>
      <c r="C5" s="484" t="n">
        <v>0.0</v>
      </c>
      <c r="D5" s="484" t="n">
        <v>0.0</v>
      </c>
      <c r="E5" s="33"/>
      <c r="F5" s="388"/>
      <c r="G5" s="388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316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8"/>
      <c r="G6" s="388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316" t="s">
        <v>153</v>
      </c>
      <c r="B7" s="32" t="n">
        <f aca="false">B3-B6</f>
        <v>46854.17</v>
      </c>
      <c r="C7" s="32" t="n">
        <f aca="false">C3-C6</f>
        <v>0</v>
      </c>
      <c r="D7" s="32" t="n">
        <f aca="false">D3-D6</f>
        <v>833.33</v>
      </c>
      <c r="E7" s="33"/>
      <c r="F7" s="388"/>
      <c r="G7" s="388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316"/>
      <c r="B8" s="317"/>
      <c r="C8" s="317"/>
      <c r="D8" s="317"/>
      <c r="E8" s="318"/>
      <c r="F8" s="388"/>
      <c r="G8" s="388"/>
      <c r="H8" s="388"/>
      <c r="I8" s="13" t="s">
        <v>3</v>
      </c>
      <c r="J8" s="14" t="n">
        <f aca="false">E13+E14</f>
        <v>650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47687.5</v>
      </c>
      <c r="F9" s="388"/>
      <c r="G9" s="388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2" t="n">
        <v>550.0</v>
      </c>
      <c r="F10" s="388"/>
      <c r="G10" s="388"/>
      <c r="H10" s="388"/>
      <c r="I10" s="16" t="s">
        <v>1</v>
      </c>
      <c r="J10" s="14" t="n">
        <f aca="false">E15-E11-J8</f>
        <v>48237.5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9647.5</v>
      </c>
      <c r="F11" s="388"/>
      <c r="G11" s="388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2" t="n">
        <v>0</v>
      </c>
      <c r="F12" s="388"/>
      <c r="G12" s="388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2" t="n">
        <v>585.0</v>
      </c>
      <c r="F13" s="388"/>
      <c r="G13" s="388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2" t="n">
        <v>65.0</v>
      </c>
      <c r="F14" s="388"/>
      <c r="G14" s="388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4" t="n">
        <f aca="false">(E9+E10+E13+E14+E11)-E12</f>
        <v>58535</v>
      </c>
      <c r="F15" s="388"/>
      <c r="G15" s="17" t="n">
        <f aca="false">E15</f>
        <v>58535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2" t="n">
        <v>0.0</v>
      </c>
      <c r="F16" s="388"/>
      <c r="G16" s="388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318"/>
      <c r="F17" s="388"/>
      <c r="G17" s="388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5" t="n">
        <v>0</v>
      </c>
      <c r="F18" s="388"/>
      <c r="G18" s="17" t="n">
        <f aca="false">(B3+C3+D3+E3+E10)*1.2</f>
        <v>57885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5" t="n">
        <v>0</v>
      </c>
      <c r="F19" s="388"/>
      <c r="G19" s="388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5" t="n">
        <v>0.0</v>
      </c>
      <c r="F20" s="388"/>
      <c r="G20" s="388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7" t="n">
        <f aca="false">E15-((E18*1.2)+(E19*1.2)+(E20*1.2)+(E16*1.2))</f>
        <v>58535</v>
      </c>
      <c r="F21" s="388"/>
      <c r="G21" s="388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45159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12.0</v>
      </c>
      <c r="B32" s="223" t="n">
        <v>5000.0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48887.5</v>
      </c>
      <c r="B35" s="223" t="s">
        <v>395</v>
      </c>
      <c r="C35" s="223"/>
      <c r="D35" s="279" t="n">
        <f aca="false">A35-B35</f>
        <v>47887.5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392</v>
      </c>
      <c r="B38" s="241" t="n">
        <f aca="false">A32-1</f>
        <v>11</v>
      </c>
      <c r="C38" s="241"/>
      <c r="D38" s="104" t="s">
        <v>390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E11</f>
        <v>9647.5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409</v>
      </c>
      <c r="B41" s="104" t="s">
        <v>412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336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n">
        <v>0.0</v>
      </c>
      <c r="B44" s="104" t="s">
        <v>410</v>
      </c>
      <c r="C44" s="104"/>
      <c r="D44" s="104" t="n">
        <v>0.0</v>
      </c>
      <c r="E44" s="104"/>
      <c r="F44" s="388"/>
      <c r="G44" s="2" t="s">
        <v>65</v>
      </c>
      <c r="H44" s="2" t="n">
        <f aca="false">((H40-(((H42/(1.2))*0.2)))/(H43))</f>
        <v>720.625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-170.625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-167.958333333333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340</v>
      </c>
      <c r="H50" s="2" t="n">
        <f aca="false">H49-H41</f>
        <v>-217.958333333333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-167.958333333333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-167.958333333333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9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3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316"/>
      <c r="B66" s="317"/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316" t="s">
        <v>14</v>
      </c>
      <c r="B67" s="32" t="n">
        <f aca="false">G18</f>
        <v>57885</v>
      </c>
      <c r="C67" s="317"/>
      <c r="D67" s="317"/>
      <c r="E67" s="318"/>
      <c r="F67" s="388"/>
      <c r="G67" s="316" t="s">
        <v>14</v>
      </c>
      <c r="H67" s="32" t="n">
        <f aca="false">G18</f>
        <v>57885</v>
      </c>
      <c r="I67" s="317"/>
      <c r="J67" s="317"/>
      <c r="K67" s="318"/>
      <c r="L67" s="388"/>
      <c r="M67" s="316" t="s">
        <v>14</v>
      </c>
      <c r="N67" s="32" t="n">
        <f aca="false">G18</f>
        <v>57885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399" t="s">
        <v>277</v>
      </c>
      <c r="B68" s="400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316" t="s">
        <v>278</v>
      </c>
      <c r="B69" s="376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366" t="s">
        <v>90</v>
      </c>
      <c r="B70" s="65" t="n">
        <f aca="false">B67*B69</f>
        <v>4051.95</v>
      </c>
      <c r="C70" s="317" t="n">
        <v>10000.0</v>
      </c>
      <c r="D70" s="32" t="n">
        <f aca="false">B70-A149</f>
        <v>4051.95</v>
      </c>
      <c r="E70" s="318" t="n">
        <f aca="false">D70/12</f>
        <v>337.6625</v>
      </c>
      <c r="F70" s="388"/>
      <c r="G70" s="366" t="s">
        <v>90</v>
      </c>
      <c r="H70" s="65" t="n">
        <f aca="false">H67*H69</f>
        <v>4051.95</v>
      </c>
      <c r="I70" s="317"/>
      <c r="J70" s="32" t="n">
        <f aca="false">H70-G151</f>
        <v>4051.95</v>
      </c>
      <c r="K70" s="318"/>
      <c r="L70" s="388"/>
      <c r="M70" s="366" t="s">
        <v>90</v>
      </c>
      <c r="N70" s="65" t="n">
        <f aca="false">N67*N69</f>
        <v>4051.95</v>
      </c>
      <c r="O70" s="317"/>
      <c r="P70" s="32" t="n">
        <f aca="false">N70-M151</f>
        <v>4051.95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399" t="s">
        <v>91</v>
      </c>
      <c r="B71" s="400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316" t="s">
        <v>92</v>
      </c>
      <c r="B72" s="376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366" t="s">
        <v>93</v>
      </c>
      <c r="B73" s="65" t="n">
        <f aca="false">B67*B72</f>
        <v>578.85</v>
      </c>
      <c r="C73" s="317"/>
      <c r="D73" s="32"/>
      <c r="E73" s="318"/>
      <c r="F73" s="388"/>
      <c r="G73" s="366" t="s">
        <v>93</v>
      </c>
      <c r="H73" s="65" t="n">
        <f aca="false">H67*H72</f>
        <v>289.425</v>
      </c>
      <c r="I73" s="317"/>
      <c r="J73" s="32"/>
      <c r="K73" s="318"/>
      <c r="L73" s="388"/>
      <c r="M73" s="366" t="s">
        <v>93</v>
      </c>
      <c r="N73" s="65" t="n">
        <f aca="false">N67*N72</f>
        <v>289.425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200.0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5.0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165.0</v>
      </c>
      <c r="C80" s="317"/>
      <c r="D80" s="317"/>
      <c r="E80" s="404" t="n">
        <f aca="false">E79+D82</f>
        <v>703.333333333333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355.0</v>
      </c>
      <c r="C81" s="317"/>
      <c r="D81" s="317"/>
      <c r="E81" s="318" t="n">
        <f aca="false">E80/12</f>
        <v>58.6111111111111</v>
      </c>
      <c r="F81" s="388"/>
      <c r="G81" s="401" t="s">
        <v>280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((B80+B81)/12)*(H29-11)</f>
        <v>43.3333333333333</v>
      </c>
      <c r="C82" s="317"/>
      <c r="D82" s="32" t="n">
        <f aca="false">IF(A50="YES", 0, B82)</f>
        <v>43.3333333333333</v>
      </c>
      <c r="E82" s="318"/>
      <c r="F82" s="388"/>
      <c r="G82" s="366" t="s">
        <v>281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200.0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200.0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5421.95</v>
      </c>
      <c r="C87" s="317"/>
      <c r="D87" s="317"/>
      <c r="E87" s="318"/>
      <c r="F87" s="388"/>
      <c r="G87" s="412" t="s">
        <v>102</v>
      </c>
      <c r="H87" s="413" t="n">
        <f aca="false">SUM(J70:J86)</f>
        <v>7205.53333333333</v>
      </c>
      <c r="I87" s="317"/>
      <c r="J87" s="317"/>
      <c r="K87" s="318"/>
      <c r="L87" s="388"/>
      <c r="M87" s="412" t="s">
        <v>102</v>
      </c>
      <c r="N87" s="413" t="n">
        <f aca="false">SUM(P70:P86)</f>
        <v>7165.95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451.829166666667</v>
      </c>
      <c r="C88" s="317"/>
      <c r="D88" s="317"/>
      <c r="E88" s="318"/>
      <c r="F88" s="388"/>
      <c r="G88" s="316" t="s">
        <v>103</v>
      </c>
      <c r="H88" s="33" t="n">
        <f aca="false">H87/H29</f>
        <v>600.461111111111</v>
      </c>
      <c r="I88" s="317"/>
      <c r="J88" s="317"/>
      <c r="K88" s="318"/>
      <c r="L88" s="388"/>
      <c r="M88" s="316" t="s">
        <v>103</v>
      </c>
      <c r="N88" s="33" t="n">
        <f aca="false">N87/H29</f>
        <v>597.1625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-217.958333333333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3367.74</v>
      </c>
      <c r="C91" s="317"/>
      <c r="D91" s="317"/>
      <c r="E91" s="318"/>
      <c r="F91" s="388"/>
      <c r="G91" s="396" t="s">
        <v>114</v>
      </c>
      <c r="H91" s="27" t="n">
        <f aca="false">((H89*H29)+H87)*1.2</f>
        <v>8646.64</v>
      </c>
      <c r="I91" s="317"/>
      <c r="J91" s="317"/>
      <c r="K91" s="318"/>
      <c r="L91" s="388"/>
      <c r="M91" s="396" t="s">
        <v>114</v>
      </c>
      <c r="N91" s="27" t="n">
        <f aca="false">((N89*H29)+N87)</f>
        <v>7165.95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23.7738805970149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61.0392093586123</v>
      </c>
      <c r="I92" s="317"/>
      <c r="J92" s="317"/>
      <c r="K92" s="318"/>
      <c r="L92" s="388"/>
      <c r="M92" s="316" t="s">
        <v>115</v>
      </c>
      <c r="N92" s="33" t="n">
        <f aca="false">(N91/(1-N76))*N76</f>
        <v>60.7038926986688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3391.51388059702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10707.6792093586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9226.65389269867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78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282.626156716418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360.626156716418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287</v>
      </c>
      <c r="C105" s="312"/>
      <c r="D105" s="421" t="n">
        <v>1000.0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393</v>
      </c>
      <c r="B111" s="312" t="n">
        <v>0.0</v>
      </c>
      <c r="C111" s="312"/>
      <c r="D111" s="107" t="s">
        <v>401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393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0.0</v>
      </c>
      <c r="E118" s="107" t="n">
        <v>6000.0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2000.0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3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3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282.626156716418</v>
      </c>
      <c r="B134" s="321" t="n">
        <f aca="false">IF(A111="YES", B95, 0)</f>
        <v>78</v>
      </c>
      <c r="C134" s="325"/>
      <c r="D134" s="321" t="n">
        <f aca="false">B97</f>
        <v>360.626156716418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2543.63541044776</v>
      </c>
      <c r="C137" s="317"/>
      <c r="D137" s="38" t="n">
        <f aca="false">IF(A111="YES", B95*B63, 0)</f>
        <v>702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3245.63541044776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0.35121</v>
      </c>
      <c r="H142" s="38" t="n">
        <f aca="false">IF(G111="YES", E15*0.000002, 0)</f>
        <v>0.11707</v>
      </c>
      <c r="I142" s="38"/>
      <c r="J142" s="38" t="n">
        <f aca="false">G142+H142</f>
        <v>0.46828</v>
      </c>
      <c r="K142" s="105"/>
      <c r="L142" s="388"/>
      <c r="M142" s="111" t="n">
        <f aca="false">E15*0.000006</f>
        <v>0.35121</v>
      </c>
      <c r="N142" s="38" t="n">
        <f aca="false">IF(M111="YES", E15*0.000002, 0)</f>
        <v>0.11707</v>
      </c>
      <c r="O142" s="38"/>
      <c r="P142" s="38" t="n">
        <f aca="false">M142+N142</f>
        <v>0.46828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282.626156716418</v>
      </c>
      <c r="B143" s="38" t="n">
        <f aca="false">IF(A111="YES", B95, 0)</f>
        <v>78</v>
      </c>
      <c r="C143" s="317"/>
      <c r="D143" s="38" t="n">
        <f aca="false">B97</f>
        <v>360.626156716418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241.1875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241.1875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2901.1755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2861.1775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578.85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9647.5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1096.84166666667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360.626156716418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282.626156716418</v>
      </c>
      <c r="B177" s="355" t="n">
        <f aca="false">IF(A111="YES", B95, 0)</f>
        <v>78</v>
      </c>
      <c r="C177" s="357"/>
      <c r="D177" s="355" t="n">
        <f aca="false">A177+B177</f>
        <v>360.626156716418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2543.63541044776</v>
      </c>
      <c r="C180" s="353"/>
      <c r="D180" s="103" t="n">
        <f aca="false">IF(A111="YES", B95*B63, 0)</f>
        <v>702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3245.63541044776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282.626156716418</v>
      </c>
      <c r="B186" s="103" t="n">
        <f aca="false">IF(A111="YES", B95, 0)</f>
        <v>78</v>
      </c>
      <c r="C186" s="353"/>
      <c r="D186" s="103" t="n">
        <f aca="false">B97</f>
        <v>360.626156716418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578.85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1096.84166666667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4051.95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578.85</v>
      </c>
      <c r="C211" s="320" t="s">
        <v>217</v>
      </c>
      <c r="D211" s="370" t="n">
        <f aca="false">B225+E221+B221+B223</f>
        <v>519.991666666667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3993.09166666667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0.01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578.85</v>
      </c>
      <c r="C219" s="336" t="s">
        <v>328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3993.09166666667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180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23.7738805970149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165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355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27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01"/>
      <c r="B2" s="482" t="s">
        <v>143</v>
      </c>
      <c r="C2" s="482" t="s">
        <v>144</v>
      </c>
      <c r="D2" s="482" t="s">
        <v>145</v>
      </c>
      <c r="E2" s="483" t="s">
        <v>146</v>
      </c>
      <c r="F2" s="388"/>
      <c r="G2" s="388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316" t="s">
        <v>149</v>
      </c>
      <c r="B3" s="484" t="n">
        <v>46854.17</v>
      </c>
      <c r="C3" s="484" t="n">
        <v>0.0</v>
      </c>
      <c r="D3" s="484" t="n">
        <v>833.33</v>
      </c>
      <c r="E3" s="442" t="n">
        <v>0</v>
      </c>
      <c r="F3" s="388"/>
      <c r="G3" s="388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316" t="s">
        <v>150</v>
      </c>
      <c r="B4" s="485" t="n">
        <v>0.0</v>
      </c>
      <c r="C4" s="485" t="n">
        <v>0.0</v>
      </c>
      <c r="D4" s="485" t="n">
        <v>0.0</v>
      </c>
      <c r="E4" s="376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316" t="s">
        <v>151</v>
      </c>
      <c r="B5" s="484" t="n">
        <v>0.0</v>
      </c>
      <c r="C5" s="484" t="n">
        <v>0.0</v>
      </c>
      <c r="D5" s="484" t="n">
        <v>0.0</v>
      </c>
      <c r="E5" s="33"/>
      <c r="F5" s="388"/>
      <c r="G5" s="388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316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8"/>
      <c r="G6" s="388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316" t="s">
        <v>153</v>
      </c>
      <c r="B7" s="32" t="n">
        <f aca="false">B3-B6</f>
        <v>16745</v>
      </c>
      <c r="C7" s="32" t="n">
        <f aca="false">C3-C6</f>
        <v>0</v>
      </c>
      <c r="D7" s="32" t="n">
        <f aca="false">D3-D6</f>
        <v>0</v>
      </c>
      <c r="E7" s="33"/>
      <c r="F7" s="388"/>
      <c r="G7" s="388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316"/>
      <c r="B8" s="317"/>
      <c r="C8" s="317"/>
      <c r="D8" s="317"/>
      <c r="E8" s="318"/>
      <c r="F8" s="388"/>
      <c r="G8" s="388"/>
      <c r="H8" s="388"/>
      <c r="I8" s="13" t="s">
        <v>3</v>
      </c>
      <c r="J8" s="14" t="n">
        <f aca="false">E13+E14</f>
        <v>345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16745</v>
      </c>
      <c r="F9" s="388"/>
      <c r="G9" s="388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2" t="n">
        <v>550.0</v>
      </c>
      <c r="F10" s="388"/>
      <c r="G10" s="388"/>
      <c r="H10" s="388"/>
      <c r="I10" s="16" t="s">
        <v>1</v>
      </c>
      <c r="J10" s="14" t="n">
        <f aca="false">E15-E11-J8</f>
        <v>17440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3488</v>
      </c>
      <c r="F11" s="388"/>
      <c r="G11" s="388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2" t="n">
        <v>0</v>
      </c>
      <c r="F12" s="388"/>
      <c r="G12" s="388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2" t="n">
        <v>585.0</v>
      </c>
      <c r="F13" s="388"/>
      <c r="G13" s="388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2" t="n">
        <v>65.0</v>
      </c>
      <c r="F14" s="388"/>
      <c r="G14" s="388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4" t="n">
        <f aca="false">(E9+E10+E13+E14+E11)-E12</f>
        <v>21273</v>
      </c>
      <c r="F15" s="388"/>
      <c r="G15" s="17" t="n">
        <f aca="false">E15</f>
        <v>21273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2" t="n">
        <v>0.0</v>
      </c>
      <c r="F16" s="388"/>
      <c r="G16" s="388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318"/>
      <c r="F17" s="388"/>
      <c r="G17" s="388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5" t="n">
        <v>0</v>
      </c>
      <c r="F18" s="388"/>
      <c r="G18" s="17" t="n">
        <f aca="false">(B3+C3+D3+E3+E10)*1.2</f>
        <v>20928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5" t="n">
        <v>0</v>
      </c>
      <c r="F19" s="388"/>
      <c r="G19" s="388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5" t="n">
        <v>0.0</v>
      </c>
      <c r="F20" s="388"/>
      <c r="G20" s="388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7" t="n">
        <f aca="false">E15-((E18*1.2)+(E19*1.2)+(E20*1.2)+(E16*1.2))</f>
        <v>21273</v>
      </c>
      <c r="F21" s="388"/>
      <c r="G21" s="388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45159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13.0</v>
      </c>
      <c r="B32" s="223" t="n">
        <v>5000.0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338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17785</v>
      </c>
      <c r="B35" s="223" t="s">
        <v>395</v>
      </c>
      <c r="C35" s="223"/>
      <c r="D35" s="279" t="n">
        <f aca="false">A35-B35</f>
        <v>16785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392</v>
      </c>
      <c r="B38" s="241" t="n">
        <f aca="false">A32-1</f>
        <v>11</v>
      </c>
      <c r="C38" s="241"/>
      <c r="D38" s="104" t="s">
        <v>390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E11</f>
        <v>3488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404</v>
      </c>
      <c r="B41" s="104" t="s">
        <v>409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412</v>
      </c>
      <c r="B44" s="104" t="s">
        <v>410</v>
      </c>
      <c r="C44" s="104"/>
      <c r="D44" s="104" t="s">
        <v>410</v>
      </c>
      <c r="E44" s="104"/>
      <c r="F44" s="388"/>
      <c r="G44" s="2" t="s">
        <v>65</v>
      </c>
      <c r="H44" s="2" t="n">
        <f aca="false">((H40-(((H42/(1.2))*0.2)))/(H43))</f>
        <v>207.333333333333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342.666666666667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345.333333333333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340</v>
      </c>
      <c r="H50" s="2" t="n">
        <f aca="false">H49-H41</f>
        <v>295.333333333333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345.333333333333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9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3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316"/>
      <c r="B66" s="317"/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316" t="s">
        <v>14</v>
      </c>
      <c r="B67" s="32" t="n">
        <f aca="false">G18</f>
        <v>20928</v>
      </c>
      <c r="C67" s="317"/>
      <c r="D67" s="317"/>
      <c r="E67" s="318"/>
      <c r="F67" s="388"/>
      <c r="G67" s="316" t="s">
        <v>14</v>
      </c>
      <c r="H67" s="32" t="n">
        <f aca="false">G18</f>
        <v>20928</v>
      </c>
      <c r="I67" s="317"/>
      <c r="J67" s="317"/>
      <c r="K67" s="318"/>
      <c r="L67" s="388"/>
      <c r="M67" s="316" t="s">
        <v>14</v>
      </c>
      <c r="N67" s="32" t="n">
        <f aca="false">G18</f>
        <v>20928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399" t="s">
        <v>277</v>
      </c>
      <c r="B68" s="400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316" t="s">
        <v>278</v>
      </c>
      <c r="B69" s="376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366" t="s">
        <v>90</v>
      </c>
      <c r="B70" s="65" t="n">
        <f aca="false">B67*B69</f>
        <v>1464.96</v>
      </c>
      <c r="C70" s="317" t="n">
        <v>10000.0</v>
      </c>
      <c r="D70" s="32" t="n">
        <f aca="false">B70-A149</f>
        <v>1464.96</v>
      </c>
      <c r="E70" s="318" t="n">
        <f aca="false">D70/12</f>
        <v>122.08</v>
      </c>
      <c r="F70" s="388"/>
      <c r="G70" s="366" t="s">
        <v>90</v>
      </c>
      <c r="H70" s="65" t="n">
        <f aca="false">H67*H69</f>
        <v>1464.96</v>
      </c>
      <c r="I70" s="317"/>
      <c r="J70" s="32" t="n">
        <f aca="false">H70-G151</f>
        <v>1464.96</v>
      </c>
      <c r="K70" s="318"/>
      <c r="L70" s="388"/>
      <c r="M70" s="366" t="s">
        <v>90</v>
      </c>
      <c r="N70" s="65" t="n">
        <f aca="false">N67*N69</f>
        <v>1464.96</v>
      </c>
      <c r="O70" s="317"/>
      <c r="P70" s="32" t="n">
        <f aca="false">N70-M151</f>
        <v>1464.96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399" t="s">
        <v>91</v>
      </c>
      <c r="B71" s="400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316" t="s">
        <v>92</v>
      </c>
      <c r="B72" s="376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366" t="s">
        <v>93</v>
      </c>
      <c r="B73" s="65" t="n">
        <f aca="false">B67*B72</f>
        <v>106.365</v>
      </c>
      <c r="C73" s="317"/>
      <c r="D73" s="32"/>
      <c r="E73" s="318"/>
      <c r="F73" s="388"/>
      <c r="G73" s="366" t="s">
        <v>93</v>
      </c>
      <c r="H73" s="65" t="n">
        <f aca="false">H67*H72</f>
        <v>104.64</v>
      </c>
      <c r="I73" s="317"/>
      <c r="J73" s="32"/>
      <c r="K73" s="318"/>
      <c r="L73" s="388"/>
      <c r="M73" s="366" t="s">
        <v>93</v>
      </c>
      <c r="N73" s="65" t="n">
        <f aca="false">N67*N72</f>
        <v>104.64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200.0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5.0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165.0</v>
      </c>
      <c r="C80" s="317"/>
      <c r="D80" s="317"/>
      <c r="E80" s="404" t="n">
        <f aca="false">E79+D82</f>
        <v>614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355.0</v>
      </c>
      <c r="C81" s="317"/>
      <c r="D81" s="317"/>
      <c r="E81" s="318" t="n">
        <f aca="false">E80/12</f>
        <v>51.1666666666667</v>
      </c>
      <c r="F81" s="388"/>
      <c r="G81" s="401" t="s">
        <v>280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((B80+B81)/12)*(H29-11)</f>
        <v>0</v>
      </c>
      <c r="C82" s="317"/>
      <c r="D82" s="32" t="n">
        <f aca="false">IF(A50="YES", 0, B82)</f>
        <v>0</v>
      </c>
      <c r="E82" s="318"/>
      <c r="F82" s="388"/>
      <c r="G82" s="366" t="s">
        <v>281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200.0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200.0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2745.62666666667</v>
      </c>
      <c r="C87" s="317"/>
      <c r="D87" s="317"/>
      <c r="E87" s="318"/>
      <c r="F87" s="388"/>
      <c r="G87" s="412" t="s">
        <v>102</v>
      </c>
      <c r="H87" s="413" t="n">
        <f aca="false">SUM(J70:J86)</f>
        <v>4591.46</v>
      </c>
      <c r="I87" s="317"/>
      <c r="J87" s="317"/>
      <c r="K87" s="318"/>
      <c r="L87" s="388"/>
      <c r="M87" s="412" t="s">
        <v>102</v>
      </c>
      <c r="N87" s="413" t="n">
        <f aca="false">SUM(P70:P86)</f>
        <v>4578.96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228.802222222222</v>
      </c>
      <c r="C88" s="317"/>
      <c r="D88" s="317"/>
      <c r="E88" s="318"/>
      <c r="F88" s="388"/>
      <c r="G88" s="316" t="s">
        <v>103</v>
      </c>
      <c r="H88" s="33" t="n">
        <f aca="false">H87/H29</f>
        <v>382.621666666667</v>
      </c>
      <c r="I88" s="317"/>
      <c r="J88" s="317"/>
      <c r="K88" s="318"/>
      <c r="L88" s="388"/>
      <c r="M88" s="316" t="s">
        <v>103</v>
      </c>
      <c r="N88" s="33" t="n">
        <f aca="false">N87/H29</f>
        <v>381.58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295.333333333333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6289.62666666667</v>
      </c>
      <c r="C91" s="317"/>
      <c r="D91" s="317"/>
      <c r="E91" s="318"/>
      <c r="F91" s="388"/>
      <c r="G91" s="396" t="s">
        <v>114</v>
      </c>
      <c r="H91" s="27" t="n">
        <f aca="false">((H89*H29)+H87)*1.2</f>
        <v>5509.752</v>
      </c>
      <c r="I91" s="317"/>
      <c r="J91" s="317"/>
      <c r="K91" s="318"/>
      <c r="L91" s="388"/>
      <c r="M91" s="396" t="s">
        <v>114</v>
      </c>
      <c r="N91" s="27" t="n">
        <f aca="false">((N89*H29)+N87)</f>
        <v>4578.96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53.2804195240016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38.8949818475192</v>
      </c>
      <c r="I92" s="317"/>
      <c r="J92" s="317"/>
      <c r="K92" s="318"/>
      <c r="L92" s="388"/>
      <c r="M92" s="316" t="s">
        <v>115</v>
      </c>
      <c r="N92" s="33" t="n">
        <f aca="false">(N91/(1-N76))*N76</f>
        <v>38.789092375958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6342.90708619067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7548.64698184752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6617.74909237596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60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528.575590515889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588.575590515889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1000.0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389</v>
      </c>
      <c r="B111" s="312" t="n">
        <v>20.0</v>
      </c>
      <c r="C111" s="312"/>
      <c r="D111" s="107" t="n">
        <v>200.0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393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0.0</v>
      </c>
      <c r="E118" s="107" t="n">
        <v>6000.0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2000.0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3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3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528.575590515889</v>
      </c>
      <c r="B134" s="321" t="n">
        <f aca="false">IF(A111="YES", B95, 0)</f>
        <v>60</v>
      </c>
      <c r="C134" s="326"/>
      <c r="D134" s="321" t="n">
        <f aca="false">B97</f>
        <v>588.575590515889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4757.180314643</v>
      </c>
      <c r="C137" s="317"/>
      <c r="D137" s="38" t="n">
        <f aca="false">IF(A111="YES", B95*B63, 0)</f>
        <v>540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5297.180314643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0.127638</v>
      </c>
      <c r="H142" s="38" t="n">
        <f aca="false">IF(G111="YES", E15*0.000002, 0)</f>
        <v>0.042546</v>
      </c>
      <c r="I142" s="38"/>
      <c r="J142" s="38" t="n">
        <f aca="false">G142+H142</f>
        <v>0.170184</v>
      </c>
      <c r="K142" s="105"/>
      <c r="L142" s="388"/>
      <c r="M142" s="111" t="n">
        <f aca="false">E15*0.000006</f>
        <v>0.127638</v>
      </c>
      <c r="N142" s="38" t="n">
        <f aca="false">IF(M111="YES", E15*0.000002, 0)</f>
        <v>0.042546</v>
      </c>
      <c r="O142" s="38"/>
      <c r="P142" s="38" t="n">
        <f aca="false">M142+N142</f>
        <v>0.170184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528.575590515889</v>
      </c>
      <c r="B143" s="38" t="n">
        <f aca="false">IF(A111="YES", B95, 0)</f>
        <v>60</v>
      </c>
      <c r="C143" s="317"/>
      <c r="D143" s="38" t="n">
        <f aca="false">B97</f>
        <v>588.575590515889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87.2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87.2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2747.188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2707.19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106.365</v>
      </c>
      <c r="B154" s="103" t="n">
        <f aca="false">B108</f>
        <v>400</v>
      </c>
      <c r="C154" s="38"/>
      <c r="D154" s="38" t="n">
        <f aca="false">IF(A111="YES", (A44/100*B111)*B131, 0)*0.1</f>
        <v>12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3488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618.355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588.575590515889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528.575590515889</v>
      </c>
      <c r="B177" s="355" t="n">
        <f aca="false">IF(A111="YES", B95, 0)</f>
        <v>60</v>
      </c>
      <c r="C177" s="358"/>
      <c r="D177" s="355" t="n">
        <f aca="false">B91</f>
        <v>6289.62666666667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4757.180314643</v>
      </c>
      <c r="C180" s="353"/>
      <c r="D180" s="103" t="n">
        <f aca="false">IF(A111="YES", B95*B63, 0)</f>
        <v>540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5297.180314643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528.575590515889</v>
      </c>
      <c r="B186" s="103" t="n">
        <f aca="false">IF(A111="YES", B95, 0)</f>
        <v>60</v>
      </c>
      <c r="C186" s="353"/>
      <c r="D186" s="103" t="n">
        <f aca="false">B97</f>
        <v>588.575590515889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106.365</v>
      </c>
      <c r="B197" s="103" t="n">
        <f aca="false">B108</f>
        <v>400</v>
      </c>
      <c r="C197" s="103"/>
      <c r="D197" s="103" t="n">
        <f aca="false">IF(A111="YES", (A44/100*B111)*B131, 0)*0.1</f>
        <v>12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618.355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1464.96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106.365</v>
      </c>
      <c r="C211" s="320" t="s">
        <v>217</v>
      </c>
      <c r="D211" s="370" t="n">
        <f aca="false">B225+E221+B221+B223</f>
        <v>459.99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1818.585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0.005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106.365</v>
      </c>
      <c r="C219" s="336" t="s">
        <v>328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1818.585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120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53.2804195240016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22" colorId="64" zoomScale="85" zoomScaleNormal="85" zoomScalePageLayoutView="100" workbookViewId="0">
      <selection pane="topLeft" activeCell="H148" activeCellId="0" sqref="H14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/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0.0</v>
      </c>
      <c r="C4" s="492"/>
      <c r="D4" s="493" t="n">
        <v>0.0</v>
      </c>
      <c r="E4" s="493"/>
      <c r="F4" s="493" t="n">
        <v>0.0</v>
      </c>
      <c r="G4" s="493"/>
      <c r="H4" s="129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/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/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/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/>
      <c r="F9" s="152"/>
      <c r="G9" s="139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/>
      <c r="F10" s="154"/>
      <c r="G10" s="156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6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6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/>
      <c r="F13" s="154"/>
      <c r="G13" s="156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/>
      <c r="F14" s="154"/>
      <c r="G14" s="156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6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/>
      <c r="F16" s="154"/>
      <c r="G16" s="156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39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39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39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396</v>
      </c>
      <c r="B34" s="32"/>
      <c r="C34" s="41" t="s">
        <v>397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48937.5</v>
      </c>
      <c r="B37" s="32"/>
      <c r="C37" s="41" t="s">
        <v>395</v>
      </c>
      <c r="D37" s="41"/>
      <c r="E37" s="32"/>
      <c r="F37" s="43" t="n">
        <f aca="false">A37-C37</f>
        <v>47937.5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392</v>
      </c>
      <c r="B40" s="32"/>
      <c r="C40" s="54" t="n">
        <f aca="false">A34-1</f>
        <v>32</v>
      </c>
      <c r="D40" s="54"/>
      <c r="E40" s="32"/>
      <c r="F40" s="41" t="s">
        <v>390</v>
      </c>
      <c r="G40" s="41"/>
      <c r="H40" s="47"/>
      <c r="J40" s="2" t="s">
        <v>58</v>
      </c>
      <c r="K40" s="2" t="n">
        <f aca="false">H11</f>
        <v>9647.5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262.045454545455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237.954545454545</v>
      </c>
      <c r="L45" s="2"/>
    </row>
    <row r="46" customFormat="false" ht="17.35" hidden="false" customHeight="false" outlineLevel="0" collapsed="false">
      <c r="A46" s="40" t="n">
        <v>0.0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238.924242424242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238.924242424242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398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238.924242424242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10.0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57885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57885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57885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57885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50772.0791451533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50298.6406238561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53646.2822828198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53646.2822828198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549.234375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4160.484375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542.671875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426.832021875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0.0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0.0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0.0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0.0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238.924242424242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238.924242424242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238.924242424242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47937.5</v>
      </c>
      <c r="C90" s="32"/>
      <c r="D90" s="32"/>
      <c r="E90" s="23"/>
      <c r="F90" s="25" t="s">
        <v>105</v>
      </c>
      <c r="G90" s="27" t="n">
        <f aca="false">F37</f>
        <v>47937.5</v>
      </c>
      <c r="H90" s="33"/>
      <c r="J90" s="25" t="s">
        <v>105</v>
      </c>
      <c r="K90" s="27" t="n">
        <f aca="false">P167</f>
        <v>37715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45528.749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45528.749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31" t="s">
        <v>109</v>
      </c>
      <c r="G94" s="33" t="n">
        <f aca="false">IF(G91=0, (B68+B67), (B68))</f>
        <v>32</v>
      </c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4379.8532592462</v>
      </c>
      <c r="C95" s="32"/>
      <c r="D95" s="32"/>
      <c r="E95" s="23"/>
      <c r="F95" s="31" t="s">
        <v>110</v>
      </c>
      <c r="G95" s="33" t="n">
        <f aca="false">(G91/((1+G93)^(G94+1)))</f>
        <v>5020.31079273804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27.4464895133802</v>
      </c>
      <c r="C96" s="32"/>
      <c r="D96" s="32"/>
      <c r="E96" s="23"/>
      <c r="F96" s="31" t="s">
        <v>111</v>
      </c>
      <c r="G96" s="33" t="n">
        <f aca="false">((1-(1/((1+G93)^G94)))/G93)</f>
        <v>29.3075648349115</v>
      </c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43557.6467407538</v>
      </c>
      <c r="C97" s="32"/>
      <c r="D97" s="32"/>
      <c r="E97" s="23"/>
      <c r="F97" s="31" t="s">
        <v>112</v>
      </c>
      <c r="G97" s="33" t="n">
        <f aca="false">G90-G95</f>
        <v>42917.189207262</v>
      </c>
      <c r="H97" s="33"/>
      <c r="J97" s="31" t="s">
        <v>112</v>
      </c>
      <c r="K97" s="33" t="n">
        <f aca="false">K90-K95</f>
        <v>37715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45520.1897086168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45520.1897086168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1587.00247328604</v>
      </c>
      <c r="C98" s="32"/>
      <c r="D98" s="32"/>
      <c r="E98" s="23"/>
      <c r="F98" s="31" t="s">
        <v>113</v>
      </c>
      <c r="G98" s="33" t="n">
        <f aca="false">(G97/G96)</f>
        <v>1464.37240517979</v>
      </c>
      <c r="H98" s="33"/>
      <c r="J98" s="31" t="s">
        <v>113</v>
      </c>
      <c r="K98" s="33" t="n">
        <f aca="false">(K97/K96)</f>
        <v>1572.2075194955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1676.82132133812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1676.82132133812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50784.0791451533</v>
      </c>
      <c r="C99" s="32"/>
      <c r="D99" s="32"/>
      <c r="E99" s="23"/>
      <c r="F99" s="31" t="s">
        <v>114</v>
      </c>
      <c r="G99" s="33" t="n">
        <f aca="false">((G98*(G94))+G86)</f>
        <v>46859.9169657532</v>
      </c>
      <c r="H99" s="33"/>
      <c r="J99" s="31" t="s">
        <v>114</v>
      </c>
      <c r="K99" s="33" t="n">
        <f aca="false">((K98*(K94))+K86)</f>
        <v>51882.8481433516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53658.2822828198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53658.2822828198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50784.0791451533</v>
      </c>
      <c r="C101" s="32"/>
      <c r="D101" s="32"/>
      <c r="E101" s="23"/>
      <c r="F101" s="56" t="s">
        <v>116</v>
      </c>
      <c r="G101" s="65" t="n">
        <f aca="false">(G99+G100)</f>
        <v>46859.9169657532</v>
      </c>
      <c r="H101" s="33"/>
      <c r="J101" s="56" t="s">
        <v>116</v>
      </c>
      <c r="K101" s="65" t="n">
        <f aca="false">(K99+K100)</f>
        <v>51882.8481433516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53658.2822828198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53658.2822828198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1587.00247328604</v>
      </c>
      <c r="C104" s="32"/>
      <c r="D104" s="32"/>
      <c r="E104" s="23"/>
      <c r="F104" s="95" t="s">
        <v>118</v>
      </c>
      <c r="G104" s="96" t="n">
        <f aca="false">G101/(G94)</f>
        <v>1464.37240517979</v>
      </c>
      <c r="H104" s="33"/>
      <c r="J104" s="95" t="s">
        <v>118</v>
      </c>
      <c r="K104" s="96" t="n">
        <f aca="false">K101/(K94)</f>
        <v>1572.2075194955</v>
      </c>
      <c r="L104" s="32"/>
      <c r="M104" s="32"/>
      <c r="N104" s="23"/>
      <c r="O104" s="23"/>
      <c r="P104" s="23"/>
      <c r="Q104" s="33"/>
      <c r="S104" s="95" t="s">
        <v>118</v>
      </c>
      <c r="T104" s="96" t="n">
        <f aca="false">T101/(T94)</f>
        <v>1676.82132133812</v>
      </c>
      <c r="U104" s="32"/>
      <c r="V104" s="32"/>
      <c r="W104" s="23"/>
      <c r="X104" s="23"/>
      <c r="Y104" s="23"/>
      <c r="Z104" s="33"/>
      <c r="AB104" s="95" t="s">
        <v>118</v>
      </c>
      <c r="AC104" s="96" t="n">
        <f aca="false">AC101/(AC68)</f>
        <v>1676.82132133812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1587.00247328604</v>
      </c>
      <c r="C105" s="32"/>
      <c r="D105" s="32"/>
      <c r="E105" s="23" t="s">
        <v>18</v>
      </c>
      <c r="F105" s="97" t="s">
        <v>119</v>
      </c>
      <c r="G105" s="98" t="n">
        <f aca="false">G103+G104</f>
        <v>1464.37240517979</v>
      </c>
      <c r="H105" s="33"/>
      <c r="J105" s="97" t="s">
        <v>119</v>
      </c>
      <c r="K105" s="98" t="n">
        <f aca="false">(K103+K104)</f>
        <v>1572.2075194955</v>
      </c>
      <c r="L105" s="32"/>
      <c r="M105" s="32"/>
      <c r="N105" s="23"/>
      <c r="O105" s="23"/>
      <c r="P105" s="23"/>
      <c r="Q105" s="33"/>
      <c r="S105" s="97" t="s">
        <v>119</v>
      </c>
      <c r="T105" s="98" t="n">
        <f aca="false">T103+T104</f>
        <v>1676.82132133812</v>
      </c>
      <c r="U105" s="32"/>
      <c r="V105" s="32"/>
      <c r="W105" s="23"/>
      <c r="X105" s="23"/>
      <c r="Y105" s="23"/>
      <c r="Z105" s="33"/>
      <c r="AB105" s="97" t="s">
        <v>119</v>
      </c>
      <c r="AC105" s="98" t="n">
        <f aca="false">AC103+AC104</f>
        <v>1676.82132133812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234</v>
      </c>
      <c r="C108" s="23"/>
      <c r="D108" s="23"/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/>
      <c r="C114" s="103"/>
      <c r="D114" s="103"/>
      <c r="E114" s="104" t="s">
        <v>393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389</v>
      </c>
      <c r="B120" s="107" t="n">
        <v>0.0</v>
      </c>
      <c r="C120" s="107"/>
      <c r="D120" s="107"/>
      <c r="E120" s="107" t="n">
        <v>0.0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406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23"/>
      <c r="C127" s="23"/>
      <c r="D127" s="23"/>
      <c r="E127" s="23"/>
      <c r="F127" s="23"/>
      <c r="G127" s="2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25" t="n">
        <f aca="false">B3</f>
        <v>46854.17</v>
      </c>
      <c r="C130" s="40" t="n">
        <f aca="false">B130</f>
        <v>46854.17</v>
      </c>
      <c r="D130" s="25" t="n">
        <f aca="false">D3</f>
        <v>0</v>
      </c>
      <c r="E130" s="40" t="n">
        <f aca="false">D130</f>
        <v>0</v>
      </c>
      <c r="F130" s="25" t="n">
        <f aca="false">F3</f>
        <v>833.33</v>
      </c>
      <c r="G130" s="40" t="n">
        <f aca="false">F130</f>
        <v>833.33</v>
      </c>
      <c r="H130" s="122" t="n">
        <f aca="false">H3</f>
        <v>0</v>
      </c>
      <c r="J130" s="25" t="s">
        <v>149</v>
      </c>
      <c r="K130" s="25" t="n">
        <f aca="false">B3</f>
        <v>46854.17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833.33</v>
      </c>
      <c r="P130" s="40" t="n">
        <f aca="false">O130</f>
        <v>833.33</v>
      </c>
      <c r="Q130" s="122" t="n">
        <f aca="false">H3</f>
        <v>0</v>
      </c>
      <c r="S130" s="25" t="s">
        <v>149</v>
      </c>
      <c r="T130" s="25" t="n">
        <f aca="false">B3</f>
        <v>46854.17</v>
      </c>
      <c r="U130" s="40" t="n">
        <f aca="false">T130</f>
        <v>46854.17</v>
      </c>
      <c r="V130" s="25" t="n">
        <f aca="false">D3</f>
        <v>0</v>
      </c>
      <c r="W130" s="40" t="n">
        <f aca="false">V130</f>
        <v>0</v>
      </c>
      <c r="X130" s="25" t="n">
        <f aca="false">F3</f>
        <v>833.33</v>
      </c>
      <c r="Y130" s="40" t="n">
        <f aca="false">X130</f>
        <v>833.33</v>
      </c>
      <c r="Z130" s="122" t="n">
        <f aca="false">H3</f>
        <v>0</v>
      </c>
      <c r="AB130" s="25" t="s">
        <v>149</v>
      </c>
      <c r="AC130" s="25" t="n">
        <f aca="false">B3</f>
        <v>46854.17</v>
      </c>
      <c r="AD130" s="40" t="n">
        <f aca="false">AC130</f>
        <v>46854.17</v>
      </c>
      <c r="AE130" s="25" t="n">
        <f aca="false">D3</f>
        <v>0</v>
      </c>
      <c r="AF130" s="40" t="n">
        <f aca="false">AE130</f>
        <v>0</v>
      </c>
      <c r="AG130" s="25" t="n">
        <f aca="false">F3</f>
        <v>833.33</v>
      </c>
      <c r="AH130" s="40" t="n">
        <f aca="false">AG130</f>
        <v>833.33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7" t="n">
        <f aca="false">B4</f>
        <v>0</v>
      </c>
      <c r="C131" s="496" t="n">
        <f aca="false">B131</f>
        <v>0</v>
      </c>
      <c r="D131" s="127" t="n">
        <f aca="false">D4</f>
        <v>0</v>
      </c>
      <c r="E131" s="128" t="n">
        <f aca="false">D131</f>
        <v>0</v>
      </c>
      <c r="F131" s="127" t="n">
        <f aca="false">F4</f>
        <v>0</v>
      </c>
      <c r="G131" s="128" t="n">
        <f aca="false">F131</f>
        <v>0</v>
      </c>
      <c r="H131" s="129"/>
      <c r="J131" s="31" t="s">
        <v>150</v>
      </c>
      <c r="K131" s="127" t="n">
        <f aca="false">B4</f>
        <v>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n">
        <f aca="false">F4</f>
        <v>0</v>
      </c>
      <c r="P131" s="128" t="n">
        <f aca="false">O131</f>
        <v>0</v>
      </c>
      <c r="Q131" s="129"/>
      <c r="S131" s="31" t="s">
        <v>150</v>
      </c>
      <c r="T131" s="127" t="n">
        <f aca="false">B4</f>
        <v>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n">
        <f aca="false">F4</f>
        <v>0</v>
      </c>
      <c r="Y131" s="128" t="n">
        <f aca="false">X131</f>
        <v>0</v>
      </c>
      <c r="Z131" s="129"/>
      <c r="AB131" s="31" t="s">
        <v>150</v>
      </c>
      <c r="AC131" s="127" t="n">
        <f aca="false">B4</f>
        <v>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n">
        <f aca="false">F4</f>
        <v>0</v>
      </c>
      <c r="AH131" s="128" t="n">
        <f aca="false">AG131</f>
        <v>0</v>
      </c>
      <c r="AI131" s="129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11713.5425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11713.5425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46854.17</v>
      </c>
      <c r="C134" s="65" t="n">
        <f aca="false">C130-C133</f>
        <v>46854.17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833.33</v>
      </c>
      <c r="G134" s="65" t="n">
        <f aca="false">G130-G133</f>
        <v>833.33</v>
      </c>
      <c r="H134" s="65"/>
      <c r="J134" s="56" t="s">
        <v>153</v>
      </c>
      <c r="K134" s="56" t="n">
        <f aca="false">K130-K133</f>
        <v>46854.17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833.33</v>
      </c>
      <c r="P134" s="65" t="n">
        <f aca="false">P130-P133</f>
        <v>833.33</v>
      </c>
      <c r="Q134" s="65"/>
      <c r="S134" s="56" t="s">
        <v>153</v>
      </c>
      <c r="T134" s="56" t="n">
        <f aca="false">T130-T133</f>
        <v>46854.17</v>
      </c>
      <c r="U134" s="65" t="n">
        <f aca="false">U130-U133</f>
        <v>35140.6275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833.33</v>
      </c>
      <c r="Y134" s="65" t="n">
        <f aca="false">Y130-Y133</f>
        <v>833.33</v>
      </c>
      <c r="Z134" s="65"/>
      <c r="AB134" s="56" t="s">
        <v>153</v>
      </c>
      <c r="AC134" s="56" t="n">
        <f aca="false">AC130-AC133</f>
        <v>46854.17</v>
      </c>
      <c r="AD134" s="65" t="n">
        <f aca="false">AD130-AD133</f>
        <v>35140.6275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833.33</v>
      </c>
      <c r="AH134" s="65" t="n">
        <f aca="false">AH130-AH133</f>
        <v>833.33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8"/>
      <c r="C136" s="138"/>
      <c r="D136" s="138"/>
      <c r="E136" s="138"/>
      <c r="F136" s="138"/>
      <c r="G136" s="139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6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6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9" t="n">
        <f aca="false">H9</f>
        <v>47687.5</v>
      </c>
      <c r="H144" s="153" t="n">
        <f aca="false">C134+E134+G134+H137</f>
        <v>47687.5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47687.5</v>
      </c>
      <c r="Q144" s="153" t="n">
        <f aca="false">L134+N134+P134+Q137</f>
        <v>29462.5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47687.5</v>
      </c>
      <c r="Z144" s="153" t="n">
        <f aca="false">U134+W134+Y134+Z137</f>
        <v>35973.9575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47687.5</v>
      </c>
      <c r="AI144" s="153" t="n">
        <f aca="false">AD134+AF134+AH134+AI137</f>
        <v>35973.9575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6" t="n">
        <f aca="false">H10</f>
        <v>550</v>
      </c>
      <c r="H145" s="33" t="n">
        <f aca="false">G145</f>
        <v>550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550</v>
      </c>
      <c r="Q145" s="33" t="n">
        <f aca="false">P145</f>
        <v>550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550</v>
      </c>
      <c r="Z145" s="33" t="n">
        <f aca="false">Y145</f>
        <v>550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550</v>
      </c>
      <c r="AI145" s="33" t="n">
        <f aca="false">AH145</f>
        <v>550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156" t="n">
        <f aca="false">H11</f>
        <v>9647.5</v>
      </c>
      <c r="H146" s="33" t="n">
        <f aca="false">(H144+H145)*20%</f>
        <v>9647.5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9647.5</v>
      </c>
      <c r="Q146" s="33" t="n">
        <f aca="false">(Q144+Q145)*20%</f>
        <v>6002.5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9647.5</v>
      </c>
      <c r="Z146" s="33" t="n">
        <f aca="false">(Z144+Z145)*20%</f>
        <v>7304.7915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9647.5</v>
      </c>
      <c r="AI146" s="33" t="n">
        <f aca="false">(AI144+AI145)*20%</f>
        <v>7304.7915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6" t="n">
        <f aca="false">H12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6" t="n">
        <f aca="false">H13</f>
        <v>645</v>
      </c>
      <c r="H148" s="33" t="n">
        <f aca="false">G148</f>
        <v>645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645</v>
      </c>
      <c r="Q148" s="33" t="n">
        <f aca="false">P148</f>
        <v>645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645</v>
      </c>
      <c r="Z148" s="33" t="n">
        <f aca="false">Y148</f>
        <v>645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645</v>
      </c>
      <c r="AI148" s="33" t="n">
        <f aca="false">AH148</f>
        <v>645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6" t="n">
        <f aca="false">H14</f>
        <v>55</v>
      </c>
      <c r="H149" s="33" t="n">
        <f aca="false">G149</f>
        <v>55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55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55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55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8" t="n">
        <f aca="false">H15</f>
        <v>58585</v>
      </c>
      <c r="H150" s="157" t="n">
        <f aca="false">(H144+H145+H148+H149+H146)-H147</f>
        <v>58585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58585</v>
      </c>
      <c r="Q150" s="157" t="n">
        <f aca="false">(Q144+Q145+Q148+Q149+Q146)-Q147</f>
        <v>36715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58585</v>
      </c>
      <c r="Z150" s="157" t="n">
        <f aca="false">(Z144+Z145+Z148+Z149+Z146)-Z147</f>
        <v>44528.749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58585</v>
      </c>
      <c r="AI150" s="157" t="n">
        <f aca="false">(AI144+AI145+AI148+AI149+AI146)-AI147</f>
        <v>44528.749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156" t="n">
        <f aca="false">H16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8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s">
        <v>170</v>
      </c>
      <c r="C153" s="161"/>
      <c r="D153" s="161"/>
      <c r="E153" s="161"/>
      <c r="F153" s="161"/>
      <c r="G153" s="156" t="n">
        <f aca="false">H18</f>
        <v>0</v>
      </c>
      <c r="H153" s="40" t="n">
        <f aca="false">G153</f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156" t="n">
        <f aca="false">H19</f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156" t="n">
        <f aca="false">H20</f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58" t="n">
        <f aca="false">G150-((G153*1.2)+(G154*1.2)+(G155*1.2)+(G151*1.2))</f>
        <v>58585</v>
      </c>
      <c r="H156" s="164" t="n">
        <f aca="false">H150-((H153*1.2)+(H154*1.2)+(H155*1.2)+(H151*1.2))</f>
        <v>58585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58585</v>
      </c>
      <c r="Q156" s="164" t="n">
        <f aca="false">Q150-((Q153*1.2)+(Q154*1.2)+(Q155*1.2)+(Q151*1.2))</f>
        <v>36715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58585</v>
      </c>
      <c r="Z156" s="164" t="n">
        <f aca="false">Z150-((Z153*1.2)+(Z154*1.2)+(Z155*1.2)+(Z151*1.2))</f>
        <v>44528.749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58585</v>
      </c>
      <c r="AI156" s="164" t="n">
        <f aca="false">AI150-((AI153*1.2)+(AI154*1.2)+(AI155*1.2)+(AI151*1.2))</f>
        <v>44528.749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6"/>
      <c r="H157" s="40" t="n">
        <f aca="false">((H156-G156)-(H146-G146))+((I155-I154)*0.2)</f>
        <v>0</v>
      </c>
      <c r="I157" s="1" t="n">
        <f aca="false">(H157-G90)/1.2</f>
        <v>-39947.9166666667</v>
      </c>
      <c r="J157" s="154" t="s">
        <v>172</v>
      </c>
      <c r="K157" s="154"/>
      <c r="L157" s="154"/>
      <c r="M157" s="154"/>
      <c r="N157" s="154"/>
      <c r="O157" s="154"/>
      <c r="P157" s="156"/>
      <c r="Q157" s="40" t="n">
        <f aca="false">Q156-P156</f>
        <v>-21870</v>
      </c>
      <c r="S157" s="154" t="s">
        <v>172</v>
      </c>
      <c r="T157" s="154"/>
      <c r="U157" s="154"/>
      <c r="V157" s="154"/>
      <c r="W157" s="154"/>
      <c r="X157" s="154"/>
      <c r="Y157" s="156"/>
      <c r="Z157" s="40" t="n">
        <f aca="false">Z156-Y156</f>
        <v>-14056.251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n">
        <f aca="false">AI156-AH156</f>
        <v>-14056.251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0.0</v>
      </c>
      <c r="F161" s="107"/>
      <c r="G161" s="107" t="n">
        <v>0.0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0.0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58585</v>
      </c>
      <c r="H167" s="170"/>
      <c r="J167" s="169" t="s">
        <v>179</v>
      </c>
      <c r="K167" s="32"/>
      <c r="L167" s="32"/>
      <c r="M167" s="23"/>
      <c r="N167" s="32"/>
      <c r="O167" s="23"/>
      <c r="P167" s="170" t="n">
        <f aca="false">Q156-P163-P166</f>
        <v>37715</v>
      </c>
      <c r="Q167" s="170"/>
      <c r="S167" s="169" t="s">
        <v>179</v>
      </c>
      <c r="T167" s="32"/>
      <c r="U167" s="32"/>
      <c r="V167" s="23"/>
      <c r="W167" s="32"/>
      <c r="X167" s="23"/>
      <c r="Y167" s="170" t="n">
        <f aca="false">Z156-Y163-Y166</f>
        <v>45528.749</v>
      </c>
      <c r="Z167" s="170"/>
      <c r="AB167" s="169" t="s">
        <v>179</v>
      </c>
      <c r="AC167" s="32"/>
      <c r="AD167" s="32"/>
      <c r="AE167" s="23"/>
      <c r="AF167" s="32"/>
      <c r="AG167" s="23"/>
      <c r="AH167" s="170" t="n">
        <f aca="false">AI156-AH163-AH166</f>
        <v>45528.749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1587.00247328604</v>
      </c>
      <c r="B176" s="177" t="n">
        <f aca="false">B103</f>
        <v>0</v>
      </c>
      <c r="C176" s="174"/>
      <c r="D176" s="174"/>
      <c r="E176" s="177" t="n">
        <f aca="false">B105</f>
        <v>1587.00247328604</v>
      </c>
      <c r="F176" s="23"/>
      <c r="G176" s="23" t="n">
        <f aca="false">ROUND(G104, 2)</f>
        <v>1464.37</v>
      </c>
      <c r="H176" s="33"/>
      <c r="J176" s="176" t="n">
        <f aca="false">K104</f>
        <v>1572.2075194955</v>
      </c>
      <c r="K176" s="178" t="n">
        <f aca="false">K103</f>
        <v>0</v>
      </c>
      <c r="L176" s="175"/>
      <c r="M176" s="175"/>
      <c r="N176" s="178" t="n">
        <f aca="false">K105</f>
        <v>1572.2075194955</v>
      </c>
      <c r="O176" s="23"/>
      <c r="P176" s="23"/>
      <c r="Q176" s="33"/>
      <c r="S176" s="176" t="n">
        <f aca="false">T104</f>
        <v>1676.82132133812</v>
      </c>
      <c r="T176" s="178" t="n">
        <f aca="false">T103</f>
        <v>0</v>
      </c>
      <c r="U176" s="175"/>
      <c r="V176" s="175"/>
      <c r="W176" s="178" t="n">
        <f aca="false">T105</f>
        <v>1676.82132133812</v>
      </c>
      <c r="X176" s="23"/>
      <c r="Y176" s="23"/>
      <c r="Z176" s="33"/>
      <c r="AB176" s="176" t="n">
        <f aca="false">AC104</f>
        <v>1676.82132133812</v>
      </c>
      <c r="AC176" s="178" t="n">
        <f aca="false">AC103</f>
        <v>0</v>
      </c>
      <c r="AD176" s="175"/>
      <c r="AE176" s="175"/>
      <c r="AF176" s="178" t="n">
        <f aca="false">AC105</f>
        <v>1676.82132133812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33</v>
      </c>
      <c r="B179" s="180" t="str">
        <f aca="false">K30</f>
        <v>5000</v>
      </c>
      <c r="C179" s="181"/>
      <c r="D179" s="23"/>
      <c r="E179" s="182" t="n">
        <f aca="false">B91</f>
        <v>6000</v>
      </c>
      <c r="F179" s="23"/>
      <c r="G179" s="23"/>
      <c r="H179" s="33"/>
      <c r="J179" s="179" t="str">
        <f aca="false">K29</f>
        <v>33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33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33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48237.5</v>
      </c>
      <c r="B182" s="103" t="n">
        <f aca="false">H146</f>
        <v>9647.5</v>
      </c>
      <c r="C182" s="186"/>
      <c r="D182" s="23"/>
      <c r="E182" s="182" t="n">
        <f aca="false">H148+H149</f>
        <v>700</v>
      </c>
      <c r="F182" s="23"/>
      <c r="G182" s="23"/>
      <c r="H182" s="33"/>
      <c r="J182" s="185" t="n">
        <f aca="false">Q150-Q146-Q148-Q149</f>
        <v>30012.5</v>
      </c>
      <c r="K182" s="38" t="n">
        <f aca="false">Q146</f>
        <v>6002.5</v>
      </c>
      <c r="L182" s="43"/>
      <c r="M182" s="23"/>
      <c r="N182" s="184" t="n">
        <f aca="false">Q148+Q149</f>
        <v>700</v>
      </c>
      <c r="O182" s="23"/>
      <c r="P182" s="23"/>
      <c r="Q182" s="33"/>
      <c r="S182" s="185" t="n">
        <f aca="false">Z150-Z146-Z148-Z149</f>
        <v>36523.9575</v>
      </c>
      <c r="T182" s="38" t="n">
        <f aca="false">Z146</f>
        <v>7304.7915</v>
      </c>
      <c r="U182" s="43"/>
      <c r="V182" s="23"/>
      <c r="W182" s="184" t="n">
        <f aca="false">Z148+Z149</f>
        <v>700</v>
      </c>
      <c r="X182" s="23"/>
      <c r="Y182" s="23"/>
      <c r="Z182" s="33"/>
      <c r="AB182" s="185" t="n">
        <f aca="false">AI150-AI146-AI148-AI149</f>
        <v>36523.9575</v>
      </c>
      <c r="AC182" s="38" t="n">
        <f aca="false">AI146</f>
        <v>7304.7915</v>
      </c>
      <c r="AD182" s="43"/>
      <c r="AE182" s="23"/>
      <c r="AF182" s="184" t="n">
        <f aca="false">AI148+AI149</f>
        <v>700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58585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n">
        <f aca="false">Q150</f>
        <v>36715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n">
        <f aca="false">Z150</f>
        <v>44528.749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n">
        <f aca="false">AI150</f>
        <v>44528.749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58585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37715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45528.749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45528.749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-1800.92085484668</v>
      </c>
      <c r="B191" s="103" t="str">
        <f aca="false">B123</f>
        <v>199.99</v>
      </c>
      <c r="C191" s="103"/>
      <c r="D191" s="23"/>
      <c r="E191" s="103" t="n">
        <f aca="false">E188+A191+(B191*1.2)+A194</f>
        <v>57034.0671451533</v>
      </c>
      <c r="F191" s="23"/>
      <c r="G191" s="23"/>
      <c r="H191" s="105"/>
      <c r="J191" s="111" t="n">
        <f aca="false">(J176*K68)+N194-N188-J194</f>
        <v>12607.6406238561</v>
      </c>
      <c r="K191" s="38" t="n">
        <f aca="false">K123</f>
        <v>239.99</v>
      </c>
      <c r="L191" s="38"/>
      <c r="M191" s="23"/>
      <c r="N191" s="38" t="n">
        <f aca="false">N188+J191+K191+J194</f>
        <v>50582.6306238561</v>
      </c>
      <c r="O191" s="23"/>
      <c r="P191" s="23"/>
      <c r="Q191" s="105"/>
      <c r="S191" s="111" t="n">
        <f aca="false">(S176*T68)+W194-W188-S194</f>
        <v>8141.53328281981</v>
      </c>
      <c r="T191" s="38" t="n">
        <f aca="false">T123</f>
        <v>199.99</v>
      </c>
      <c r="U191" s="38"/>
      <c r="V191" s="23"/>
      <c r="W191" s="38" t="n">
        <f aca="false">W188+S191+T191+S194</f>
        <v>53880.2722828198</v>
      </c>
      <c r="X191" s="23"/>
      <c r="Y191" s="23"/>
      <c r="Z191" s="105"/>
      <c r="AB191" s="111" t="n">
        <f aca="false">(AB176*AC68)+AF194-AF188-AB194</f>
        <v>8141.53328281981</v>
      </c>
      <c r="AC191" s="38" t="n">
        <f aca="false">AC123</f>
        <v>239.99</v>
      </c>
      <c r="AD191" s="38"/>
      <c r="AE191" s="23"/>
      <c r="AF191" s="38" t="n">
        <f aca="false">AF188+AB191+AC191+AB194</f>
        <v>53920.2722828198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11.577</v>
      </c>
      <c r="B197" s="103" t="n">
        <f aca="false">(G167*B76)/1.2</f>
        <v>457.6953125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0.11717</v>
      </c>
      <c r="K197" s="38" t="n">
        <f aca="false">(P167*K76)/1.2</f>
        <v>2258.97135416667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n">
        <f aca="false">(Y167*T76)/1.2</f>
        <v>355.6933515625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n">
        <f aca="false">(AH167*AC76)/1.2</f>
        <v>355.6933515625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557.6853125</v>
      </c>
      <c r="C200" s="93"/>
      <c r="D200" s="93"/>
      <c r="E200" s="103" t="n">
        <f aca="false">H157</f>
        <v>0</v>
      </c>
      <c r="F200" s="23"/>
      <c r="G200" s="23"/>
      <c r="H200" s="33"/>
      <c r="J200" s="111" t="n">
        <f aca="false">K194-100</f>
        <v>1139.99</v>
      </c>
      <c r="K200" s="38" t="n">
        <f aca="false">K197+N197+J200</f>
        <v>3398.96135416667</v>
      </c>
      <c r="L200" s="32"/>
      <c r="M200" s="32"/>
      <c r="N200" s="38" t="n">
        <f aca="false">Q157</f>
        <v>-21870</v>
      </c>
      <c r="O200" s="23"/>
      <c r="P200" s="23"/>
      <c r="Q200" s="33"/>
      <c r="S200" s="111" t="n">
        <f aca="false">T194-100</f>
        <v>1099.99</v>
      </c>
      <c r="T200" s="38" t="n">
        <f aca="false">T197+W197+S200</f>
        <v>1455.6833515625</v>
      </c>
      <c r="U200" s="32"/>
      <c r="V200" s="32"/>
      <c r="W200" s="38" t="n">
        <f aca="false">Z157</f>
        <v>-14056.251</v>
      </c>
      <c r="X200" s="32"/>
      <c r="Y200" s="32"/>
      <c r="Z200" s="33"/>
      <c r="AB200" s="111" t="n">
        <f aca="false">AC194-100</f>
        <v>1139.99</v>
      </c>
      <c r="AC200" s="38" t="n">
        <f aca="false">AC197+AF197+AB200</f>
        <v>1495.6833515625</v>
      </c>
      <c r="AD200" s="32"/>
      <c r="AE200" s="32"/>
      <c r="AF200" s="38" t="n">
        <f aca="false">AI157</f>
        <v>-14056.251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1587.00247328604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1572.2075194955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1676.82132133812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1676.82132133812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-5725.16</v>
      </c>
      <c r="B210" s="186" t="n">
        <f aca="false">E188+A210+(B191*1.2)+A194</f>
        <v>53109.828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33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1587.00247328604</v>
      </c>
      <c r="B221" s="177" t="n">
        <f aca="false">B176</f>
        <v>0</v>
      </c>
      <c r="C221" s="174"/>
      <c r="D221" s="174"/>
      <c r="E221" s="177" t="n">
        <f aca="false">E176</f>
        <v>1587.00247328604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48237.5</v>
      </c>
      <c r="B224" s="103" t="n">
        <f aca="false">B182</f>
        <v>9647.5</v>
      </c>
      <c r="C224" s="186"/>
      <c r="D224" s="113"/>
      <c r="E224" s="182" t="n">
        <f aca="false">E182</f>
        <v>700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58585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58585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-1800.92085484668</v>
      </c>
      <c r="B233" s="103" t="str">
        <f aca="false">B191</f>
        <v>199.99</v>
      </c>
      <c r="C233" s="103"/>
      <c r="D233" s="113"/>
      <c r="E233" s="103" t="n">
        <f aca="false">E191</f>
        <v>57034.0671451533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32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1587.00247328604</v>
      </c>
      <c r="B239" s="103" t="n">
        <f aca="false">B176</f>
        <v>0</v>
      </c>
      <c r="C239" s="186"/>
      <c r="D239" s="186"/>
      <c r="E239" s="103" t="n">
        <f aca="false">E176</f>
        <v>1587.00247328604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34.731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11.577</v>
      </c>
      <c r="B245" s="103" t="n">
        <f aca="false">E242+A245</f>
        <v>46.308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0</v>
      </c>
      <c r="B249" s="103" t="n">
        <f aca="false">B197</f>
        <v>457.6953125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557.6853125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3934.23914515333</v>
      </c>
      <c r="C263" s="197"/>
      <c r="D263" s="198" t="s">
        <v>216</v>
      </c>
      <c r="E263" s="198"/>
      <c r="F263" s="200" t="n">
        <f aca="false">F270+F276+F278+B279+B280</f>
        <v>549.234375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</v>
      </c>
      <c r="C264" s="197"/>
      <c r="D264" s="198" t="s">
        <v>218</v>
      </c>
      <c r="E264" s="198"/>
      <c r="F264" s="200" t="n">
        <f aca="false">(B263-F263)+B264</f>
        <v>3484.99477015333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50784.0791451533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0.009375</v>
      </c>
      <c r="C270" s="32"/>
      <c r="D270" s="166" t="s">
        <v>221</v>
      </c>
      <c r="E270" s="166"/>
      <c r="F270" s="151" t="n">
        <f aca="false">B77</f>
        <v>549.234375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3484.99477015333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8">
    <dataValidation allowBlank="true" operator="between" showDropDown="false" showErrorMessage="true" showInputMessage="true" sqref="A18:A20 J153:J155 S153:S155 AB153:AB155" type="list">
      <formula1>$AB$16:$AB$18</formula1>
      <formula2>0</formula2>
    </dataValidation>
    <dataValidation allowBlank="true" operator="between" showDropDown="false" showErrorMessage="true" showInputMessage="true" sqref="N114 W114 AF114 J120 S120 AB120" type="list">
      <formula1>$Z$19:$Z$20</formula1>
      <formula2>0</formula2>
    </dataValidation>
    <dataValidation allowBlank="true" operator="between" showDropDown="false" showErrorMessage="true" showInputMessage="true" sqref="K114 T114 AC114" type="list">
      <formula1>$Y$136:$Y$145</formula1>
      <formula2>0</formula2>
    </dataValidation>
    <dataValidation allowBlank="true" operator="between" showDropDown="false" showErrorMessage="true" showInputMessage="true" sqref="K117:M117 T117:V117 AC117:AE117" type="list">
      <formula1>$AP$117:$AP$118</formula1>
      <formula2>0</formula2>
    </dataValidation>
    <dataValidation allowBlank="true" operator="between" showDropDown="false" showErrorMessage="true" showInputMessage="true" sqref="E114 A120" type="list">
      <formula1>$Z$19:$Z$20</formula1>
      <formula2>0</formula2>
    </dataValidation>
    <dataValidation allowBlank="true" operator="between" showDropDown="false" showErrorMessage="true" showInputMessage="true" sqref="A153:A155" type="list">
      <formula1>$AB$16:$AB$18</formula1>
      <formula2>0</formula2>
    </dataValidation>
    <dataValidation allowBlank="true" operator="between" showDropDown="false" showErrorMessage="true" showInputMessage="true" sqref="B114" type="list">
      <formula1>$Y$136:$Y$145</formula1>
      <formula2>0</formula2>
    </dataValidation>
    <dataValidation allowBlank="true" operator="between" showDropDown="false" showErrorMessage="true" showInputMessage="true" sqref="B117:D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3" colorId="64" zoomScale="85" zoomScaleNormal="85" zoomScalePageLayoutView="100" workbookViewId="0">
      <selection pane="topLeft" activeCell="H148" activeCellId="0" sqref="H14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/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0.0</v>
      </c>
      <c r="C4" s="492"/>
      <c r="D4" s="493" t="n">
        <v>0.0</v>
      </c>
      <c r="E4" s="493"/>
      <c r="F4" s="493" t="n">
        <v>0.0</v>
      </c>
      <c r="G4" s="493"/>
      <c r="H4" s="129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/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/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/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345</v>
      </c>
    </row>
    <row r="9" customFormat="false" ht="19.7" hidden="false" customHeight="false" outlineLevel="0" collapsed="false">
      <c r="A9" s="152" t="s">
        <v>161</v>
      </c>
      <c r="B9" s="152" t="n">
        <v>23125</v>
      </c>
      <c r="C9" s="152"/>
      <c r="D9" s="152"/>
      <c r="E9" s="152"/>
      <c r="F9" s="152"/>
      <c r="G9" s="139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/>
      <c r="F10" s="154"/>
      <c r="G10" s="156"/>
      <c r="H10" s="442" t="n">
        <v>550.0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 t="n">
        <v>0</v>
      </c>
      <c r="C11" s="154"/>
      <c r="D11" s="154"/>
      <c r="E11" s="154"/>
      <c r="F11" s="154"/>
      <c r="G11" s="156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6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 t="n">
        <v>0</v>
      </c>
      <c r="C13" s="154"/>
      <c r="D13" s="154"/>
      <c r="E13" s="154"/>
      <c r="F13" s="154"/>
      <c r="G13" s="156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/>
      <c r="F14" s="154"/>
      <c r="G14" s="156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6"/>
      <c r="H15" s="444" t="n">
        <f aca="false">(H9+H10+H13+H14+H11)-H12</f>
        <v>21273</v>
      </c>
      <c r="I15" s="2"/>
      <c r="J15" s="17" t="n">
        <f aca="false">H15</f>
        <v>21273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/>
      <c r="F16" s="154"/>
      <c r="G16" s="156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39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39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39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21273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396</v>
      </c>
      <c r="B34" s="32"/>
      <c r="C34" s="41" t="s">
        <v>397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17785</v>
      </c>
      <c r="B37" s="32"/>
      <c r="C37" s="41" t="s">
        <v>395</v>
      </c>
      <c r="D37" s="41"/>
      <c r="E37" s="32"/>
      <c r="F37" s="43" t="n">
        <f aca="false">A37-C37</f>
        <v>16785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392</v>
      </c>
      <c r="B40" s="32"/>
      <c r="C40" s="54" t="n">
        <f aca="false">A34-1</f>
        <v>32</v>
      </c>
      <c r="D40" s="54"/>
      <c r="E40" s="32"/>
      <c r="F40" s="41" t="s">
        <v>390</v>
      </c>
      <c r="G40" s="41"/>
      <c r="H40" s="47"/>
      <c r="J40" s="2" t="s">
        <v>58</v>
      </c>
      <c r="K40" s="2" t="n">
        <f aca="false">H11</f>
        <v>3488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75.3939393939394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424.606060606061</v>
      </c>
      <c r="L45" s="2"/>
    </row>
    <row r="46" customFormat="false" ht="17.35" hidden="false" customHeight="false" outlineLevel="0" collapsed="false">
      <c r="A46" s="40" t="s">
        <v>404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425.575757575758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425.575757575758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398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425.575757575758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10.0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20928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20928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20928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20928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13429.924318412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48723.2285773438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20311.2734592316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20311.2734592316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199.434375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1504.2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196.2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161.7140625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0.0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0.0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0.0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0.0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425.575757575758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425.575757575758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425.575757575758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16785</v>
      </c>
      <c r="C90" s="32"/>
      <c r="D90" s="32"/>
      <c r="E90" s="23"/>
      <c r="F90" s="25" t="s">
        <v>105</v>
      </c>
      <c r="G90" s="27" t="n">
        <f aca="false">F37</f>
        <v>16785</v>
      </c>
      <c r="H90" s="33"/>
      <c r="J90" s="25" t="s">
        <v>105</v>
      </c>
      <c r="K90" s="27" t="n">
        <f aca="false">P167</f>
        <v>36534.004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17249.5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17249.5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7200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31" t="s">
        <v>109</v>
      </c>
      <c r="G94" s="33" t="n">
        <f aca="false">IF(G91=0, (B68+B67), (B68))</f>
        <v>32</v>
      </c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5255.82391109543</v>
      </c>
      <c r="C95" s="32"/>
      <c r="D95" s="32"/>
      <c r="E95" s="23"/>
      <c r="F95" s="31" t="s">
        <v>110</v>
      </c>
      <c r="G95" s="33" t="n">
        <f aca="false">(G91/((1+G93)^(G94+1)))</f>
        <v>5020.31079273804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27.4464895133802</v>
      </c>
      <c r="C96" s="32"/>
      <c r="D96" s="32"/>
      <c r="E96" s="23"/>
      <c r="F96" s="31" t="s">
        <v>111</v>
      </c>
      <c r="G96" s="33" t="n">
        <f aca="false">((1-(1/((1+G93)^G94)))/G93)</f>
        <v>29.3075648349115</v>
      </c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11529.1760889046</v>
      </c>
      <c r="C97" s="32"/>
      <c r="D97" s="32"/>
      <c r="E97" s="23"/>
      <c r="F97" s="31" t="s">
        <v>112</v>
      </c>
      <c r="G97" s="33" t="n">
        <f aca="false">G90-G95</f>
        <v>11764.689207262</v>
      </c>
      <c r="H97" s="33"/>
      <c r="J97" s="31" t="s">
        <v>112</v>
      </c>
      <c r="K97" s="33" t="n">
        <f aca="false">K90-K95</f>
        <v>36534.004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17240.9407086168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17240.9407086168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420.060134950376</v>
      </c>
      <c r="C98" s="32"/>
      <c r="D98" s="32"/>
      <c r="E98" s="23"/>
      <c r="F98" s="31" t="s">
        <v>113</v>
      </c>
      <c r="G98" s="33" t="n">
        <f aca="false">(G97/G96)</f>
        <v>401.42158768673</v>
      </c>
      <c r="H98" s="33"/>
      <c r="J98" s="31" t="s">
        <v>113</v>
      </c>
      <c r="K98" s="33" t="n">
        <f aca="false">(K97/K96)</f>
        <v>1522.97589304199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635.102295600989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635.102295600989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13441.924318412</v>
      </c>
      <c r="C99" s="32"/>
      <c r="D99" s="32"/>
      <c r="E99" s="23"/>
      <c r="F99" s="31" t="s">
        <v>114</v>
      </c>
      <c r="G99" s="33" t="n">
        <f aca="false">((G98*(G94))+G86)</f>
        <v>12845.4908059753</v>
      </c>
      <c r="H99" s="33"/>
      <c r="J99" s="31" t="s">
        <v>114</v>
      </c>
      <c r="K99" s="33" t="n">
        <f aca="false">((K98*(K94))+K86)</f>
        <v>50258.2044703858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20323.2734592316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20323.2734592316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13441.924318412</v>
      </c>
      <c r="C101" s="32"/>
      <c r="D101" s="32"/>
      <c r="E101" s="23"/>
      <c r="F101" s="56" t="s">
        <v>116</v>
      </c>
      <c r="G101" s="65" t="n">
        <f aca="false">(G99+G100)</f>
        <v>12845.4908059753</v>
      </c>
      <c r="H101" s="33"/>
      <c r="J101" s="56" t="s">
        <v>116</v>
      </c>
      <c r="K101" s="65" t="n">
        <f aca="false">(K99+K100)</f>
        <v>50258.2044703858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20323.2734592316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20323.2734592316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420.060134950376</v>
      </c>
      <c r="C104" s="32"/>
      <c r="D104" s="32"/>
      <c r="E104" s="23"/>
      <c r="F104" s="95" t="s">
        <v>118</v>
      </c>
      <c r="G104" s="96" t="n">
        <f aca="false">G101/(G94)</f>
        <v>401.42158768673</v>
      </c>
      <c r="H104" s="33"/>
      <c r="J104" s="95" t="s">
        <v>118</v>
      </c>
      <c r="K104" s="96" t="n">
        <f aca="false">K101/(K94)</f>
        <v>1522.97589304199</v>
      </c>
      <c r="L104" s="32"/>
      <c r="M104" s="32"/>
      <c r="N104" s="23"/>
      <c r="O104" s="23"/>
      <c r="P104" s="23"/>
      <c r="Q104" s="33"/>
      <c r="S104" s="95" t="s">
        <v>118</v>
      </c>
      <c r="T104" s="96" t="n">
        <f aca="false">T101/(T94)</f>
        <v>635.102295600989</v>
      </c>
      <c r="U104" s="32"/>
      <c r="V104" s="32"/>
      <c r="W104" s="23"/>
      <c r="X104" s="23"/>
      <c r="Y104" s="23"/>
      <c r="Z104" s="33"/>
      <c r="AB104" s="95" t="s">
        <v>118</v>
      </c>
      <c r="AC104" s="96" t="n">
        <f aca="false">AC101/(AC68)</f>
        <v>635.102295600989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420.060134950376</v>
      </c>
      <c r="C105" s="32"/>
      <c r="D105" s="32"/>
      <c r="E105" s="23" t="s">
        <v>19</v>
      </c>
      <c r="F105" s="97" t="s">
        <v>119</v>
      </c>
      <c r="G105" s="98" t="n">
        <f aca="false">G103+G104</f>
        <v>401.42158768673</v>
      </c>
      <c r="H105" s="33"/>
      <c r="J105" s="97" t="s">
        <v>119</v>
      </c>
      <c r="K105" s="98" t="n">
        <f aca="false">(K103+K104)</f>
        <v>1522.97589304199</v>
      </c>
      <c r="L105" s="32"/>
      <c r="M105" s="32"/>
      <c r="N105" s="23"/>
      <c r="O105" s="23"/>
      <c r="P105" s="23"/>
      <c r="Q105" s="33"/>
      <c r="S105" s="97" t="s">
        <v>119</v>
      </c>
      <c r="T105" s="98" t="n">
        <f aca="false">T103+T104</f>
        <v>635.102295600989</v>
      </c>
      <c r="U105" s="32"/>
      <c r="V105" s="32"/>
      <c r="W105" s="23"/>
      <c r="X105" s="23"/>
      <c r="Y105" s="23"/>
      <c r="Z105" s="33"/>
      <c r="AB105" s="97" t="s">
        <v>119</v>
      </c>
      <c r="AC105" s="98" t="n">
        <f aca="false">AC103+AC104</f>
        <v>635.102295600989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389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0.3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389</v>
      </c>
      <c r="B120" s="107" t="n">
        <v>0.0</v>
      </c>
      <c r="C120" s="107"/>
      <c r="D120" s="107"/>
      <c r="E120" s="107" t="n">
        <v>0.0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399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23"/>
      <c r="C127" s="23"/>
      <c r="D127" s="23"/>
      <c r="E127" s="23"/>
      <c r="F127" s="23"/>
      <c r="G127" s="2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25" t="n">
        <f aca="false">B3</f>
        <v>16745</v>
      </c>
      <c r="C130" s="40" t="n">
        <f aca="false">B130</f>
        <v>16745</v>
      </c>
      <c r="D130" s="25" t="n">
        <f aca="false">D3</f>
        <v>0</v>
      </c>
      <c r="E130" s="40" t="n">
        <f aca="false">D130</f>
        <v>0</v>
      </c>
      <c r="F130" s="25" t="n">
        <f aca="false">F3</f>
        <v>0</v>
      </c>
      <c r="G130" s="40" t="n">
        <f aca="false">F130</f>
        <v>0</v>
      </c>
      <c r="H130" s="122" t="n">
        <f aca="false">H3</f>
        <v>0</v>
      </c>
      <c r="J130" s="25" t="s">
        <v>149</v>
      </c>
      <c r="K130" s="25" t="n">
        <f aca="false">B3</f>
        <v>16745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0</v>
      </c>
      <c r="P130" s="40" t="n">
        <f aca="false">O130</f>
        <v>0</v>
      </c>
      <c r="Q130" s="122" t="n">
        <f aca="false">H3</f>
        <v>0</v>
      </c>
      <c r="S130" s="25" t="s">
        <v>149</v>
      </c>
      <c r="T130" s="25" t="n">
        <f aca="false">B3</f>
        <v>16745</v>
      </c>
      <c r="U130" s="40" t="n">
        <f aca="false">T130</f>
        <v>16745</v>
      </c>
      <c r="V130" s="25" t="n">
        <f aca="false">D3</f>
        <v>0</v>
      </c>
      <c r="W130" s="40" t="n">
        <f aca="false">V130</f>
        <v>0</v>
      </c>
      <c r="X130" s="25" t="n">
        <f aca="false">F3</f>
        <v>0</v>
      </c>
      <c r="Y130" s="40" t="n">
        <f aca="false">X130</f>
        <v>0</v>
      </c>
      <c r="Z130" s="122" t="n">
        <f aca="false">H3</f>
        <v>0</v>
      </c>
      <c r="AB130" s="25" t="s">
        <v>149</v>
      </c>
      <c r="AC130" s="25" t="n">
        <f aca="false">B3</f>
        <v>16745</v>
      </c>
      <c r="AD130" s="40" t="n">
        <f aca="false">AC130</f>
        <v>16745</v>
      </c>
      <c r="AE130" s="25" t="n">
        <f aca="false">D3</f>
        <v>0</v>
      </c>
      <c r="AF130" s="40" t="n">
        <f aca="false">AE130</f>
        <v>0</v>
      </c>
      <c r="AG130" s="25" t="n">
        <f aca="false">F3</f>
        <v>0</v>
      </c>
      <c r="AH130" s="40" t="n">
        <f aca="false">AG130</f>
        <v>0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7" t="n">
        <f aca="false">B4</f>
        <v>0</v>
      </c>
      <c r="C131" s="496" t="n">
        <f aca="false">B131</f>
        <v>0</v>
      </c>
      <c r="D131" s="127" t="n">
        <f aca="false">D4</f>
        <v>0</v>
      </c>
      <c r="E131" s="128" t="n">
        <f aca="false">D131</f>
        <v>0</v>
      </c>
      <c r="F131" s="127" t="n">
        <f aca="false">F4</f>
        <v>0</v>
      </c>
      <c r="G131" s="128" t="n">
        <f aca="false">F131</f>
        <v>0</v>
      </c>
      <c r="H131" s="129"/>
      <c r="J131" s="31" t="s">
        <v>150</v>
      </c>
      <c r="K131" s="127" t="n">
        <f aca="false">B4</f>
        <v>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n">
        <f aca="false">F4</f>
        <v>0</v>
      </c>
      <c r="P131" s="128" t="n">
        <f aca="false">O131</f>
        <v>0</v>
      </c>
      <c r="Q131" s="129"/>
      <c r="S131" s="31" t="s">
        <v>150</v>
      </c>
      <c r="T131" s="127" t="n">
        <f aca="false">B4</f>
        <v>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n">
        <f aca="false">F4</f>
        <v>0</v>
      </c>
      <c r="Y131" s="128" t="n">
        <f aca="false">X131</f>
        <v>0</v>
      </c>
      <c r="Z131" s="129"/>
      <c r="AB131" s="31" t="s">
        <v>150</v>
      </c>
      <c r="AC131" s="127" t="n">
        <f aca="false">B4</f>
        <v>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n">
        <f aca="false">F4</f>
        <v>0</v>
      </c>
      <c r="AH131" s="128" t="n">
        <f aca="false">AG131</f>
        <v>0</v>
      </c>
      <c r="AI131" s="129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4186.25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4186.25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16745</v>
      </c>
      <c r="C134" s="65" t="n">
        <f aca="false">C130-C133</f>
        <v>16745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0</v>
      </c>
      <c r="G134" s="65" t="n">
        <f aca="false">G130-G133</f>
        <v>0</v>
      </c>
      <c r="H134" s="65"/>
      <c r="J134" s="56" t="s">
        <v>153</v>
      </c>
      <c r="K134" s="56" t="n">
        <f aca="false">K130-K133</f>
        <v>16745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0</v>
      </c>
      <c r="P134" s="65" t="n">
        <f aca="false">P130-P133</f>
        <v>0</v>
      </c>
      <c r="Q134" s="65"/>
      <c r="S134" s="56" t="s">
        <v>153</v>
      </c>
      <c r="T134" s="56" t="n">
        <f aca="false">T130-T133</f>
        <v>16745</v>
      </c>
      <c r="U134" s="65" t="n">
        <f aca="false">U130-U133</f>
        <v>12558.75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0</v>
      </c>
      <c r="Y134" s="65" t="n">
        <f aca="false">Y130-Y133</f>
        <v>0</v>
      </c>
      <c r="Z134" s="65"/>
      <c r="AB134" s="56" t="s">
        <v>153</v>
      </c>
      <c r="AC134" s="56" t="n">
        <f aca="false">AC130-AC133</f>
        <v>16745</v>
      </c>
      <c r="AD134" s="65" t="n">
        <f aca="false">AD130-AD133</f>
        <v>12558.75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0</v>
      </c>
      <c r="AH134" s="65" t="n">
        <f aca="false">AH130-AH133</f>
        <v>0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8"/>
      <c r="C136" s="138"/>
      <c r="D136" s="138"/>
      <c r="E136" s="138"/>
      <c r="F136" s="138"/>
      <c r="G136" s="139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6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6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9" t="n">
        <f aca="false">H9</f>
        <v>16745</v>
      </c>
      <c r="H144" s="153" t="n">
        <f aca="false">C134+E134+G134+H137</f>
        <v>16745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16745</v>
      </c>
      <c r="Q144" s="153" t="n">
        <f aca="false">L134+N134+P134+Q137</f>
        <v>28629.17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16745</v>
      </c>
      <c r="Z144" s="153" t="n">
        <f aca="false">U134+W134+Y134+Z137</f>
        <v>12558.75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16745</v>
      </c>
      <c r="AI144" s="153" t="n">
        <f aca="false">AD134+AF134+AH134+AI137</f>
        <v>12558.75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6" t="n">
        <f aca="false">H10</f>
        <v>695</v>
      </c>
      <c r="H145" s="33" t="n">
        <f aca="false">G145</f>
        <v>695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695</v>
      </c>
      <c r="Q145" s="33" t="n">
        <f aca="false">P145</f>
        <v>695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695</v>
      </c>
      <c r="Z145" s="33" t="n">
        <f aca="false">Y145</f>
        <v>695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695</v>
      </c>
      <c r="AI145" s="33" t="n">
        <f aca="false">AH145</f>
        <v>695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156" t="n">
        <f aca="false">H11</f>
        <v>3488</v>
      </c>
      <c r="H146" s="33" t="n">
        <f aca="false">(H144+H145)*20%</f>
        <v>3488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3488</v>
      </c>
      <c r="Q146" s="33" t="n">
        <f aca="false">(Q144+Q145)*20%</f>
        <v>5864.834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3488</v>
      </c>
      <c r="Z146" s="33" t="n">
        <f aca="false">(Z144+Z145)*20%</f>
        <v>2650.75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3488</v>
      </c>
      <c r="AI146" s="33" t="n">
        <f aca="false">(AI144+AI145)*20%</f>
        <v>2650.75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6" t="n">
        <f aca="false">H12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6" t="n">
        <f aca="false">H13</f>
        <v>290</v>
      </c>
      <c r="H148" s="33" t="n">
        <f aca="false">G148</f>
        <v>290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290</v>
      </c>
      <c r="Q148" s="33" t="n">
        <f aca="false">P148</f>
        <v>290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290</v>
      </c>
      <c r="Z148" s="33" t="n">
        <f aca="false">Y148</f>
        <v>290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290</v>
      </c>
      <c r="AI148" s="33" t="n">
        <f aca="false">AH148</f>
        <v>290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6" t="n">
        <f aca="false">H14</f>
        <v>55</v>
      </c>
      <c r="H149" s="33" t="n">
        <f aca="false">G149</f>
        <v>55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55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55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55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8" t="n">
        <f aca="false">H15</f>
        <v>21273</v>
      </c>
      <c r="H150" s="157" t="n">
        <f aca="false">(H144+H145+H148+H149+H146)-H147</f>
        <v>21273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21273</v>
      </c>
      <c r="Q150" s="157" t="n">
        <f aca="false">(Q144+Q145+Q148+Q149+Q146)-Q147</f>
        <v>35534.004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21273</v>
      </c>
      <c r="Z150" s="157" t="n">
        <f aca="false">(Z144+Z145+Z148+Z149+Z146)-Z147</f>
        <v>16249.5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21273</v>
      </c>
      <c r="AI150" s="157" t="n">
        <f aca="false">(AI144+AI145+AI148+AI149+AI146)-AI147</f>
        <v>16249.5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156" t="n">
        <f aca="false">H16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8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s">
        <v>170</v>
      </c>
      <c r="C153" s="161"/>
      <c r="D153" s="161"/>
      <c r="E153" s="161"/>
      <c r="F153" s="161"/>
      <c r="G153" s="156" t="n">
        <f aca="false">H18</f>
        <v>0</v>
      </c>
      <c r="H153" s="40" t="n">
        <f aca="false">G153</f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156" t="n">
        <f aca="false">H19</f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156" t="n">
        <f aca="false">H20</f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58" t="n">
        <f aca="false">G150-((G153*1.2)+(G154*1.2)+(G155*1.2)+(G151*1.2))</f>
        <v>21273</v>
      </c>
      <c r="H156" s="164" t="n">
        <f aca="false">H150-((H153*1.2)+(H154*1.2)+(H155*1.2)+(H151*1.2))</f>
        <v>21273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21273</v>
      </c>
      <c r="Q156" s="164" t="n">
        <f aca="false">Q150-((Q153*1.2)+(Q154*1.2)+(Q155*1.2)+(Q151*1.2))</f>
        <v>35534.004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21273</v>
      </c>
      <c r="Z156" s="164" t="n">
        <f aca="false">Z150-((Z153*1.2)+(Z154*1.2)+(Z155*1.2)+(Z151*1.2))</f>
        <v>16249.5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21273</v>
      </c>
      <c r="AI156" s="164" t="n">
        <f aca="false">AI150-((AI153*1.2)+(AI154*1.2)+(AI155*1.2)+(AI151*1.2))</f>
        <v>16249.5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6"/>
      <c r="H157" s="40" t="n">
        <f aca="false">((H156-G156)-(H146-G146))+((I155-I154)*0.2)</f>
        <v>0</v>
      </c>
      <c r="I157" s="1" t="n">
        <f aca="false">(H157-G90)/1.2</f>
        <v>-13987.5</v>
      </c>
      <c r="J157" s="154" t="s">
        <v>172</v>
      </c>
      <c r="K157" s="154"/>
      <c r="L157" s="154"/>
      <c r="M157" s="154"/>
      <c r="N157" s="154"/>
      <c r="O157" s="154"/>
      <c r="P157" s="156"/>
      <c r="Q157" s="40" t="n">
        <f aca="false">Q156-P156</f>
        <v>14261.004</v>
      </c>
      <c r="S157" s="154" t="s">
        <v>172</v>
      </c>
      <c r="T157" s="154"/>
      <c r="U157" s="154"/>
      <c r="V157" s="154"/>
      <c r="W157" s="154"/>
      <c r="X157" s="154"/>
      <c r="Y157" s="156"/>
      <c r="Z157" s="40" t="n">
        <f aca="false">Z156-Y156</f>
        <v>-5023.5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n">
        <f aca="false">AI156-AH156</f>
        <v>-5023.5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0.0</v>
      </c>
      <c r="F161" s="107"/>
      <c r="G161" s="107" t="n">
        <v>0.0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0.0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21273</v>
      </c>
      <c r="H167" s="170"/>
      <c r="J167" s="169" t="s">
        <v>179</v>
      </c>
      <c r="K167" s="32"/>
      <c r="L167" s="32"/>
      <c r="M167" s="23"/>
      <c r="N167" s="32"/>
      <c r="O167" s="23"/>
      <c r="P167" s="170" t="n">
        <f aca="false">Q156-P163-P166</f>
        <v>36534.004</v>
      </c>
      <c r="Q167" s="170"/>
      <c r="S167" s="169" t="s">
        <v>179</v>
      </c>
      <c r="T167" s="32"/>
      <c r="U167" s="32"/>
      <c r="V167" s="23"/>
      <c r="W167" s="32"/>
      <c r="X167" s="23"/>
      <c r="Y167" s="170" t="n">
        <f aca="false">Z156-Y163-Y166</f>
        <v>17249.5</v>
      </c>
      <c r="Z167" s="170"/>
      <c r="AB167" s="169" t="s">
        <v>179</v>
      </c>
      <c r="AC167" s="32"/>
      <c r="AD167" s="32"/>
      <c r="AE167" s="23"/>
      <c r="AF167" s="32"/>
      <c r="AG167" s="23"/>
      <c r="AH167" s="170" t="n">
        <f aca="false">AI156-AH163-AH166</f>
        <v>17249.5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420.060134950376</v>
      </c>
      <c r="B176" s="177" t="n">
        <f aca="false">B103</f>
        <v>0</v>
      </c>
      <c r="C176" s="174"/>
      <c r="D176" s="174"/>
      <c r="E176" s="177" t="n">
        <f aca="false">B105</f>
        <v>420.060134950376</v>
      </c>
      <c r="F176" s="23"/>
      <c r="G176" s="23" t="n">
        <f aca="false">ROUND(G104, 2)</f>
        <v>401.42</v>
      </c>
      <c r="H176" s="33"/>
      <c r="J176" s="176" t="n">
        <f aca="false">K104</f>
        <v>1522.97589304199</v>
      </c>
      <c r="K176" s="178" t="n">
        <f aca="false">K103</f>
        <v>0</v>
      </c>
      <c r="L176" s="175"/>
      <c r="M176" s="175"/>
      <c r="N176" s="178" t="n">
        <f aca="false">K105</f>
        <v>1522.97589304199</v>
      </c>
      <c r="O176" s="23"/>
      <c r="P176" s="23"/>
      <c r="Q176" s="33"/>
      <c r="S176" s="176" t="n">
        <f aca="false">T104</f>
        <v>635.102295600989</v>
      </c>
      <c r="T176" s="178" t="n">
        <f aca="false">T103</f>
        <v>0</v>
      </c>
      <c r="U176" s="175"/>
      <c r="V176" s="175"/>
      <c r="W176" s="178" t="n">
        <f aca="false">T105</f>
        <v>635.102295600989</v>
      </c>
      <c r="X176" s="23"/>
      <c r="Y176" s="23"/>
      <c r="Z176" s="33"/>
      <c r="AB176" s="176" t="n">
        <f aca="false">AC104</f>
        <v>635.102295600989</v>
      </c>
      <c r="AC176" s="178" t="n">
        <f aca="false">AC103</f>
        <v>0</v>
      </c>
      <c r="AD176" s="175"/>
      <c r="AE176" s="175"/>
      <c r="AF176" s="178" t="n">
        <f aca="false">AC105</f>
        <v>635.102295600989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f aca="false">B91</f>
        <v>7200</v>
      </c>
      <c r="F179" s="23"/>
      <c r="G179" s="23"/>
      <c r="H179" s="33"/>
      <c r="J179" s="179" t="str">
        <f aca="false">K29</f>
        <v>33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33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33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17440</v>
      </c>
      <c r="B182" s="103" t="n">
        <f aca="false">H146</f>
        <v>3488</v>
      </c>
      <c r="C182" s="186"/>
      <c r="D182" s="23"/>
      <c r="E182" s="182" t="n">
        <f aca="false">H148+H149</f>
        <v>345</v>
      </c>
      <c r="F182" s="23"/>
      <c r="G182" s="23"/>
      <c r="H182" s="33"/>
      <c r="J182" s="185" t="n">
        <f aca="false">Q150-Q146-Q148-Q149</f>
        <v>29324.17</v>
      </c>
      <c r="K182" s="38" t="n">
        <f aca="false">Q146</f>
        <v>5864.834</v>
      </c>
      <c r="L182" s="43"/>
      <c r="M182" s="23"/>
      <c r="N182" s="184" t="n">
        <f aca="false">Q148+Q149</f>
        <v>345</v>
      </c>
      <c r="O182" s="23"/>
      <c r="P182" s="23"/>
      <c r="Q182" s="33"/>
      <c r="S182" s="185" t="n">
        <f aca="false">Z150-Z146-Z148-Z149</f>
        <v>13253.75</v>
      </c>
      <c r="T182" s="38" t="n">
        <f aca="false">Z146</f>
        <v>2650.75</v>
      </c>
      <c r="U182" s="43"/>
      <c r="V182" s="23"/>
      <c r="W182" s="184" t="n">
        <f aca="false">Z148+Z149</f>
        <v>345</v>
      </c>
      <c r="X182" s="23"/>
      <c r="Y182" s="23"/>
      <c r="Z182" s="33"/>
      <c r="AB182" s="185" t="n">
        <f aca="false">AI150-AI146-AI148-AI149</f>
        <v>13253.75</v>
      </c>
      <c r="AC182" s="38" t="n">
        <f aca="false">AI146</f>
        <v>2650.75</v>
      </c>
      <c r="AD182" s="43"/>
      <c r="AE182" s="23"/>
      <c r="AF182" s="184" t="n">
        <f aca="false">AI148+AI149</f>
        <v>345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21273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n">
        <f aca="false">Q150</f>
        <v>35534.004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n">
        <f aca="false">Z150</f>
        <v>16249.5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n">
        <f aca="false">AI150</f>
        <v>16249.5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21273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36534.004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17249.5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17249.5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-631.07568158798</v>
      </c>
      <c r="B191" s="103" t="str">
        <f aca="false">B123</f>
        <v>239.99</v>
      </c>
      <c r="C191" s="103"/>
      <c r="D191" s="23"/>
      <c r="E191" s="103" t="n">
        <f aca="false">E188+A191+B191+A194</f>
        <v>20891.914318412</v>
      </c>
      <c r="F191" s="23"/>
      <c r="G191" s="23"/>
      <c r="H191" s="105"/>
      <c r="J191" s="111" t="n">
        <f aca="false">(J176*K68)+N194-N188-J194</f>
        <v>12213.2245773438</v>
      </c>
      <c r="K191" s="38" t="n">
        <f aca="false">K123</f>
        <v>239.99</v>
      </c>
      <c r="L191" s="38"/>
      <c r="M191" s="23"/>
      <c r="N191" s="38" t="n">
        <f aca="false">N188+J191+K191+J194</f>
        <v>49007.2185773438</v>
      </c>
      <c r="O191" s="23"/>
      <c r="P191" s="23"/>
      <c r="Q191" s="105"/>
      <c r="S191" s="111" t="n">
        <f aca="false">(S176*T68)+W194-W188-S194</f>
        <v>3085.77345923163</v>
      </c>
      <c r="T191" s="38" t="n">
        <f aca="false">T123</f>
        <v>199.99</v>
      </c>
      <c r="U191" s="38"/>
      <c r="V191" s="23"/>
      <c r="W191" s="38" t="n">
        <f aca="false">W188+S191+T191+S194</f>
        <v>20545.2634592316</v>
      </c>
      <c r="X191" s="23"/>
      <c r="Y191" s="23"/>
      <c r="Z191" s="105"/>
      <c r="AB191" s="111" t="n">
        <f aca="false">(AB176*AC68)+AF194-AF188-AB194</f>
        <v>3085.77345923163</v>
      </c>
      <c r="AC191" s="38" t="n">
        <f aca="false">AC123</f>
        <v>239.99</v>
      </c>
      <c r="AD191" s="38"/>
      <c r="AE191" s="23"/>
      <c r="AF191" s="38" t="n">
        <f aca="false">AF188+AB191+AC191+AB194</f>
        <v>20585.2634592316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7210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5.02272</v>
      </c>
      <c r="B197" s="103" t="n">
        <f aca="false">(G167*B76)/1.2</f>
        <v>166.1953125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0.042546</v>
      </c>
      <c r="K197" s="38" t="n">
        <f aca="false">(P167*K76)/1.2</f>
        <v>2188.23461458333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n">
        <f aca="false">(Y167*T76)/1.2</f>
        <v>134.76171875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n">
        <f aca="false">(AH167*AC76)/1.2</f>
        <v>134.76171875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266.186979166667</v>
      </c>
      <c r="C200" s="93"/>
      <c r="D200" s="93"/>
      <c r="E200" s="103" t="n">
        <f aca="false">H157</f>
        <v>0</v>
      </c>
      <c r="F200" s="23"/>
      <c r="G200" s="23"/>
      <c r="H200" s="33"/>
      <c r="J200" s="111" t="n">
        <f aca="false">K194-100</f>
        <v>1139.99</v>
      </c>
      <c r="K200" s="38" t="n">
        <f aca="false">K197+N197+J200</f>
        <v>3328.22461458333</v>
      </c>
      <c r="L200" s="32"/>
      <c r="M200" s="32"/>
      <c r="N200" s="38" t="n">
        <f aca="false">Q157</f>
        <v>14261.004</v>
      </c>
      <c r="O200" s="23"/>
      <c r="P200" s="23"/>
      <c r="Q200" s="33"/>
      <c r="S200" s="111" t="n">
        <f aca="false">T194-100</f>
        <v>1099.99</v>
      </c>
      <c r="T200" s="38" t="n">
        <f aca="false">T197+W197+S200</f>
        <v>1234.75171875</v>
      </c>
      <c r="U200" s="32"/>
      <c r="V200" s="32"/>
      <c r="W200" s="38" t="n">
        <f aca="false">Z157</f>
        <v>-5023.5</v>
      </c>
      <c r="X200" s="32"/>
      <c r="Y200" s="32"/>
      <c r="Z200" s="33"/>
      <c r="AB200" s="111" t="n">
        <f aca="false">AC194-100</f>
        <v>1139.99</v>
      </c>
      <c r="AC200" s="38" t="n">
        <f aca="false">AC197+AF197+AB200</f>
        <v>1274.75171875</v>
      </c>
      <c r="AD200" s="32"/>
      <c r="AE200" s="32"/>
      <c r="AF200" s="38" t="n">
        <f aca="false">AI157</f>
        <v>-5023.5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420.060134950376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1522.97589304199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635.102295600989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635.102295600989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-1227.56</v>
      </c>
      <c r="B210" s="186" t="n">
        <f aca="false">E188+A210+B191+A194</f>
        <v>20295.43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33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420.060134950376</v>
      </c>
      <c r="B221" s="177" t="n">
        <f aca="false">B176</f>
        <v>0</v>
      </c>
      <c r="C221" s="174"/>
      <c r="D221" s="174"/>
      <c r="E221" s="177" t="n">
        <f aca="false">E176</f>
        <v>420.060134950376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17440</v>
      </c>
      <c r="B224" s="103" t="n">
        <f aca="false">B182</f>
        <v>3488</v>
      </c>
      <c r="C224" s="186"/>
      <c r="D224" s="113"/>
      <c r="E224" s="182" t="n">
        <f aca="false">E182</f>
        <v>345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21273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21273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-631.07568158798</v>
      </c>
      <c r="B233" s="103" t="str">
        <f aca="false">B191</f>
        <v>239.99</v>
      </c>
      <c r="C233" s="103"/>
      <c r="D233" s="113"/>
      <c r="E233" s="103" t="n">
        <f aca="false">E191</f>
        <v>20891.914318412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32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420.060134950376</v>
      </c>
      <c r="B239" s="103" t="n">
        <f aca="false">B176</f>
        <v>0</v>
      </c>
      <c r="C239" s="186"/>
      <c r="D239" s="186"/>
      <c r="E239" s="103" t="n">
        <f aca="false">E176</f>
        <v>420.060134950376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7200</v>
      </c>
      <c r="B242" s="103" t="n">
        <f aca="false">E194</f>
        <v>7210</v>
      </c>
      <c r="C242" s="93"/>
      <c r="D242" s="93"/>
      <c r="E242" s="103" t="n">
        <f aca="false">J18*0.000006*100*1.2</f>
        <v>15.06816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5.02272</v>
      </c>
      <c r="B245" s="103" t="n">
        <f aca="false">E242+A245</f>
        <v>20.09088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0</v>
      </c>
      <c r="B249" s="103" t="n">
        <f aca="false">B197</f>
        <v>166.1953125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266.186979166667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606.484318412018</v>
      </c>
      <c r="C263" s="197"/>
      <c r="D263" s="198" t="s">
        <v>216</v>
      </c>
      <c r="E263" s="198"/>
      <c r="F263" s="200" t="n">
        <f aca="false">F270+F276+F278+B279+B280</f>
        <v>199.434375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99.9916666666667</v>
      </c>
      <c r="C264" s="197"/>
      <c r="D264" s="198" t="s">
        <v>218</v>
      </c>
      <c r="E264" s="198"/>
      <c r="F264" s="200" t="n">
        <f aca="false">(B263-F263)+B264</f>
        <v>507.041610078685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13441.924318412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0.009375</v>
      </c>
      <c r="C270" s="32"/>
      <c r="D270" s="166" t="s">
        <v>221</v>
      </c>
      <c r="E270" s="166"/>
      <c r="F270" s="151" t="n">
        <f aca="false">B77</f>
        <v>199.434375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507.041610078685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8">
    <dataValidation allowBlank="true" operator="between" showDropDown="false" showErrorMessage="true" showInputMessage="true" sqref="A18:A20 J153:J155 S153:S155 AB153:AB155" type="list">
      <formula1>$AB$16:$AB$18</formula1>
      <formula2>0</formula2>
    </dataValidation>
    <dataValidation allowBlank="true" operator="between" showDropDown="false" showErrorMessage="true" showInputMessage="true" sqref="N114 W114 AF114 J120 S120 AB120" type="list">
      <formula1>$Z$19:$Z$20</formula1>
      <formula2>0</formula2>
    </dataValidation>
    <dataValidation allowBlank="true" operator="between" showDropDown="false" showErrorMessage="true" showInputMessage="true" sqref="K114 T114 AC114" type="list">
      <formula1>$Y$136:$Y$145</formula1>
      <formula2>0</formula2>
    </dataValidation>
    <dataValidation allowBlank="true" operator="between" showDropDown="false" showErrorMessage="true" showInputMessage="true" sqref="K117:M117 T117:V117 AC117:AE117" type="list">
      <formula1>$AP$117:$AP$118</formula1>
      <formula2>0</formula2>
    </dataValidation>
    <dataValidation allowBlank="true" operator="between" showDropDown="false" showErrorMessage="true" showInputMessage="true" sqref="E114 A120" type="list">
      <formula1>$Z$19:$Z$20</formula1>
      <formula2>0</formula2>
    </dataValidation>
    <dataValidation allowBlank="true" operator="between" showDropDown="false" showErrorMessage="true" showInputMessage="true" sqref="A153:A155" type="list">
      <formula1>$AB$16:$AB$18</formula1>
      <formula2>0</formula2>
    </dataValidation>
    <dataValidation allowBlank="true" operator="between" showDropDown="false" showErrorMessage="true" showInputMessage="true" sqref="B114" type="list">
      <formula1>$Y$136:$Y$145</formula1>
      <formula2>0</formula2>
    </dataValidation>
    <dataValidation allowBlank="true" operator="between" showDropDown="false" showErrorMessage="true" showInputMessage="true" sqref="B117:D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66666.6666666667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6000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314.320761824618</v>
      </c>
      <c r="E33" s="216"/>
      <c r="F33" s="63"/>
      <c r="G33" s="219" t="s">
        <v>356</v>
      </c>
      <c r="H33" s="460" t="n">
        <f aca="false">E21-E11</f>
        <v>22000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264.320761824618</v>
      </c>
      <c r="B36" s="103" t="n">
        <f aca="false">IF(B26="YES", H42, "")</f>
        <v>50</v>
      </c>
      <c r="C36" s="221"/>
      <c r="D36" s="184" t="n">
        <f aca="false">H31</f>
        <v>66666.6666666667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22000</v>
      </c>
      <c r="I39" s="238" t="n">
        <f aca="false">(I48*H46)+H44</f>
        <v>57161.3120530432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20000</v>
      </c>
      <c r="B40" s="107" t="n">
        <f aca="false">IF(B26="YES",H42,"0")</f>
        <v>50</v>
      </c>
      <c r="C40" s="107"/>
      <c r="D40" s="184" t="n">
        <f aca="false">I32</f>
        <v>6000</v>
      </c>
      <c r="E40" s="216"/>
      <c r="F40" s="63"/>
      <c r="G40" s="63" t="s">
        <v>106</v>
      </c>
      <c r="H40" s="238" t="n">
        <f aca="false">A40/1.2</f>
        <v>16666.6666666667</v>
      </c>
      <c r="I40" s="238" t="n">
        <f aca="false">H39-I39</f>
        <v>-35161.3120530432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50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13439.5850433384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</v>
      </c>
      <c r="B45" s="215"/>
      <c r="C45" s="463" t="n">
        <v>30</v>
      </c>
      <c r="D45" s="463"/>
      <c r="E45" s="216"/>
      <c r="F45" s="63"/>
      <c r="G45" s="63" t="s">
        <v>374</v>
      </c>
      <c r="H45" s="238" t="n">
        <f aca="false">(H39-H44)</f>
        <v>8560.41495666158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32.3864644516332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264.320761824618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314.320761824618</v>
      </c>
      <c r="I48" s="238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314.320761824618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26400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37405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277.777777777778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264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162</v>
      </c>
      <c r="C73" s="215"/>
      <c r="D73" s="472" t="n">
        <f aca="false">B73+B71</f>
        <v>322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180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555</v>
      </c>
      <c r="C76" s="215"/>
      <c r="D76" s="291" t="n">
        <f aca="false">B76</f>
        <v>555</v>
      </c>
      <c r="E76" s="216"/>
      <c r="F76" s="63"/>
      <c r="G76" s="285" t="s">
        <v>281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12.3456790123457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473"/>
      <c r="D80" s="291" t="n">
        <f aca="false">B80</f>
        <v>100</v>
      </c>
      <c r="E80" s="466" t="n">
        <f aca="false">(D73+D76+D79+D80)/(B58+B57)</f>
        <v>35.4722222222222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11943.6666666667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331.768518518518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264.320761824618</v>
      </c>
      <c r="C83" s="473"/>
      <c r="D83" s="215"/>
      <c r="E83" s="466" t="n">
        <f aca="false">B83+E80+E77+E64</f>
        <v>589.916440836963</v>
      </c>
      <c r="F83" s="63"/>
      <c r="G83" s="305" t="s">
        <v>104</v>
      </c>
      <c r="H83" s="306" t="n">
        <f aca="false">H47</f>
        <v>264.320761824618</v>
      </c>
      <c r="I83" s="215"/>
      <c r="J83" s="215"/>
      <c r="K83" s="216"/>
      <c r="L83" s="63"/>
      <c r="M83" s="305" t="s">
        <v>104</v>
      </c>
      <c r="N83" s="306" t="n">
        <f aca="false">H47</f>
        <v>264.320761824618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21459.2140923529</v>
      </c>
      <c r="C85" s="473"/>
      <c r="D85" s="473"/>
      <c r="E85" s="466" t="n">
        <f aca="false">B85/(B58+B57)</f>
        <v>596.089280343136</v>
      </c>
      <c r="F85" s="63"/>
      <c r="G85" s="288" t="s">
        <v>114</v>
      </c>
      <c r="H85" s="131" t="n">
        <f aca="false">((H83*H29)+H81)*1.2</f>
        <v>12697.5569108235</v>
      </c>
      <c r="I85" s="215"/>
      <c r="J85" s="215"/>
      <c r="K85" s="216"/>
      <c r="L85" s="63"/>
      <c r="M85" s="288" t="s">
        <v>114</v>
      </c>
      <c r="N85" s="131" t="n">
        <f aca="false">((N83*H29)+N81)</f>
        <v>10237.5474256862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181.784387228484</v>
      </c>
      <c r="C86" s="473" t="s">
        <v>230</v>
      </c>
      <c r="D86" s="215"/>
      <c r="E86" s="466" t="n">
        <f aca="false">B86/(B58+B57)</f>
        <v>5.04956631190232</v>
      </c>
      <c r="F86" s="63"/>
      <c r="G86" s="214" t="s">
        <v>115</v>
      </c>
      <c r="H86" s="300" t="n">
        <f aca="false">((((H83*H29)+H81))/(1-H70))*H70</f>
        <v>89.6358394269508</v>
      </c>
      <c r="I86" s="215"/>
      <c r="J86" s="215"/>
      <c r="K86" s="216"/>
      <c r="L86" s="63"/>
      <c r="M86" s="214" t="s">
        <v>115</v>
      </c>
      <c r="N86" s="300" t="n">
        <f aca="false">(N85/(1-N70))*N70</f>
        <v>86.7238789590201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21640.9984795814</v>
      </c>
      <c r="C87" s="473"/>
      <c r="D87" s="475"/>
      <c r="E87" s="466" t="n">
        <f aca="false">E86+E85</f>
        <v>601.138846655039</v>
      </c>
      <c r="F87" s="63"/>
      <c r="G87" s="285" t="s">
        <v>116</v>
      </c>
      <c r="H87" s="133" t="n">
        <f aca="false">IF(H110="YES",((H85+H86)-K114),(H85+H86))</f>
        <v>12787.1927502504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10324.2713046453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65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210.731707317073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175.609756097561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601.138846655038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311.882750006108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251.81149523525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666.138846655038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522.614457323181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427.421251332811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311.882750006108</v>
      </c>
      <c r="H127" s="177" t="n">
        <f aca="false">IF(G105="YES", H89*H57, 0)</f>
        <v>1264.39024390244</v>
      </c>
      <c r="I127" s="177"/>
      <c r="J127" s="334" t="n">
        <f aca="false">H91</f>
        <v>522.614457323181</v>
      </c>
      <c r="K127" s="216"/>
      <c r="L127" s="63"/>
      <c r="M127" s="333" t="n">
        <f aca="false">N90</f>
        <v>251.81149523525</v>
      </c>
      <c r="N127" s="177" t="n">
        <f aca="false">IF(M105="YES", N89*N57, 0)</f>
        <v>1053.65853658537</v>
      </c>
      <c r="O127" s="177"/>
      <c r="P127" s="177" t="n">
        <f aca="false">N91</f>
        <v>427.421251332811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601.138846655038</v>
      </c>
      <c r="B128" s="321" t="n">
        <f aca="false">IF(A105="YES", B89, 0)</f>
        <v>65</v>
      </c>
      <c r="C128" s="325"/>
      <c r="D128" s="321" t="n">
        <f aca="false">B91</f>
        <v>666.138846655038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601.138846655038</v>
      </c>
      <c r="C131" s="317"/>
      <c r="D131" s="38" t="n">
        <f aca="false">IF(A105="YES", B89*B57, 0)</f>
        <v>65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1871.29650003665</v>
      </c>
      <c r="H133" s="103" t="n">
        <f aca="false">IF(G105="YES", H89*H57, 0)</f>
        <v>1264.39024390244</v>
      </c>
      <c r="I133" s="221"/>
      <c r="J133" s="184" t="n">
        <f aca="false">H91*H57</f>
        <v>3135.68674393909</v>
      </c>
      <c r="K133" s="216"/>
      <c r="L133" s="63"/>
      <c r="M133" s="185" t="n">
        <f aca="false">N90*N57</f>
        <v>1510.8689714115</v>
      </c>
      <c r="N133" s="103" t="n">
        <f aca="false">IF(M105="YES", N89*N57, 0)</f>
        <v>1053.65853658537</v>
      </c>
      <c r="O133" s="221"/>
      <c r="P133" s="184" t="n">
        <f aca="false">N91*N57</f>
        <v>2564.52750799687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666.138846655038</v>
      </c>
      <c r="B134" s="38" t="n">
        <f aca="false">E114</f>
        <v>4000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601.138846655038</v>
      </c>
      <c r="B137" s="38" t="n">
        <f aca="false">IF(A105="YES", B89, 0)</f>
        <v>65</v>
      </c>
      <c r="C137" s="317"/>
      <c r="D137" s="38" t="n">
        <f aca="false">B91</f>
        <v>666.138846655038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26.9316</v>
      </c>
      <c r="B140" s="343" t="n">
        <f aca="false">IF(A105="YES", B61*0.000002, 0)*1.2*100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36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36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264</v>
      </c>
      <c r="B148" s="103" t="n">
        <f aca="false">B102</f>
        <v>400</v>
      </c>
      <c r="C148" s="38"/>
      <c r="D148" s="38" t="n">
        <f aca="false">IF(A105="YES", (B40*B105)*B125, 0)*0.1</f>
        <v>54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817.99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522.614457323181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427.421251332811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666.138846655038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601.138846655038</v>
      </c>
      <c r="B177" s="355" t="n">
        <f aca="false">IF(A105="YES", B89, 0)</f>
        <v>65</v>
      </c>
      <c r="C177" s="357"/>
      <c r="D177" s="355" t="n">
        <f aca="false">B91</f>
        <v>666.138846655038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601.138846655038</v>
      </c>
      <c r="C180" s="353"/>
      <c r="D180" s="103" t="n">
        <f aca="false">IF(A105="YES", B89*B57, 0)</f>
        <v>65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666.138846655038</v>
      </c>
      <c r="B183" s="103" t="n">
        <f aca="false">E114</f>
        <v>4000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601.138846655038</v>
      </c>
      <c r="B186" s="103" t="n">
        <f aca="false">IF(A105="YES", B89, 0)</f>
        <v>65</v>
      </c>
      <c r="C186" s="353"/>
      <c r="D186" s="103" t="n">
        <f aca="false">B91</f>
        <v>666.138846655038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26.9316</v>
      </c>
      <c r="B189" s="365" t="n">
        <f aca="false">B140</f>
        <v>8.9772</v>
      </c>
      <c r="C189" s="353"/>
      <c r="D189" s="365" t="n">
        <f aca="false">A189+B189</f>
        <v>35.9088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264</v>
      </c>
      <c r="B197" s="103" t="n">
        <f aca="false">B102</f>
        <v>400</v>
      </c>
      <c r="C197" s="103"/>
      <c r="D197" s="103" t="n">
        <f aca="false">IF(A105="YES", (B40*B105)*B125, 0)*0.1</f>
        <v>54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817.99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264</v>
      </c>
      <c r="C211" s="320" t="s">
        <v>217</v>
      </c>
      <c r="D211" s="370" t="n">
        <f aca="false">B225+E221+B221+B223</f>
        <v>879.99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10615.99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264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10615.99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540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322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181.784387228484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40" activeCellId="0" sqref="H14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 t="n">
        <v>23125</v>
      </c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 t="n">
        <v>0</v>
      </c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 t="n">
        <v>0</v>
      </c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394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395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396</v>
      </c>
      <c r="C35" s="223"/>
      <c r="D35" s="223" t="s">
        <v>397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47937.5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393</v>
      </c>
      <c r="C38" s="223"/>
      <c r="D38" s="104" t="s">
        <v>390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53630.7266140654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549.234375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47937.5</v>
      </c>
      <c r="C81" s="93"/>
      <c r="D81" s="93"/>
      <c r="E81" s="113"/>
      <c r="F81" s="25" t="s">
        <v>105</v>
      </c>
      <c r="G81" s="27" t="n">
        <f aca="false">B81</f>
        <v>47937.5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3912.46147414419</v>
      </c>
      <c r="C86" s="93" t="n">
        <f aca="false">(B82/((1+B84)^(B85+1)))</f>
        <v>3912.46147414419</v>
      </c>
      <c r="D86" s="93"/>
      <c r="E86" s="113"/>
      <c r="F86" s="31" t="s">
        <v>110</v>
      </c>
      <c r="G86" s="33" t="n">
        <f aca="false">(G82/((1+G84)^(G85+1)))</f>
        <v>4482.47999407216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26.0257317247775</v>
      </c>
      <c r="C87" s="93" t="n">
        <f aca="false">((1-(1/((1+B84)^B85)))/B84)</f>
        <v>26.0257317247775</v>
      </c>
      <c r="D87" s="93"/>
      <c r="E87" s="113"/>
      <c r="F87" s="31" t="s">
        <v>111</v>
      </c>
      <c r="G87" s="33" t="n">
        <f aca="false">((1-(1/((1+G84)^G85)))/G84)</f>
        <v>27.750948281323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44025.0385258558</v>
      </c>
      <c r="C88" s="93" t="n">
        <f aca="false">B81-B86</f>
        <v>44025.0385258558</v>
      </c>
      <c r="D88" s="93"/>
      <c r="E88" s="113"/>
      <c r="F88" s="31" t="s">
        <v>112</v>
      </c>
      <c r="G88" s="33" t="n">
        <f aca="false">G81-G86</f>
        <v>43455.0200059278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1691.59657032591</v>
      </c>
      <c r="C89" s="93" t="n">
        <f aca="false">(B88/B87)</f>
        <v>1691.59657032591</v>
      </c>
      <c r="D89" s="93"/>
      <c r="E89" s="113"/>
      <c r="F89" s="31" t="s">
        <v>113</v>
      </c>
      <c r="G89" s="33" t="n">
        <f aca="false">(G88/G87)</f>
        <v>1565.89315670968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54131.090250429</v>
      </c>
      <c r="C90" s="93"/>
      <c r="D90" s="93"/>
      <c r="E90" s="113"/>
      <c r="F90" s="31" t="s">
        <v>114</v>
      </c>
      <c r="G90" s="33" t="n">
        <f aca="false">((G89*(G85))+G77)</f>
        <v>50108.5810147096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54131.090250429</v>
      </c>
      <c r="C92" s="93"/>
      <c r="D92" s="93"/>
      <c r="E92" s="113"/>
      <c r="F92" s="56" t="s">
        <v>116</v>
      </c>
      <c r="G92" s="65" t="n">
        <f aca="false">(G90+G91)</f>
        <v>50108.5810147096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1691.59657032591</v>
      </c>
      <c r="C95" s="93"/>
      <c r="D95" s="93"/>
      <c r="E95" s="113"/>
      <c r="F95" s="95" t="s">
        <v>118</v>
      </c>
      <c r="G95" s="96" t="n">
        <f aca="false">G92/(G85)</f>
        <v>1565.89315670968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1691.59657032591</v>
      </c>
      <c r="C96" s="93"/>
      <c r="D96" s="93"/>
      <c r="E96" s="113"/>
      <c r="F96" s="97" t="s">
        <v>119</v>
      </c>
      <c r="G96" s="98" t="n">
        <f aca="false">G94+G95</f>
        <v>1565.89315670968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393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400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389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399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58585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58585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-39947.9166666667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58585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1691.59657032591</v>
      </c>
      <c r="B167" s="177" t="str">
        <f aca="false">B94</f>
        <v>0</v>
      </c>
      <c r="C167" s="174"/>
      <c r="D167" s="174"/>
      <c r="E167" s="177" t="n">
        <f aca="false">B96</f>
        <v>1691.59657032591</v>
      </c>
      <c r="F167" s="23"/>
      <c r="G167" s="23" t="n">
        <f aca="false">ROUND(G95, 2)</f>
        <v>1565.89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700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58585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58585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1546.09025042901</v>
      </c>
      <c r="B182" s="103" t="str">
        <f aca="false">B114</f>
        <v>239.99</v>
      </c>
      <c r="C182" s="103"/>
      <c r="D182" s="23"/>
      <c r="E182" s="103" t="n">
        <f aca="false">E179+A182+B182+A185</f>
        <v>60381.080250429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13.8924</v>
      </c>
      <c r="B188" s="103" t="n">
        <f aca="false">(G158*B67)/1.2</f>
        <v>457.6953125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557.686979166667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1691.59657032591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-2476.52</v>
      </c>
      <c r="B201" s="186" t="n">
        <f aca="false">E179+A201+B182+A185</f>
        <v>56358.47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1691.59657032591</v>
      </c>
      <c r="B212" s="177" t="str">
        <f aca="false">B167</f>
        <v>0</v>
      </c>
      <c r="C212" s="174"/>
      <c r="D212" s="174"/>
      <c r="E212" s="177" t="n">
        <f aca="false">E167</f>
        <v>1691.59657032591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58585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58585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1546.09025042901</v>
      </c>
      <c r="B224" s="103" t="str">
        <f aca="false">B182</f>
        <v>239.99</v>
      </c>
      <c r="C224" s="103"/>
      <c r="D224" s="113"/>
      <c r="E224" s="103" t="n">
        <f aca="false">E182</f>
        <v>60381.080250429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1691.59657032591</v>
      </c>
      <c r="B230" s="103" t="str">
        <f aca="false">B167</f>
        <v>0</v>
      </c>
      <c r="C230" s="186"/>
      <c r="D230" s="186"/>
      <c r="E230" s="103" t="n">
        <f aca="false">E167</f>
        <v>1691.59657032591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J18*0.000006*100*1.2</f>
        <v>41.6772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13.8924</v>
      </c>
      <c r="B236" s="103" t="n">
        <f aca="false">E233+A236</f>
        <v>55.5696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457.6953125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557.686979166667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4032.61025042901</v>
      </c>
      <c r="C254" s="197"/>
      <c r="D254" s="198" t="s">
        <v>216</v>
      </c>
      <c r="E254" s="198"/>
      <c r="F254" s="200" t="n">
        <f aca="false">F261+F267+F269+B270+B271</f>
        <v>549.234375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3583.36754209568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4032.61025042901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549.234375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3583.36754209568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2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394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395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396</v>
      </c>
      <c r="C35" s="223"/>
      <c r="D35" s="223" t="s">
        <v>397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47937.5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393</v>
      </c>
      <c r="C38" s="223"/>
      <c r="D38" s="104" t="s">
        <v>390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50283.7155087897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549.234375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47937.5</v>
      </c>
      <c r="C81" s="93"/>
      <c r="D81" s="93"/>
      <c r="E81" s="113"/>
      <c r="F81" s="25" t="s">
        <v>105</v>
      </c>
      <c r="G81" s="27" t="n">
        <f aca="false">B81</f>
        <v>47937.5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4379.8532592462</v>
      </c>
      <c r="C86" s="93" t="n">
        <f aca="false">(B82/((1+B84)^(B85+1)))</f>
        <v>4379.8532592462</v>
      </c>
      <c r="D86" s="93"/>
      <c r="E86" s="113"/>
      <c r="F86" s="31" t="s">
        <v>110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43557.6467407538</v>
      </c>
      <c r="C88" s="93" t="n">
        <f aca="false">B81-B86</f>
        <v>43557.6467407538</v>
      </c>
      <c r="D88" s="93"/>
      <c r="E88" s="113"/>
      <c r="F88" s="31" t="s">
        <v>112</v>
      </c>
      <c r="G88" s="33" t="n">
        <f aca="false">G81-G86</f>
        <v>42917.189207262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1587.00247328604</v>
      </c>
      <c r="C89" s="93" t="n">
        <f aca="false">(B88/B87)</f>
        <v>1587.00247328604</v>
      </c>
      <c r="D89" s="93"/>
      <c r="E89" s="113"/>
      <c r="F89" s="31" t="s">
        <v>113</v>
      </c>
      <c r="G89" s="33" t="n">
        <f aca="false">(G88/G87)</f>
        <v>1464.37240517979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50784.0791451533</v>
      </c>
      <c r="C90" s="93"/>
      <c r="D90" s="93"/>
      <c r="E90" s="113"/>
      <c r="F90" s="31" t="s">
        <v>114</v>
      </c>
      <c r="G90" s="33" t="n">
        <f aca="false">((G89*(G85))+G77)</f>
        <v>46859.9169657532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50784.0791451533</v>
      </c>
      <c r="C92" s="93"/>
      <c r="D92" s="93"/>
      <c r="E92" s="113"/>
      <c r="F92" s="56" t="s">
        <v>116</v>
      </c>
      <c r="G92" s="65" t="n">
        <f aca="false">(G90+G91)</f>
        <v>46859.9169657532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1587.00247328604</v>
      </c>
      <c r="C95" s="93"/>
      <c r="D95" s="93"/>
      <c r="E95" s="113"/>
      <c r="F95" s="95" t="s">
        <v>118</v>
      </c>
      <c r="G95" s="96" t="n">
        <f aca="false">G92/(G85)</f>
        <v>1464.37240517979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1587.00247328604</v>
      </c>
      <c r="C96" s="93"/>
      <c r="D96" s="93"/>
      <c r="E96" s="113"/>
      <c r="F96" s="97" t="s">
        <v>119</v>
      </c>
      <c r="G96" s="98" t="n">
        <f aca="false">G94+G95</f>
        <v>1464.37240517979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393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400</v>
      </c>
      <c r="C108" s="107"/>
      <c r="D108" s="107"/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389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406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 t="s">
        <v>18</v>
      </c>
      <c r="B120" s="116" t="n">
        <v>0</v>
      </c>
      <c r="C120" s="117" t="s">
        <v>148</v>
      </c>
      <c r="D120" s="116" t="s">
        <v>147</v>
      </c>
      <c r="E120" s="118" t="n">
        <v>0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58585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58585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-39947.9166666667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58585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1587.00247328604</v>
      </c>
      <c r="B167" s="177" t="str">
        <f aca="false">B94</f>
        <v>0</v>
      </c>
      <c r="C167" s="174"/>
      <c r="D167" s="174"/>
      <c r="E167" s="177" t="n">
        <f aca="false">B96</f>
        <v>1587.00247328604</v>
      </c>
      <c r="F167" s="23"/>
      <c r="G167" s="23" t="n">
        <f aca="false">ROUND(G95, 2)</f>
        <v>1464.37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180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700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58585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58585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-1800.92085484668</v>
      </c>
      <c r="B182" s="103" t="str">
        <f aca="false">B114</f>
        <v>199.99</v>
      </c>
      <c r="C182" s="103"/>
      <c r="D182" s="23"/>
      <c r="E182" s="103" t="n">
        <f aca="false">E179+A182+(B182*1.2)+A185</f>
        <v>57034.0671451533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11.577</v>
      </c>
      <c r="B188" s="103" t="n">
        <f aca="false">(G158*B67)/1.2</f>
        <v>457.6953125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557.6853125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1587.00247328604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-5725.16</v>
      </c>
      <c r="B201" s="186" t="n">
        <f aca="false">E179+A201+(B182*1.2)+A185</f>
        <v>53109.828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1587.00247328604</v>
      </c>
      <c r="B212" s="177" t="str">
        <f aca="false">B167</f>
        <v>0</v>
      </c>
      <c r="C212" s="174"/>
      <c r="D212" s="174"/>
      <c r="E212" s="177" t="n">
        <f aca="false">E167</f>
        <v>1587.00247328604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58585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58585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-1800.92085484668</v>
      </c>
      <c r="B224" s="103" t="str">
        <f aca="false">B182</f>
        <v>199.99</v>
      </c>
      <c r="C224" s="103"/>
      <c r="D224" s="113"/>
      <c r="E224" s="103" t="n">
        <f aca="false">E182</f>
        <v>57034.0671451533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1587.00247328604</v>
      </c>
      <c r="B230" s="103" t="str">
        <f aca="false">B167</f>
        <v>0</v>
      </c>
      <c r="C230" s="186"/>
      <c r="D230" s="186"/>
      <c r="E230" s="103" t="n">
        <f aca="false">E167</f>
        <v>1587.00247328604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</f>
        <v>34.731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11.577</v>
      </c>
      <c r="B236" s="103" t="n">
        <f aca="false">E233+A236</f>
        <v>46.308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457.6953125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557.6853125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3934.23914515333</v>
      </c>
      <c r="C254" s="197"/>
      <c r="D254" s="198" t="s">
        <v>216</v>
      </c>
      <c r="E254" s="198"/>
      <c r="F254" s="200" t="n">
        <f aca="false">F261+F267+F269+B270+B271</f>
        <v>549.234375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3484.99477015333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B254</f>
        <v>3934.23914515333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549.234375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3484.99477015333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394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395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396</v>
      </c>
      <c r="C35" s="223"/>
      <c r="D35" s="223" t="s">
        <v>397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47937.5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393</v>
      </c>
      <c r="C38" s="223"/>
      <c r="D38" s="104" t="s">
        <v>390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53630.7266140654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549.234375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47937.5</v>
      </c>
      <c r="C81" s="93"/>
      <c r="D81" s="93"/>
      <c r="E81" s="113"/>
      <c r="F81" s="25" t="s">
        <v>105</v>
      </c>
      <c r="G81" s="27" t="n">
        <f aca="false">B81</f>
        <v>47937.5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3912.46147414419</v>
      </c>
      <c r="C86" s="93" t="n">
        <f aca="false">(B82/((1+B84)^(B85+1)))</f>
        <v>3912.46147414419</v>
      </c>
      <c r="D86" s="93"/>
      <c r="E86" s="113"/>
      <c r="F86" s="31" t="s">
        <v>110</v>
      </c>
      <c r="G86" s="33" t="n">
        <f aca="false">(G82/((1+G84)^(G85+1)))</f>
        <v>4482.47999407216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26.0257317247775</v>
      </c>
      <c r="C87" s="93" t="n">
        <f aca="false">((1-(1/((1+B84)^B85)))/B84)</f>
        <v>26.0257317247775</v>
      </c>
      <c r="D87" s="93"/>
      <c r="E87" s="113"/>
      <c r="F87" s="31" t="s">
        <v>111</v>
      </c>
      <c r="G87" s="33" t="n">
        <f aca="false">((1-(1/((1+G84)^G85)))/G84)</f>
        <v>27.750948281323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44025.0385258558</v>
      </c>
      <c r="C88" s="93" t="n">
        <f aca="false">B81-B86</f>
        <v>44025.0385258558</v>
      </c>
      <c r="D88" s="93"/>
      <c r="E88" s="113"/>
      <c r="F88" s="31" t="s">
        <v>112</v>
      </c>
      <c r="G88" s="33" t="n">
        <f aca="false">G81-G86</f>
        <v>43455.0200059278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1691.59657032591</v>
      </c>
      <c r="C89" s="93" t="n">
        <f aca="false">(B88/B87)</f>
        <v>1691.59657032591</v>
      </c>
      <c r="D89" s="93"/>
      <c r="E89" s="113"/>
      <c r="F89" s="31" t="s">
        <v>113</v>
      </c>
      <c r="G89" s="33" t="n">
        <f aca="false">(G88/G87)</f>
        <v>1565.89315670968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54131.090250429</v>
      </c>
      <c r="C90" s="93"/>
      <c r="D90" s="93"/>
      <c r="E90" s="113"/>
      <c r="F90" s="31" t="s">
        <v>114</v>
      </c>
      <c r="G90" s="33" t="n">
        <f aca="false">((G89*(G85))+G77)</f>
        <v>50108.5810147096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54131.090250429</v>
      </c>
      <c r="C92" s="93"/>
      <c r="D92" s="93"/>
      <c r="E92" s="113"/>
      <c r="F92" s="56" t="s">
        <v>116</v>
      </c>
      <c r="G92" s="65" t="n">
        <f aca="false">(G90+G91)</f>
        <v>50108.5810147096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1691.59657032591</v>
      </c>
      <c r="C95" s="93"/>
      <c r="D95" s="93"/>
      <c r="E95" s="113"/>
      <c r="F95" s="95" t="s">
        <v>118</v>
      </c>
      <c r="G95" s="96" t="n">
        <f aca="false">G92/(G85)</f>
        <v>1565.89315670968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1691.59657032591</v>
      </c>
      <c r="C96" s="93"/>
      <c r="D96" s="93"/>
      <c r="E96" s="113"/>
      <c r="F96" s="97" t="s">
        <v>119</v>
      </c>
      <c r="G96" s="98" t="n">
        <f aca="false">G94+G95</f>
        <v>1565.89315670968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271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393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405</v>
      </c>
      <c r="C108" s="107"/>
      <c r="D108" s="107"/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389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399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58585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58585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-39947.9166666667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58585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1691.59657032591</v>
      </c>
      <c r="B167" s="177" t="str">
        <f aca="false">B94</f>
        <v>0</v>
      </c>
      <c r="C167" s="174"/>
      <c r="D167" s="174"/>
      <c r="E167" s="177" t="n">
        <f aca="false">B96</f>
        <v>1691.59657032591</v>
      </c>
      <c r="F167" s="23"/>
      <c r="G167" s="23" t="n">
        <f aca="false">ROUND(G95, 2)</f>
        <v>1565.89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229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700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58585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58585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1546.09025042901</v>
      </c>
      <c r="B182" s="103" t="str">
        <f aca="false">B114</f>
        <v>239.99</v>
      </c>
      <c r="C182" s="103"/>
      <c r="D182" s="23"/>
      <c r="E182" s="103" t="n">
        <f aca="false">E179+A182+B182+A185</f>
        <v>60381.080250429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13.8924</v>
      </c>
      <c r="B188" s="103" t="n">
        <f aca="false">(G158*B67)/1.2</f>
        <v>457.6953125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557.686979166667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1691.59657032591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-2476.52</v>
      </c>
      <c r="B201" s="186" t="n">
        <f aca="false">E179+A201+B182+A185</f>
        <v>56358.47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1691.59657032591</v>
      </c>
      <c r="B212" s="177" t="str">
        <f aca="false">B167</f>
        <v>0</v>
      </c>
      <c r="C212" s="174"/>
      <c r="D212" s="174"/>
      <c r="E212" s="177" t="n">
        <f aca="false">E167</f>
        <v>1691.59657032591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58585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58585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1546.09025042901</v>
      </c>
      <c r="B224" s="103" t="str">
        <f aca="false">B182</f>
        <v>239.99</v>
      </c>
      <c r="C224" s="103"/>
      <c r="D224" s="113"/>
      <c r="E224" s="103" t="n">
        <f aca="false">E182</f>
        <v>60381.080250429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1691.59657032591</v>
      </c>
      <c r="B230" s="103" t="str">
        <f aca="false">B167</f>
        <v>0</v>
      </c>
      <c r="C230" s="186"/>
      <c r="D230" s="186"/>
      <c r="E230" s="103" t="n">
        <f aca="false">E167</f>
        <v>1691.59657032591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13.8924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457.6953125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557.686979166667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4032.61025042901</v>
      </c>
      <c r="C254" s="197"/>
      <c r="D254" s="198" t="s">
        <v>216</v>
      </c>
      <c r="E254" s="198"/>
      <c r="F254" s="200" t="n">
        <f aca="false">F261+F267+F269+B270+B271</f>
        <v>549.234375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3583.36754209568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4032.61025042901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549.234375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3583.36754209568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19837.5</v>
      </c>
      <c r="C3" s="498" t="n">
        <v>479.17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19837.5</v>
      </c>
      <c r="C7" s="291" t="n">
        <f aca="false">C3-C6</f>
        <v>479.17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265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20316.67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20866.67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4173.334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210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25305.004</v>
      </c>
      <c r="F15" s="63"/>
      <c r="G15" s="274" t="n">
        <f aca="false">E15</f>
        <v>25305.004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25040.004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25305.004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4.38</v>
      </c>
      <c r="E32" s="226"/>
      <c r="F32" s="63"/>
      <c r="G32" s="227" t="s">
        <v>243</v>
      </c>
      <c r="H32" s="225" t="str">
        <f aca="false">A41</f>
        <v>4.38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504.38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384</v>
      </c>
      <c r="B41" s="241" t="n">
        <f aca="false">IF(B38="YES", D38+A41, D38)</f>
        <v>504.38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4.38</v>
      </c>
      <c r="I44" s="394" t="n">
        <f aca="false">((A41*(B35-1))+D32)/B35</f>
        <v>4.38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505.38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505.38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25040.004</v>
      </c>
      <c r="C67" s="215"/>
      <c r="D67" s="215"/>
      <c r="E67" s="216"/>
      <c r="F67" s="63"/>
      <c r="G67" s="214" t="s">
        <v>14</v>
      </c>
      <c r="H67" s="291" t="n">
        <f aca="false">G18</f>
        <v>25040.004</v>
      </c>
      <c r="I67" s="215"/>
      <c r="J67" s="215"/>
      <c r="K67" s="216"/>
      <c r="L67" s="63"/>
      <c r="M67" s="214" t="s">
        <v>14</v>
      </c>
      <c r="N67" s="291" t="n">
        <f aca="false">G18</f>
        <v>25040.004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1752.80028</v>
      </c>
      <c r="C70" s="215" t="n">
        <v>10000</v>
      </c>
      <c r="D70" s="291" t="n">
        <f aca="false">B70-A149</f>
        <v>1752.80028</v>
      </c>
      <c r="E70" s="216" t="n">
        <f aca="false">D70/12</f>
        <v>146.06669</v>
      </c>
      <c r="F70" s="63"/>
      <c r="G70" s="285" t="s">
        <v>90</v>
      </c>
      <c r="H70" s="133" t="n">
        <f aca="false">H67*H69</f>
        <v>1752.80028</v>
      </c>
      <c r="I70" s="215"/>
      <c r="J70" s="291" t="n">
        <f aca="false">H70-G151</f>
        <v>1752.80028</v>
      </c>
      <c r="K70" s="216"/>
      <c r="L70" s="63"/>
      <c r="M70" s="285" t="s">
        <v>90</v>
      </c>
      <c r="N70" s="133" t="n">
        <f aca="false">N67*N69</f>
        <v>1752.80028</v>
      </c>
      <c r="O70" s="215"/>
      <c r="P70" s="291" t="n">
        <f aca="false">N70-M151</f>
        <v>1752.80028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125.20002</v>
      </c>
      <c r="C73" s="215"/>
      <c r="D73" s="291"/>
      <c r="E73" s="216"/>
      <c r="F73" s="63"/>
      <c r="G73" s="285" t="s">
        <v>93</v>
      </c>
      <c r="H73" s="133" t="n">
        <f aca="false">H67*H72</f>
        <v>125.20002</v>
      </c>
      <c r="I73" s="215"/>
      <c r="J73" s="291"/>
      <c r="K73" s="216"/>
      <c r="L73" s="63"/>
      <c r="M73" s="285" t="s">
        <v>93</v>
      </c>
      <c r="N73" s="133" t="n">
        <f aca="false">N67*N72</f>
        <v>125.20002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3033.46694666667</v>
      </c>
      <c r="C87" s="215"/>
      <c r="D87" s="215"/>
      <c r="E87" s="216"/>
      <c r="F87" s="63"/>
      <c r="G87" s="303" t="s">
        <v>102</v>
      </c>
      <c r="H87" s="304" t="n">
        <f aca="false">SUM(J70:J86)</f>
        <v>4879.30028</v>
      </c>
      <c r="I87" s="215"/>
      <c r="J87" s="215"/>
      <c r="K87" s="216"/>
      <c r="L87" s="63"/>
      <c r="M87" s="303" t="s">
        <v>102</v>
      </c>
      <c r="N87" s="304" t="n">
        <f aca="false">SUM(P70:P86)</f>
        <v>4866.80028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252.788912222222</v>
      </c>
      <c r="C88" s="215"/>
      <c r="D88" s="215"/>
      <c r="E88" s="216"/>
      <c r="F88" s="63"/>
      <c r="G88" s="214" t="s">
        <v>103</v>
      </c>
      <c r="H88" s="300" t="n">
        <f aca="false">H87/H29</f>
        <v>406.608356666667</v>
      </c>
      <c r="I88" s="215"/>
      <c r="J88" s="215"/>
      <c r="K88" s="216"/>
      <c r="L88" s="63"/>
      <c r="M88" s="214" t="s">
        <v>103</v>
      </c>
      <c r="N88" s="300" t="n">
        <f aca="false">N87/H29</f>
        <v>405.56669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9045.46694666667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13069.560336</v>
      </c>
      <c r="I91" s="215"/>
      <c r="J91" s="215"/>
      <c r="K91" s="216"/>
      <c r="L91" s="63"/>
      <c r="M91" s="288" t="s">
        <v>114</v>
      </c>
      <c r="N91" s="131" t="n">
        <f aca="false">((N89*H29)+N87)</f>
        <v>10878.80028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76.6255772004841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92.2619225010085</v>
      </c>
      <c r="I92" s="215"/>
      <c r="J92" s="215"/>
      <c r="K92" s="216"/>
      <c r="L92" s="63"/>
      <c r="M92" s="214" t="s">
        <v>115</v>
      </c>
      <c r="N92" s="300" t="n">
        <f aca="false">(N91/(1-N76))*N76</f>
        <v>92.1560330294474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9122.09252386715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15161.822258501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12970.9563130294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5.694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760.174376988929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765.868376988929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342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s">
        <v>291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760.174376988929</v>
      </c>
      <c r="B134" s="321" t="n">
        <f aca="false">IF(A111="YES", B95, 0)</f>
        <v>5.694</v>
      </c>
      <c r="C134" s="326"/>
      <c r="D134" s="321" t="n">
        <f aca="false">B97</f>
        <v>765.868376988929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6841.56939290036</v>
      </c>
      <c r="C137" s="317"/>
      <c r="D137" s="38" t="n">
        <f aca="false">IF(A111="YES", B95*B63, 0)</f>
        <v>51.246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6892.81539290036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0.151830024</v>
      </c>
      <c r="H142" s="103" t="n">
        <f aca="false">IF(G111="YES", E15*0.000002, 0)</f>
        <v>0.050610008</v>
      </c>
      <c r="I142" s="103"/>
      <c r="J142" s="103" t="n">
        <f aca="false">G142+H142</f>
        <v>0.202440032</v>
      </c>
      <c r="K142" s="105"/>
      <c r="L142" s="63"/>
      <c r="M142" s="111" t="n">
        <f aca="false">E15*0.000006</f>
        <v>0.151830024</v>
      </c>
      <c r="N142" s="103" t="n">
        <f aca="false">IF(M111="YES", E15*0.000002, 0)</f>
        <v>0.050610008</v>
      </c>
      <c r="O142" s="103"/>
      <c r="P142" s="103" t="n">
        <f aca="false">M142+N142</f>
        <v>0.202440032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760.174376988929</v>
      </c>
      <c r="B143" s="38" t="n">
        <f aca="false">IF(A111="YES", B95, 0)</f>
        <v>5.694</v>
      </c>
      <c r="C143" s="317"/>
      <c r="D143" s="38" t="n">
        <f aca="false">B97</f>
        <v>765.868376988929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104.33335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104.33335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18.02880288</v>
      </c>
      <c r="B146" s="343" t="n">
        <f aca="false">G18*0.000002 *1.2*100</f>
        <v>6.00960096</v>
      </c>
      <c r="C146" s="317"/>
      <c r="D146" s="343" t="n">
        <f aca="false">A146+B146</f>
        <v>24.03840384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1.0512</v>
      </c>
      <c r="H148" s="103" t="n">
        <f aca="false">G108-100</f>
        <v>139.988</v>
      </c>
      <c r="I148" s="103"/>
      <c r="J148" s="103" t="n">
        <f aca="false">(H145+J145+G148+H148)-H151</f>
        <v>1325.37255</v>
      </c>
      <c r="K148" s="105"/>
      <c r="L148" s="63"/>
      <c r="M148" s="111" t="n">
        <f aca="false">IF(M111="YES", ((A41*N111)*0.1)*(M133), 0)</f>
        <v>1.0512</v>
      </c>
      <c r="N148" s="103" t="n">
        <f aca="false">M108-100</f>
        <v>99.99</v>
      </c>
      <c r="O148" s="103"/>
      <c r="P148" s="103" t="n">
        <f aca="false">(N145+P145+M148+N148)-N151</f>
        <v>1285.37455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125.20002</v>
      </c>
      <c r="B154" s="38" t="n">
        <f aca="false">B108</f>
        <v>400</v>
      </c>
      <c r="C154" s="38"/>
      <c r="D154" s="38" t="n">
        <f aca="false">IF(A111="YES", (A41/100*B111)*B131, 0)*0.1</f>
        <v>1.5768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626.76682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765.868376988929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760.174376988929</v>
      </c>
      <c r="B177" s="355" t="n">
        <f aca="false">IF(A111="YES", B95, 0)</f>
        <v>5.694</v>
      </c>
      <c r="C177" s="358"/>
      <c r="D177" s="355" t="n">
        <f aca="false">B91</f>
        <v>9045.46694666667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6841.56939290036</v>
      </c>
      <c r="C180" s="353"/>
      <c r="D180" s="103" t="n">
        <f aca="false">IF(A111="YES", B95*B63, 0)</f>
        <v>51.246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6892.81539290036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760.174376988929</v>
      </c>
      <c r="B186" s="103" t="n">
        <f aca="false">IF(A111="YES", B95, 0)</f>
        <v>5.694</v>
      </c>
      <c r="C186" s="353"/>
      <c r="D186" s="103" t="n">
        <f aca="false">B97</f>
        <v>765.868376988929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18.02880288</v>
      </c>
      <c r="B189" s="365" t="n">
        <f aca="false">G18*0.000002 *1.2*100</f>
        <v>6.00960096</v>
      </c>
      <c r="C189" s="353"/>
      <c r="D189" s="365" t="n">
        <f aca="false">A189+B189</f>
        <v>24.03840384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125.20002</v>
      </c>
      <c r="B197" s="103" t="n">
        <f aca="false">B108</f>
        <v>400</v>
      </c>
      <c r="C197" s="103"/>
      <c r="D197" s="103" t="n">
        <f aca="false">IF(A111="YES", (A41/100*B111)*B131, 0)*0.1</f>
        <v>1.5768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626.76682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1752.80028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125.20002</v>
      </c>
      <c r="C211" s="320" t="s">
        <v>217</v>
      </c>
      <c r="D211" s="370" t="n">
        <f aca="false">B225+E221+B221+B223</f>
        <v>355.758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1983.35826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1752.80028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125.20002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1983.35826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15.768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76.6255772004841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9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21273</v>
      </c>
      <c r="F15" s="63"/>
      <c r="G15" s="274" t="n">
        <f aca="false">E15</f>
        <v>21273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21273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243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389</v>
      </c>
      <c r="C38" s="223"/>
      <c r="D38" s="104" t="s">
        <v>390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391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20928</v>
      </c>
      <c r="C67" s="215"/>
      <c r="D67" s="215"/>
      <c r="E67" s="216"/>
      <c r="F67" s="63"/>
      <c r="G67" s="214" t="s">
        <v>14</v>
      </c>
      <c r="H67" s="291" t="n">
        <f aca="false">G18</f>
        <v>20928</v>
      </c>
      <c r="I67" s="215"/>
      <c r="J67" s="215"/>
      <c r="K67" s="216"/>
      <c r="L67" s="63"/>
      <c r="M67" s="214" t="s">
        <v>14</v>
      </c>
      <c r="N67" s="291" t="n">
        <f aca="false">G18</f>
        <v>20928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1464.96</v>
      </c>
      <c r="C70" s="215" t="n">
        <v>10000.0</v>
      </c>
      <c r="D70" s="291" t="n">
        <f aca="false">B70-A149</f>
        <v>1464.96</v>
      </c>
      <c r="E70" s="216" t="n">
        <f aca="false">D70/12</f>
        <v>122.08</v>
      </c>
      <c r="F70" s="63"/>
      <c r="G70" s="285" t="s">
        <v>90</v>
      </c>
      <c r="H70" s="133" t="n">
        <f aca="false">H67*H69</f>
        <v>1464.96</v>
      </c>
      <c r="I70" s="215"/>
      <c r="J70" s="291" t="n">
        <f aca="false">H70-G151</f>
        <v>1464.96</v>
      </c>
      <c r="K70" s="216"/>
      <c r="L70" s="63"/>
      <c r="M70" s="285" t="s">
        <v>90</v>
      </c>
      <c r="N70" s="133" t="n">
        <f aca="false">N67*N69</f>
        <v>1464.96</v>
      </c>
      <c r="O70" s="215"/>
      <c r="P70" s="291" t="n">
        <f aca="false">N70-M151</f>
        <v>1464.96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106.365</v>
      </c>
      <c r="C73" s="215"/>
      <c r="D73" s="291"/>
      <c r="E73" s="216"/>
      <c r="F73" s="63"/>
      <c r="G73" s="285" t="s">
        <v>93</v>
      </c>
      <c r="H73" s="133" t="n">
        <f aca="false">H67*H72</f>
        <v>104.64</v>
      </c>
      <c r="I73" s="215"/>
      <c r="J73" s="291"/>
      <c r="K73" s="216"/>
      <c r="L73" s="63"/>
      <c r="M73" s="285" t="s">
        <v>93</v>
      </c>
      <c r="N73" s="133" t="n">
        <f aca="false">N67*N72</f>
        <v>104.64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165.0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355.0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2078.96</v>
      </c>
      <c r="C87" s="215"/>
      <c r="D87" s="215"/>
      <c r="E87" s="216"/>
      <c r="F87" s="63"/>
      <c r="G87" s="303" t="s">
        <v>102</v>
      </c>
      <c r="H87" s="304" t="n">
        <f aca="false">SUM(J70:J86)</f>
        <v>4591.46</v>
      </c>
      <c r="I87" s="215"/>
      <c r="J87" s="215"/>
      <c r="K87" s="216"/>
      <c r="L87" s="63"/>
      <c r="M87" s="303" t="s">
        <v>102</v>
      </c>
      <c r="N87" s="304" t="n">
        <f aca="false">SUM(P70:P86)</f>
        <v>4578.96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173.246666666667</v>
      </c>
      <c r="C88" s="215"/>
      <c r="D88" s="215"/>
      <c r="E88" s="216"/>
      <c r="F88" s="63"/>
      <c r="G88" s="214" t="s">
        <v>103</v>
      </c>
      <c r="H88" s="300" t="n">
        <f aca="false">H87/H29</f>
        <v>382.621666666667</v>
      </c>
      <c r="I88" s="215"/>
      <c r="J88" s="215"/>
      <c r="K88" s="216"/>
      <c r="L88" s="63"/>
      <c r="M88" s="214" t="s">
        <v>103</v>
      </c>
      <c r="N88" s="300" t="n">
        <f aca="false">N87/H29</f>
        <v>381.58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9709.152</v>
      </c>
      <c r="C91" s="215"/>
      <c r="D91" s="215"/>
      <c r="E91" s="216"/>
      <c r="F91" s="63"/>
      <c r="G91" s="288" t="s">
        <v>114</v>
      </c>
      <c r="H91" s="131" t="n">
        <f aca="false">((H89*H29)+H87)*1.2</f>
        <v>12724.152</v>
      </c>
      <c r="I91" s="215"/>
      <c r="J91" s="215"/>
      <c r="K91" s="216"/>
      <c r="L91" s="63"/>
      <c r="M91" s="288" t="s">
        <v>114</v>
      </c>
      <c r="N91" s="131" t="n">
        <f aca="false">((N89*H29)+N87)</f>
        <v>10590.96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68.5397983057685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89.8235820895522</v>
      </c>
      <c r="I92" s="215"/>
      <c r="J92" s="215"/>
      <c r="K92" s="216"/>
      <c r="L92" s="63"/>
      <c r="M92" s="214" t="s">
        <v>115</v>
      </c>
      <c r="N92" s="300" t="n">
        <f aca="false">(N91/(1-N76))*N76</f>
        <v>89.7176926179911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9777.69179830577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14813.9755820896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12680.677692618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814.807649858814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814.807649858814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389</v>
      </c>
      <c r="B111" s="312" t="n">
        <v>30.0</v>
      </c>
      <c r="C111" s="312"/>
      <c r="D111" s="107" t="s">
        <v>401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393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814.807649858814</v>
      </c>
      <c r="B134" s="321" t="n">
        <f aca="false">IF(A111="YES", B95, 0)</f>
        <v>0</v>
      </c>
      <c r="C134" s="326"/>
      <c r="D134" s="321" t="n">
        <f aca="false">B97</f>
        <v>814.807649858814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814.807649858814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814.807649858814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0.127638</v>
      </c>
      <c r="H142" s="103" t="n">
        <f aca="false">IF(G111="YES", E15*0.000002, 0)</f>
        <v>0.042546</v>
      </c>
      <c r="I142" s="103"/>
      <c r="J142" s="103" t="n">
        <f aca="false">G142+H142</f>
        <v>0.170184</v>
      </c>
      <c r="K142" s="105"/>
      <c r="L142" s="63"/>
      <c r="M142" s="111" t="n">
        <f aca="false">E15*0.000006</f>
        <v>0.127638</v>
      </c>
      <c r="N142" s="103" t="n">
        <f aca="false">IF(M111="YES", E15*0.000002, 0)</f>
        <v>0.042546</v>
      </c>
      <c r="O142" s="103"/>
      <c r="P142" s="103" t="n">
        <f aca="false">M142+N142</f>
        <v>0.170184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814.807649858814</v>
      </c>
      <c r="B143" s="38" t="n">
        <f aca="false">IF(A111="YES", B95, 0)</f>
        <v>0</v>
      </c>
      <c r="C143" s="317"/>
      <c r="D143" s="38" t="n">
        <f aca="false">B97</f>
        <v>814.807649858814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87.2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87.2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1307.188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1267.19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106.365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206.356666666667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814.807649858814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814.807649858814</v>
      </c>
      <c r="B177" s="355" t="n">
        <f aca="false">IF(A111="YES", B95, 0)</f>
        <v>0</v>
      </c>
      <c r="C177" s="358"/>
      <c r="D177" s="355" t="n">
        <f aca="false">B91</f>
        <v>9709.152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814.807649858814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814.807649858814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814.807649858814</v>
      </c>
      <c r="B186" s="103" t="n">
        <f aca="false">IF(A111="YES", B95, 0)</f>
        <v>0</v>
      </c>
      <c r="C186" s="353"/>
      <c r="D186" s="103" t="n">
        <f aca="false">B97</f>
        <v>814.807649858814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106.365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206.356666666667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1464.96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106.365</v>
      </c>
      <c r="C211" s="320" t="s">
        <v>217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1458.58666666667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106.365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1458.58666666667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68.5397983057685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true" showOutlineSymbols="true" defaultGridColor="true" view="normal" topLeftCell="A61" colorId="64" zoomScale="85" zoomScaleNormal="85" zoomScalePageLayoutView="100" workbookViewId="0">
      <selection pane="topLeft" activeCell="B75" activeCellId="0" sqref="B7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58535</v>
      </c>
      <c r="F15" s="63"/>
      <c r="G15" s="274" t="n">
        <f aca="false">E15</f>
        <v>58535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5.28</v>
      </c>
      <c r="E32" s="226"/>
      <c r="F32" s="63"/>
      <c r="G32" s="227" t="s">
        <v>243</v>
      </c>
      <c r="H32" s="225" t="str">
        <f aca="false">A41</f>
        <v>5.28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505.28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389</v>
      </c>
      <c r="C38" s="223"/>
      <c r="D38" s="104" t="s">
        <v>390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5.28</v>
      </c>
      <c r="B41" s="241" t="n">
        <f aca="false">IF(B38="YES", D38+A41, D38)</f>
        <v>505.28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5.28</v>
      </c>
      <c r="I44" s="394" t="n">
        <f aca="false">((A41*(B35-1))+D32)/B35</f>
        <v>5.28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506.28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506.28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10000.0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578.85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165.0</v>
      </c>
      <c r="C80" s="215"/>
      <c r="D80" s="215"/>
      <c r="E80" s="430" t="n">
        <f aca="false">E79+D82</f>
        <v>703.333333333333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355.0</v>
      </c>
      <c r="C81" s="215"/>
      <c r="D81" s="215"/>
      <c r="E81" s="216" t="n">
        <f aca="false">E80/12</f>
        <v>58.6111111111111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43.3333333333333</v>
      </c>
      <c r="C82" s="215"/>
      <c r="D82" s="291" t="n">
        <f aca="false">IF(A50="YES", 0, B82)</f>
        <v>43.3333333333333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5421.95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451.829166666667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11433.95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96.8587938684954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11530.8087938685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6.336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960.900732822375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967.236732822375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393</v>
      </c>
      <c r="B111" s="312" t="n">
        <v>0.0</v>
      </c>
      <c r="C111" s="312"/>
      <c r="D111" s="107" t="s">
        <v>401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393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960.900732822375</v>
      </c>
      <c r="B134" s="321" t="n">
        <f aca="false">IF(A111="YES", B95, 0)</f>
        <v>6.336</v>
      </c>
      <c r="C134" s="326"/>
      <c r="D134" s="321" t="n">
        <f aca="false">B97</f>
        <v>967.236732822375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960.900732822375</v>
      </c>
      <c r="C137" s="317"/>
      <c r="D137" s="38" t="n">
        <f aca="false">IF(A111="YES", B95*B63, 0)</f>
        <v>6.336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967.236732822375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0.35121</v>
      </c>
      <c r="H142" s="103" t="n">
        <f aca="false">IF(G111="YES", E15*0.000002, 0)</f>
        <v>0.11707</v>
      </c>
      <c r="I142" s="103"/>
      <c r="J142" s="103" t="n">
        <f aca="false">G142+H142</f>
        <v>0.46828</v>
      </c>
      <c r="K142" s="105"/>
      <c r="L142" s="63"/>
      <c r="M142" s="111" t="n">
        <f aca="false">E15*0.000006</f>
        <v>0.35121</v>
      </c>
      <c r="N142" s="103" t="n">
        <f aca="false">IF(M111="YES", E15*0.000002, 0)</f>
        <v>0.11707</v>
      </c>
      <c r="O142" s="103"/>
      <c r="P142" s="103" t="n">
        <f aca="false">M142+N142</f>
        <v>0.46828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960.900732822375</v>
      </c>
      <c r="B143" s="38" t="n">
        <f aca="false">IF(A111="YES", B95, 0)</f>
        <v>6.336</v>
      </c>
      <c r="C143" s="317"/>
      <c r="D143" s="38" t="n">
        <f aca="false">B97</f>
        <v>967.236732822375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1.2672</v>
      </c>
      <c r="H148" s="103" t="n">
        <f aca="false">G108-100</f>
        <v>139.988</v>
      </c>
      <c r="I148" s="103"/>
      <c r="J148" s="103" t="n">
        <f aca="false">(H145+J145+G148+H148)-H151</f>
        <v>1462.4427</v>
      </c>
      <c r="K148" s="105"/>
      <c r="L148" s="63"/>
      <c r="M148" s="111" t="n">
        <f aca="false">IF(M111="YES", ((A41*N111)*0.1)*(M133), 0)</f>
        <v>1.2672</v>
      </c>
      <c r="N148" s="103" t="n">
        <f aca="false">M108-100</f>
        <v>99.99</v>
      </c>
      <c r="O148" s="103"/>
      <c r="P148" s="103" t="n">
        <f aca="false">(N145+P145+M148+N148)-N151</f>
        <v>1422.4447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1.2672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1080.1072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967.236732822375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960.900732822375</v>
      </c>
      <c r="B177" s="355" t="n">
        <f aca="false">IF(A111="YES", B95, 0)</f>
        <v>6.336</v>
      </c>
      <c r="C177" s="358"/>
      <c r="D177" s="355" t="n">
        <f aca="false">B91</f>
        <v>11433.95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960.900732822375</v>
      </c>
      <c r="C180" s="353"/>
      <c r="D180" s="103" t="n">
        <f aca="false">IF(A111="YES", B95*B63, 0)</f>
        <v>6.336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967.236732822375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960.900732822375</v>
      </c>
      <c r="B186" s="103" t="n">
        <f aca="false">IF(A111="YES", B95, 0)</f>
        <v>6.336</v>
      </c>
      <c r="C186" s="353"/>
      <c r="D186" s="103" t="n">
        <f aca="false">B97</f>
        <v>967.236732822375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578.85</v>
      </c>
      <c r="B197" s="103" t="n">
        <f aca="false">B108</f>
        <v>400</v>
      </c>
      <c r="C197" s="103"/>
      <c r="D197" s="103" t="n">
        <f aca="false">IF(A111="YES", (A41/100*B111)*B131, 0)*0.1</f>
        <v>1.2672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1080.1072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578.85</v>
      </c>
      <c r="C211" s="320" t="s">
        <v>217</v>
      </c>
      <c r="D211" s="370" t="n">
        <f aca="false">B225+E221+B221+B223</f>
        <v>352.662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3825.762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578.85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3825.762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12.672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96.8587938684954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60</v>
      </c>
      <c r="E32" s="226"/>
      <c r="F32" s="63"/>
      <c r="G32" s="227" t="s">
        <v>243</v>
      </c>
      <c r="H32" s="225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560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389</v>
      </c>
      <c r="C38" s="223"/>
      <c r="D38" s="104" t="s">
        <v>390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407</v>
      </c>
      <c r="B41" s="241" t="n">
        <f aca="false">IF(B38="YES", D38+A41, D38)</f>
        <v>560</v>
      </c>
      <c r="C41" s="241"/>
      <c r="D41" s="104" t="s">
        <v>409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392</v>
      </c>
      <c r="B44" s="104" t="s">
        <v>410</v>
      </c>
      <c r="C44" s="104"/>
      <c r="D44" s="104" t="s">
        <v>416</v>
      </c>
      <c r="E44" s="104"/>
      <c r="F44" s="63"/>
      <c r="G44" s="63" t="s">
        <v>257</v>
      </c>
      <c r="H44" s="238" t="str">
        <f aca="false">H32</f>
        <v>60</v>
      </c>
      <c r="I44" s="394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411</v>
      </c>
      <c r="C47" s="429"/>
      <c r="D47" s="104" t="s">
        <v>411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561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339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10000.0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289.425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0.0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0.0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5332.61666666667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444.384722222222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11344.6166666667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96.1020371117386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11440.7187037784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78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953.393225314867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1031.39322531487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389</v>
      </c>
      <c r="B111" s="314" t="n">
        <v>30.0</v>
      </c>
      <c r="C111" s="314"/>
      <c r="D111" s="107" t="s">
        <v>401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393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953.393225314867</v>
      </c>
      <c r="B134" s="321" t="n">
        <f aca="false">IF(A111="YES", B95, 0)</f>
        <v>78</v>
      </c>
      <c r="C134" s="326"/>
      <c r="D134" s="321" t="n">
        <f aca="false">B97</f>
        <v>1031.39322531487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8580.53902783381</v>
      </c>
      <c r="C137" s="317"/>
      <c r="D137" s="38" t="n">
        <f aca="false">IF(A111="YES", B95*B63, 0)</f>
        <v>702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9282.53902783381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0.35151</v>
      </c>
      <c r="H142" s="103" t="n">
        <f aca="false">IF(G111="YES", E15*0.000002, 0)</f>
        <v>0.11717</v>
      </c>
      <c r="I142" s="103"/>
      <c r="J142" s="103" t="n">
        <f aca="false">G142+H142</f>
        <v>0.46868</v>
      </c>
      <c r="K142" s="105"/>
      <c r="L142" s="63"/>
      <c r="M142" s="111" t="n">
        <f aca="false">E15*0.000006</f>
        <v>0.35151</v>
      </c>
      <c r="N142" s="103" t="n">
        <f aca="false">IF(M111="YES", E15*0.000002, 0)</f>
        <v>0.11717</v>
      </c>
      <c r="O142" s="103"/>
      <c r="P142" s="103" t="n">
        <f aca="false">M142+N142</f>
        <v>0.46868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953.393225314867</v>
      </c>
      <c r="B143" s="38" t="n">
        <f aca="false">IF(A111="YES", B95, 0)</f>
        <v>78</v>
      </c>
      <c r="C143" s="317"/>
      <c r="D143" s="38" t="n">
        <f aca="false">B97</f>
        <v>1031.39322531487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14.4</v>
      </c>
      <c r="H148" s="103" t="n">
        <f aca="false">G108-100</f>
        <v>139.988</v>
      </c>
      <c r="I148" s="103"/>
      <c r="J148" s="103" t="n">
        <f aca="false">(H145+J145+G148+H148)-H151</f>
        <v>1475.5755</v>
      </c>
      <c r="K148" s="105"/>
      <c r="L148" s="63"/>
      <c r="M148" s="111" t="n">
        <f aca="false">IF(M111="YES", ((A41*N111)*0.1)*(M133), 0)</f>
        <v>14.4</v>
      </c>
      <c r="N148" s="103" t="n">
        <f aca="false">M108-100</f>
        <v>99.99</v>
      </c>
      <c r="O148" s="103"/>
      <c r="P148" s="103" t="n">
        <f aca="false">(N145+P145+M148+N148)-N151</f>
        <v>1435.5775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289.425</v>
      </c>
      <c r="B154" s="103" t="n">
        <f aca="false">B108</f>
        <v>400</v>
      </c>
      <c r="C154" s="38"/>
      <c r="D154" s="38" t="n">
        <f aca="false">IF(A111="YES", (A41/100*B111)*B131, 0)*0.1</f>
        <v>21.6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811.015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1031.39322531487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953.393225314867</v>
      </c>
      <c r="B177" s="355" t="n">
        <f aca="false">IF(A111="YES", B95, 0)</f>
        <v>78</v>
      </c>
      <c r="C177" s="358"/>
      <c r="D177" s="355" t="n">
        <f aca="false">B91</f>
        <v>11344.6166666667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8580.53902783381</v>
      </c>
      <c r="C180" s="353"/>
      <c r="D180" s="103" t="n">
        <f aca="false">IF(A111="YES", B95*B63, 0)</f>
        <v>702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9282.53902783381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953.393225314867</v>
      </c>
      <c r="B186" s="103" t="n">
        <f aca="false">IF(A111="YES", B95, 0)</f>
        <v>78</v>
      </c>
      <c r="C186" s="353"/>
      <c r="D186" s="103" t="n">
        <f aca="false">B97</f>
        <v>1031.39322531487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B108</f>
        <v>400</v>
      </c>
      <c r="C197" s="103"/>
      <c r="D197" s="103" t="n">
        <f aca="false">IF(A111="YES", (A41/100*B111)*B131, 0)*0.1</f>
        <v>21.6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811.015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555.99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4318.515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4318.515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216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96.1020371117386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12" colorId="64" zoomScale="85" zoomScaleNormal="85" zoomScalePageLayoutView="100" workbookViewId="0">
      <selection pane="topLeft" activeCell="B221" activeCellId="0" sqref="B221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19837.5</v>
      </c>
      <c r="C3" s="498" t="n">
        <v>479.17</v>
      </c>
      <c r="D3" s="498" t="n">
        <v>500.0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15.0</v>
      </c>
      <c r="C4" s="500" t="n">
        <v>15.0</v>
      </c>
      <c r="D4" s="500" t="n">
        <v>15.0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7.0</v>
      </c>
      <c r="C5" s="498" t="n">
        <v>7.0</v>
      </c>
      <c r="D5" s="498" t="n">
        <v>10.0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100.0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180.0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150.0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393</v>
      </c>
      <c r="C38" s="223"/>
      <c r="D38" s="104" t="s">
        <v>390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403</v>
      </c>
      <c r="B41" s="241" t="str">
        <f aca="false">IF(B38="YES", D38+A41, D38)</f>
        <v>500</v>
      </c>
      <c r="C41" s="241"/>
      <c r="D41" s="104" t="s">
        <v>409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392</v>
      </c>
      <c r="B44" s="104" t="s">
        <v>410</v>
      </c>
      <c r="C44" s="104"/>
      <c r="D44" s="104" t="s">
        <v>403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411</v>
      </c>
      <c r="C47" s="429"/>
      <c r="D47" s="104" t="s">
        <v>411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10000.0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289.425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165.0</v>
      </c>
      <c r="C80" s="215"/>
      <c r="D80" s="215"/>
      <c r="E80" s="430" t="n">
        <f aca="false">E79+D82</f>
        <v>659.833333333333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355.0</v>
      </c>
      <c r="C81" s="215"/>
      <c r="D81" s="215"/>
      <c r="E81" s="216" t="n">
        <f aca="false">E80/12</f>
        <v>54.9861111111111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45.8333333333333</v>
      </c>
      <c r="C82" s="215"/>
      <c r="D82" s="291" t="n">
        <f aca="false">IF(A50="YES", 0, B82)</f>
        <v>45.8333333333333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5378.45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448.204166666667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13668.54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96.4902985074627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13765.0302985075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1147.08585820896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1147.08585820896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0.0</v>
      </c>
      <c r="C108" s="107"/>
      <c r="D108" s="107" t="n">
        <v>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393</v>
      </c>
      <c r="B111" s="312" t="n">
        <v>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393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1147.08585820896</v>
      </c>
      <c r="B134" s="321" t="n">
        <f aca="false">IF(A111="YES", B95, 0)</f>
        <v>0</v>
      </c>
      <c r="C134" s="326"/>
      <c r="D134" s="321" t="n">
        <f aca="false">B97</f>
        <v>1147.08585820896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1147.08585820896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1147.08585820896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0.35151</v>
      </c>
      <c r="H142" s="103" t="n">
        <f aca="false">IF(G111="YES", E15*0.000002, 0)</f>
        <v>0.11717</v>
      </c>
      <c r="I142" s="103"/>
      <c r="J142" s="103" t="n">
        <f aca="false">G142+H142</f>
        <v>0.46868</v>
      </c>
      <c r="K142" s="105"/>
      <c r="L142" s="63"/>
      <c r="M142" s="111" t="n">
        <f aca="false">E15*0.000006</f>
        <v>0.35151</v>
      </c>
      <c r="N142" s="103" t="n">
        <f aca="false">IF(M111="YES", E15*0.000002, 0)</f>
        <v>0.11717</v>
      </c>
      <c r="O142" s="103"/>
      <c r="P142" s="103" t="n">
        <f aca="false">M142+N142</f>
        <v>0.46868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1147.08585820896</v>
      </c>
      <c r="B143" s="38" t="n">
        <f aca="false">IF(A111="YES", B95, 0)</f>
        <v>0</v>
      </c>
      <c r="C143" s="317"/>
      <c r="D143" s="38" t="n">
        <f aca="false">B97</f>
        <v>1147.08585820896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1461.1755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1421.1775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289.425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789.416666666667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1147.08585820896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1147.08585820896</v>
      </c>
      <c r="B177" s="355" t="n">
        <f aca="false">IF(A111="YES", B95, 0)</f>
        <v>0</v>
      </c>
      <c r="C177" s="358"/>
      <c r="D177" s="355" t="n">
        <f aca="false">B97</f>
        <v>1147.08585820896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1147.08585820896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1147.08585820896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1147.08585820896</v>
      </c>
      <c r="B186" s="103" t="n">
        <f aca="false">IF(A111="YES", B95, 0)</f>
        <v>0</v>
      </c>
      <c r="C186" s="353"/>
      <c r="D186" s="103" t="n">
        <f aca="false">B97</f>
        <v>1147.08585820896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789.416666666667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4102.51666666667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4102.51666666667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96.4902985074627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370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21273</v>
      </c>
      <c r="F15" s="63"/>
      <c r="G15" s="274" t="n">
        <f aca="false">E15</f>
        <v>21273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21273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389</v>
      </c>
      <c r="C38" s="223"/>
      <c r="D38" s="104" t="s">
        <v>390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404</v>
      </c>
      <c r="B41" s="241" t="str">
        <f aca="false">IF(B38="YES", D38+A41, D38)</f>
        <v>500</v>
      </c>
      <c r="C41" s="241"/>
      <c r="D41" s="104" t="s">
        <v>409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392</v>
      </c>
      <c r="B44" s="104" t="s">
        <v>410</v>
      </c>
      <c r="C44" s="104"/>
      <c r="D44" s="104" t="s">
        <v>411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411</v>
      </c>
      <c r="C47" s="429"/>
      <c r="D47" s="104" t="s">
        <v>411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20928</v>
      </c>
      <c r="C67" s="215"/>
      <c r="D67" s="215"/>
      <c r="E67" s="216"/>
      <c r="F67" s="63"/>
      <c r="G67" s="214" t="s">
        <v>14</v>
      </c>
      <c r="H67" s="291" t="n">
        <f aca="false">G18</f>
        <v>20928</v>
      </c>
      <c r="I67" s="215"/>
      <c r="J67" s="215"/>
      <c r="K67" s="216"/>
      <c r="L67" s="63"/>
      <c r="M67" s="214" t="s">
        <v>14</v>
      </c>
      <c r="N67" s="291" t="n">
        <f aca="false">G18</f>
        <v>20928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1464.96</v>
      </c>
      <c r="C70" s="215" t="n">
        <v>10000.0</v>
      </c>
      <c r="D70" s="291" t="n">
        <f aca="false">B70-A149</f>
        <v>1464.96</v>
      </c>
      <c r="E70" s="216" t="n">
        <f aca="false">D70/12</f>
        <v>122.08</v>
      </c>
      <c r="F70" s="63"/>
      <c r="G70" s="285" t="s">
        <v>90</v>
      </c>
      <c r="H70" s="133" t="n">
        <f aca="false">H67*H69</f>
        <v>1464.96</v>
      </c>
      <c r="I70" s="215"/>
      <c r="J70" s="291" t="n">
        <f aca="false">H70-G151</f>
        <v>1464.96</v>
      </c>
      <c r="K70" s="216"/>
      <c r="L70" s="63"/>
      <c r="M70" s="285" t="s">
        <v>90</v>
      </c>
      <c r="N70" s="133" t="n">
        <f aca="false">N67*N69</f>
        <v>1464.96</v>
      </c>
      <c r="O70" s="215"/>
      <c r="P70" s="291" t="n">
        <f aca="false">N70-M151</f>
        <v>1464.96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106.365</v>
      </c>
      <c r="C73" s="215"/>
      <c r="D73" s="291"/>
      <c r="E73" s="216"/>
      <c r="F73" s="63"/>
      <c r="G73" s="285" t="s">
        <v>93</v>
      </c>
      <c r="H73" s="133" t="n">
        <f aca="false">H67*H72</f>
        <v>104.64</v>
      </c>
      <c r="I73" s="215"/>
      <c r="J73" s="291"/>
      <c r="K73" s="216"/>
      <c r="L73" s="63"/>
      <c r="M73" s="285" t="s">
        <v>93</v>
      </c>
      <c r="N73" s="133" t="n">
        <f aca="false">N67*N72</f>
        <v>104.64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165.0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355.0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2745.62666666667</v>
      </c>
      <c r="C87" s="215"/>
      <c r="D87" s="215"/>
      <c r="E87" s="216"/>
      <c r="F87" s="63"/>
      <c r="G87" s="303" t="s">
        <v>102</v>
      </c>
      <c r="H87" s="304" t="n">
        <f aca="false">SUM(J70:J86)</f>
        <v>4591.46</v>
      </c>
      <c r="I87" s="215"/>
      <c r="J87" s="215"/>
      <c r="K87" s="216"/>
      <c r="L87" s="63"/>
      <c r="M87" s="303" t="s">
        <v>102</v>
      </c>
      <c r="N87" s="304" t="n">
        <f aca="false">SUM(P70:P86)</f>
        <v>4578.96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228.802222222222</v>
      </c>
      <c r="C88" s="215"/>
      <c r="D88" s="215"/>
      <c r="E88" s="216"/>
      <c r="F88" s="63"/>
      <c r="G88" s="214" t="s">
        <v>103</v>
      </c>
      <c r="H88" s="300" t="n">
        <f aca="false">H87/H29</f>
        <v>382.621666666667</v>
      </c>
      <c r="I88" s="215"/>
      <c r="J88" s="215"/>
      <c r="K88" s="216"/>
      <c r="L88" s="63"/>
      <c r="M88" s="214" t="s">
        <v>103</v>
      </c>
      <c r="N88" s="300" t="n">
        <f aca="false">N87/H29</f>
        <v>381.58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8757.62666666667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12724.152</v>
      </c>
      <c r="I91" s="215"/>
      <c r="J91" s="215"/>
      <c r="K91" s="216"/>
      <c r="L91" s="63"/>
      <c r="M91" s="288" t="s">
        <v>114</v>
      </c>
      <c r="N91" s="131" t="n">
        <f aca="false">((N89*H29)+N87)</f>
        <v>10590.96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74.1872367890278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89.8235820895522</v>
      </c>
      <c r="I92" s="215"/>
      <c r="J92" s="215"/>
      <c r="K92" s="216"/>
      <c r="L92" s="63"/>
      <c r="M92" s="214" t="s">
        <v>115</v>
      </c>
      <c r="N92" s="300" t="n">
        <f aca="false">(N91/(1-N76))*N76</f>
        <v>89.7176926179911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8831.81390345569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14813.9755820896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12680.677692618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735.984491954641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735.984491954641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389</v>
      </c>
      <c r="B111" s="312" t="n">
        <v>20.0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393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735.984491954641</v>
      </c>
      <c r="B134" s="321" t="n">
        <f aca="false">IF(A111="YES", B95, 0)</f>
        <v>0</v>
      </c>
      <c r="C134" s="326"/>
      <c r="D134" s="321" t="n">
        <f aca="false">B97</f>
        <v>735.984491954641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735.984491954641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735.984491954641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0.127638</v>
      </c>
      <c r="H142" s="103" t="n">
        <f aca="false">IF(G111="YES", E15*0.000002, 0)</f>
        <v>0.042546</v>
      </c>
      <c r="I142" s="103"/>
      <c r="J142" s="103" t="n">
        <f aca="false">G142+H142</f>
        <v>0.170184</v>
      </c>
      <c r="K142" s="105"/>
      <c r="L142" s="63"/>
      <c r="M142" s="111" t="n">
        <f aca="false">E15*0.000006</f>
        <v>0.127638</v>
      </c>
      <c r="N142" s="103" t="n">
        <f aca="false">IF(M111="YES", E15*0.000002, 0)</f>
        <v>0.042546</v>
      </c>
      <c r="O142" s="103"/>
      <c r="P142" s="103" t="n">
        <f aca="false">M142+N142</f>
        <v>0.170184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735.984491954641</v>
      </c>
      <c r="B143" s="38" t="n">
        <f aca="false">IF(A111="YES", B95, 0)</f>
        <v>0</v>
      </c>
      <c r="C143" s="317"/>
      <c r="D143" s="38" t="n">
        <f aca="false">B97</f>
        <v>735.984491954641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87.2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87.2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1307.188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1267.19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106.365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606.355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735.984491954641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735.984491954641</v>
      </c>
      <c r="B177" s="355" t="n">
        <f aca="false">IF(A111="YES", B95, 0)</f>
        <v>0</v>
      </c>
      <c r="C177" s="358"/>
      <c r="D177" s="355" t="n">
        <f aca="false">B91</f>
        <v>8757.62666666667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735.984491954641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735.984491954641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735.984491954641</v>
      </c>
      <c r="B186" s="103" t="n">
        <f aca="false">IF(A111="YES", B95, 0)</f>
        <v>0</v>
      </c>
      <c r="C186" s="353"/>
      <c r="D186" s="103" t="n">
        <f aca="false">B97</f>
        <v>735.984491954641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106.365</v>
      </c>
      <c r="B197" s="103" t="n">
        <f aca="false">B154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606.355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1464.96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106.365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1698.585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106.365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1698.585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74.1872367890278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650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58535</v>
      </c>
      <c r="I15" s="2"/>
      <c r="J15" s="17" t="n">
        <f aca="false">H15</f>
        <v>58535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58535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14.2424242424242</v>
      </c>
      <c r="E32" s="226"/>
      <c r="F32" s="63"/>
      <c r="G32" s="227" t="s">
        <v>243</v>
      </c>
      <c r="H32" s="225" t="n">
        <f aca="false">A41</f>
        <v>14.2424242424242</v>
      </c>
      <c r="I32" s="0"/>
      <c r="J32" s="44" t="s">
        <v>37</v>
      </c>
      <c r="K32" s="263" t="s">
        <v>394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395</v>
      </c>
      <c r="P34" s="212"/>
    </row>
    <row r="35" customFormat="false" ht="17.35" hidden="false" customHeight="false" outlineLevel="0" collapsed="false">
      <c r="A35" s="226" t="n">
        <f aca="false">B32+D32</f>
        <v>514.242424242424</v>
      </c>
      <c r="B35" s="223" t="s">
        <v>396</v>
      </c>
      <c r="C35" s="223"/>
      <c r="D35" s="223" t="s">
        <v>397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47887.5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393</v>
      </c>
      <c r="C38" s="223"/>
      <c r="D38" s="104" t="s">
        <v>390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14.2424242424242</v>
      </c>
      <c r="B41" s="241" t="n">
        <f aca="false">IF(B38="YES", D38+A41, D38)</f>
        <v>514.242424242424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14.2424242424242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514.606060606061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514.606060606061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50211.1778333742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548.765625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47887.5</v>
      </c>
      <c r="C81" s="93"/>
      <c r="D81" s="93"/>
      <c r="E81" s="113"/>
      <c r="F81" s="25" t="s">
        <v>105</v>
      </c>
      <c r="G81" s="27" t="n">
        <f aca="false">B81</f>
        <v>47887.5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4379.8532592462</v>
      </c>
      <c r="C86" s="93" t="n">
        <f aca="false">(B82/((1+B84)^(B85+1)))</f>
        <v>4379.8532592462</v>
      </c>
      <c r="D86" s="93"/>
      <c r="E86" s="113"/>
      <c r="F86" s="31" t="s">
        <v>110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43507.6467407538</v>
      </c>
      <c r="C88" s="93" t="n">
        <f aca="false">B81-B86</f>
        <v>43507.6467407538</v>
      </c>
      <c r="D88" s="93"/>
      <c r="E88" s="113"/>
      <c r="F88" s="31" t="s">
        <v>112</v>
      </c>
      <c r="G88" s="33" t="n">
        <f aca="false">G81-G86</f>
        <v>42867.189207262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1585.18074668688</v>
      </c>
      <c r="C89" s="93" t="n">
        <f aca="false">(B88/B87)</f>
        <v>1585.18074668688</v>
      </c>
      <c r="D89" s="93"/>
      <c r="E89" s="113"/>
      <c r="F89" s="31" t="s">
        <v>113</v>
      </c>
      <c r="G89" s="33" t="n">
        <f aca="false">(G88/G87)</f>
        <v>1462.666361014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50725.7838939803</v>
      </c>
      <c r="C90" s="93"/>
      <c r="D90" s="93"/>
      <c r="E90" s="113"/>
      <c r="F90" s="31" t="s">
        <v>114</v>
      </c>
      <c r="G90" s="33" t="n">
        <f aca="false">((G89*(G85))+G77)</f>
        <v>46805.323552448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50725.7838939803</v>
      </c>
      <c r="C92" s="93"/>
      <c r="D92" s="93"/>
      <c r="E92" s="113"/>
      <c r="F92" s="56" t="s">
        <v>116</v>
      </c>
      <c r="G92" s="65" t="n">
        <f aca="false">(G90+G91)</f>
        <v>46805.323552448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IF(B38="YES",((H36/B85)*(1+A108)),"0")</f>
        <v>19.09375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1585.18074668688</v>
      </c>
      <c r="C95" s="93"/>
      <c r="D95" s="93"/>
      <c r="E95" s="113"/>
      <c r="F95" s="95" t="s">
        <v>118</v>
      </c>
      <c r="G95" s="96" t="n">
        <f aca="false">G92/(G85)</f>
        <v>1462.666361014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1604.27449668688</v>
      </c>
      <c r="C96" s="93"/>
      <c r="D96" s="93"/>
      <c r="E96" s="113"/>
      <c r="F96" s="97" t="s">
        <v>119</v>
      </c>
      <c r="G96" s="98" t="n">
        <f aca="false">G94+G95</f>
        <v>1462.666361014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393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405</v>
      </c>
      <c r="C108" s="107"/>
      <c r="D108" s="107"/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389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406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58535</v>
      </c>
      <c r="H141" s="157" t="n">
        <f aca="false">(H135+H136+H139+H140+H137)-H138</f>
        <v>58535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58535</v>
      </c>
      <c r="H147" s="164" t="n">
        <f aca="false">H141-((H144*1.2)+(H145*1.2)+(H146*1.2)+(H142*1.2))</f>
        <v>58535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-39906.25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58535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1585.18074668688</v>
      </c>
      <c r="B167" s="177" t="n">
        <f aca="false">B94</f>
        <v>19.09375</v>
      </c>
      <c r="C167" s="174"/>
      <c r="D167" s="174"/>
      <c r="E167" s="177" t="n">
        <f aca="false">B96</f>
        <v>1604.27449668688</v>
      </c>
      <c r="F167" s="23"/>
      <c r="G167" s="23" t="n">
        <f aca="false">ROUND(G95, 2)</f>
        <v>1462.67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229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650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58535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58535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-1809.2161060197</v>
      </c>
      <c r="B182" s="103" t="str">
        <f aca="false">B114</f>
        <v>199.99</v>
      </c>
      <c r="C182" s="103"/>
      <c r="D182" s="23"/>
      <c r="E182" s="103" t="n">
        <f aca="false">E179+A182+(B182*1.2)+A185</f>
        <v>56975.7718939803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11.577</v>
      </c>
      <c r="B188" s="103" t="n">
        <f aca="false">(G158*B67)/1.2</f>
        <v>457.3046875</v>
      </c>
      <c r="C188" s="93"/>
      <c r="D188" s="93"/>
      <c r="E188" s="103" t="n">
        <f aca="false">IF(E105 ="YES" , (H36*A108)*0.1 , 0)</f>
        <v>14.1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571.3946875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1604.27449668688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-5729.56</v>
      </c>
      <c r="B201" s="186" t="n">
        <f aca="false">E179+A201+(B182*1.2)+A185</f>
        <v>53055.428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1585.18074668688</v>
      </c>
      <c r="B212" s="177" t="n">
        <f aca="false">B167</f>
        <v>19.09375</v>
      </c>
      <c r="C212" s="174"/>
      <c r="D212" s="174"/>
      <c r="E212" s="177" t="n">
        <f aca="false">E167</f>
        <v>1604.27449668688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650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58535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58535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-1809.2161060197</v>
      </c>
      <c r="B224" s="103" t="str">
        <f aca="false">B182</f>
        <v>199.99</v>
      </c>
      <c r="C224" s="103"/>
      <c r="D224" s="113"/>
      <c r="E224" s="103" t="n">
        <f aca="false">E182</f>
        <v>56975.7718939803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1585.18074668688</v>
      </c>
      <c r="B230" s="103" t="n">
        <f aca="false">B167</f>
        <v>19.09375</v>
      </c>
      <c r="C230" s="186"/>
      <c r="D230" s="186"/>
      <c r="E230" s="103" t="n">
        <f aca="false">E167</f>
        <v>1604.27449668688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11.577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457.3046875</v>
      </c>
      <c r="C240" s="93"/>
      <c r="D240" s="93"/>
      <c r="E240" s="103" t="n">
        <f aca="false">IF(E105 = "YES" , (H36*A108)*0.1 , 0)</f>
        <v>14.1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571.3946875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3930.3438939803</v>
      </c>
      <c r="C254" s="197"/>
      <c r="D254" s="198" t="s">
        <v>216</v>
      </c>
      <c r="E254" s="198"/>
      <c r="F254" s="200" t="n">
        <f aca="false">F261+F267+F269+B270+B271</f>
        <v>548.765625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240.99</v>
      </c>
      <c r="C255" s="197"/>
      <c r="D255" s="198" t="s">
        <v>218</v>
      </c>
      <c r="E255" s="198"/>
      <c r="F255" s="200" t="n">
        <f aca="false">(B254-F254)+B255</f>
        <v>3622.5682689803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B254</f>
        <v>3930.3438939803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548.765625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0.3</v>
      </c>
      <c r="C262" s="32"/>
      <c r="D262" s="166" t="s">
        <v>222</v>
      </c>
      <c r="E262" s="166"/>
      <c r="F262" s="146" t="n">
        <f aca="false">E240*10</f>
        <v>141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3622.5682689803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35" colorId="64" zoomScale="85" zoomScaleNormal="85" zoomScalePageLayoutView="100" workbookViewId="0">
      <selection pane="topLeft" activeCell="H140" activeCellId="0" sqref="H14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1.92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550</v>
      </c>
      <c r="F10" s="154"/>
      <c r="G10" s="155"/>
      <c r="H10" s="442" t="n">
        <v>550.0</v>
      </c>
      <c r="I10" s="2"/>
      <c r="J10" s="2"/>
      <c r="K10" s="1" t="s">
        <v>19</v>
      </c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  <c r="L12" s="0"/>
      <c r="M12" s="0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  <c r="L13" s="0"/>
      <c r="M13" s="0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 t="n">
        <v>0</v>
      </c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393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37.0</v>
      </c>
      <c r="P29" s="212"/>
    </row>
    <row r="30" customFormat="false" ht="17.9" hidden="false" customHeight="false" outlineLevel="0" collapsed="false">
      <c r="A30" s="31" t="s">
        <v>181</v>
      </c>
      <c r="B30" s="104" t="s">
        <v>403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31000.0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8600.0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1396.7304053987</v>
      </c>
      <c r="F33" s="232"/>
      <c r="G33" s="232"/>
      <c r="H33" s="47"/>
      <c r="I33" s="2"/>
      <c r="J33" s="34" t="s">
        <v>356</v>
      </c>
      <c r="K33" s="48" t="n">
        <f aca="false">H21-H11+(H16*20%)</f>
        <v>48877.5</v>
      </c>
      <c r="L33" s="1" t="n">
        <f aca="false">H21-H11+(H16*20%)</f>
        <v>48877.5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1329.7404053987</v>
      </c>
      <c r="B36" s="232" t="n">
        <f aca="false">IF(B26="YES", K42, "0.00")</f>
        <v>66.99</v>
      </c>
      <c r="C36" s="232"/>
      <c r="D36" s="232"/>
      <c r="E36" s="232" t="n">
        <f aca="false">K31</f>
        <v>9600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48877.5</v>
      </c>
      <c r="L39" s="2" t="n">
        <f aca="false">(L47*K46)+K44</f>
        <v>29898.9542532849</v>
      </c>
      <c r="N39" s="1" t="n">
        <f aca="false">K39-L39</f>
        <v>18978.5457467151</v>
      </c>
      <c r="P39" s="212"/>
    </row>
    <row r="40" customFormat="false" ht="17.35" hidden="false" customHeight="false" outlineLevel="0" collapsed="false">
      <c r="A40" s="107" t="n">
        <f aca="false">E36*A45/100</f>
        <v>19200.0</v>
      </c>
      <c r="B40" s="107" t="n">
        <f aca="false">IF(B26="YES", K42, "0.00")</f>
        <v>66.99</v>
      </c>
      <c r="C40" s="107"/>
      <c r="D40" s="107"/>
      <c r="E40" s="182" t="n">
        <f aca="false">K32</f>
        <v>2344.65</v>
      </c>
      <c r="F40" s="186"/>
      <c r="G40" s="186"/>
      <c r="H40" s="47"/>
      <c r="J40" s="2" t="s">
        <v>106</v>
      </c>
      <c r="K40" s="2" t="n">
        <f aca="false">(A40)/1.2</f>
        <v>8000</v>
      </c>
      <c r="L40" s="2" t="n">
        <f aca="false">K39-L39</f>
        <v>18978.5457467151</v>
      </c>
      <c r="N40" s="1" t="n">
        <f aca="false">N38-N39</f>
        <v>-16066.8657467151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66.99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6586.14214929175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42291.3578507082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31.8042210938366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1329.7404053987</v>
      </c>
      <c r="L47" s="2" t="n">
        <f aca="false">L49-K42</f>
        <v>733.01</v>
      </c>
      <c r="M47" s="1" t="n">
        <f aca="false">K47-L47</f>
        <v>596.730405398704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1396.7304053987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1396.7304053987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57885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57885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57885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-54954.3096117306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4672.71417168699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237.909775155269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237.909775155269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-6.52777777613917E-005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4281.078125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566.790625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445.214833958333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1329.7404053987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1329.7404053987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1396.7304053987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1396.7304053987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-0.00799999999799184</v>
      </c>
      <c r="C81" s="93"/>
      <c r="D81" s="93"/>
      <c r="E81" s="113"/>
      <c r="F81" s="25" t="s">
        <v>105</v>
      </c>
      <c r="G81" s="27" t="n">
        <f aca="false">G158</f>
        <v>-0.00799999999799184</v>
      </c>
      <c r="H81" s="33"/>
      <c r="J81" s="25" t="s">
        <v>105</v>
      </c>
      <c r="K81" s="27" t="n">
        <f aca="false">P158</f>
        <v>37655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45468.749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45468.749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9600</v>
      </c>
      <c r="C82" s="93"/>
      <c r="D82" s="93"/>
      <c r="E82" s="113"/>
      <c r="F82" s="31" t="s">
        <v>106</v>
      </c>
      <c r="G82" s="33" t="n">
        <f aca="false">IF(A111 = "Yes", A40, 0)</f>
        <v>9600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9600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9600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7412.27680583254</v>
      </c>
      <c r="C86" s="93"/>
      <c r="D86" s="93"/>
      <c r="E86" s="113"/>
      <c r="F86" s="31" t="s">
        <v>110</v>
      </c>
      <c r="G86" s="33" t="n">
        <f aca="false">(G82/((1+G84)^(G85+1)))</f>
        <v>7946.1805031205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6564.9851676575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6564.9851676575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29.9543371890103</v>
      </c>
      <c r="C87" s="93"/>
      <c r="D87" s="93"/>
      <c r="E87" s="113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-7412.28480583254</v>
      </c>
      <c r="C88" s="93"/>
      <c r="D88" s="93"/>
      <c r="E88" s="113"/>
      <c r="F88" s="31" t="s">
        <v>112</v>
      </c>
      <c r="G88" s="33" t="n">
        <f aca="false">G81-G86</f>
        <v>-7946.1885031205</v>
      </c>
      <c r="H88" s="33"/>
      <c r="J88" s="31" t="s">
        <v>112</v>
      </c>
      <c r="K88" s="33" t="n">
        <f aca="false">K81-K86</f>
        <v>37655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38903.7638323425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38903.7638323425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-247.452806552233</v>
      </c>
      <c r="C89" s="93"/>
      <c r="D89" s="93"/>
      <c r="E89" s="113"/>
      <c r="F89" s="31" t="s">
        <v>113</v>
      </c>
      <c r="G89" s="33" t="n">
        <f aca="false">(G88/G87)</f>
        <v>-256.523172502031</v>
      </c>
      <c r="H89" s="33"/>
      <c r="J89" s="31" t="s">
        <v>113</v>
      </c>
      <c r="K89" s="33" t="n">
        <f aca="false">(K88/K87)</f>
        <v>1506.2831870777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1375.84776365029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1375.84776365029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-8413.39542277593</v>
      </c>
      <c r="C90" s="93"/>
      <c r="D90" s="93"/>
      <c r="E90" s="113"/>
      <c r="F90" s="31" t="s">
        <v>114</v>
      </c>
      <c r="G90" s="33" t="n">
        <f aca="false">((G89*(G85))+G77)</f>
        <v>-8721.78786506906</v>
      </c>
      <c r="H90" s="33"/>
      <c r="J90" s="31" t="s">
        <v>114</v>
      </c>
      <c r="K90" s="33" t="n">
        <f aca="false">((K89*(K85))+K77)</f>
        <v>52719.9115477193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46778.8239641099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46778.8239641099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-0</v>
      </c>
      <c r="C91" s="93"/>
      <c r="D91" s="93"/>
      <c r="E91" s="113"/>
      <c r="F91" s="31" t="s">
        <v>115</v>
      </c>
      <c r="G91" s="33" t="n">
        <f aca="false">(((G89*(G85))+G77)/(1-G71))*G71</f>
        <v>-0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-8413.39542277593</v>
      </c>
      <c r="C92" s="93"/>
      <c r="D92" s="93"/>
      <c r="E92" s="113"/>
      <c r="F92" s="56" t="s">
        <v>116</v>
      </c>
      <c r="G92" s="65" t="n">
        <f aca="false">(G90+G91)</f>
        <v>-8721.78786506906</v>
      </c>
      <c r="H92" s="33"/>
      <c r="J92" s="56" t="s">
        <v>116</v>
      </c>
      <c r="K92" s="65" t="n">
        <f aca="false">(K90+K91)</f>
        <v>52719.9115477193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46778.8239641099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46778.8239641099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82.7523529411765</v>
      </c>
      <c r="C94" s="93"/>
      <c r="D94" s="93"/>
      <c r="E94" s="113"/>
      <c r="F94" s="88" t="s">
        <v>117</v>
      </c>
      <c r="G94" s="94" t="n">
        <f aca="false">IF(B26="YES",((E40/B85)*(1+A108)*(C45/100)),"0")</f>
        <v>82.7523529411765</v>
      </c>
      <c r="H94" s="33"/>
      <c r="J94" s="88" t="s">
        <v>117</v>
      </c>
      <c r="K94" s="89" t="n">
        <f aca="false">((E40/K85)*(1+J108))*1.2</f>
        <v>104.5044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82.7523529411765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99.3028235294118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-247.452806552233</v>
      </c>
      <c r="C95" s="93"/>
      <c r="D95" s="93"/>
      <c r="E95" s="113"/>
      <c r="F95" s="95" t="s">
        <v>118</v>
      </c>
      <c r="G95" s="96" t="n">
        <f aca="false">G92/(G85)</f>
        <v>-256.523172502031</v>
      </c>
      <c r="H95" s="33"/>
      <c r="J95" s="95" t="s">
        <v>118</v>
      </c>
      <c r="K95" s="96" t="n">
        <f aca="false">K92/(K85)</f>
        <v>1506.2831870777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1375.84776365029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1375.84776365029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-164.700453611057</v>
      </c>
      <c r="C96" s="93"/>
      <c r="D96" s="93"/>
      <c r="E96" s="113"/>
      <c r="F96" s="97" t="s">
        <v>119</v>
      </c>
      <c r="G96" s="98" t="n">
        <f aca="false">G94+G95</f>
        <v>-173.770819560855</v>
      </c>
      <c r="H96" s="33"/>
      <c r="J96" s="97" t="s">
        <v>119</v>
      </c>
      <c r="K96" s="98" t="n">
        <f aca="false">(K94+K95)</f>
        <v>1610.7875870777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1458.60011659147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1475.1505871797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393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405</v>
      </c>
      <c r="C108" s="107"/>
      <c r="D108" s="107" t="n">
        <v>0</v>
      </c>
      <c r="E108" s="108" t="n">
        <f aca="false">B83</f>
        <v>0.089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389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406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25" t="s">
        <v>149</v>
      </c>
      <c r="K121" s="120" t="n">
        <f aca="false">B3</f>
        <v>46854.17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833.33</v>
      </c>
      <c r="P121" s="121" t="n">
        <f aca="false">O121</f>
        <v>833.33</v>
      </c>
      <c r="Q121" s="122" t="n">
        <f aca="false">H3</f>
        <v>0</v>
      </c>
      <c r="S121" s="25" t="s">
        <v>149</v>
      </c>
      <c r="T121" s="120" t="n">
        <f aca="false">B3</f>
        <v>46854.17</v>
      </c>
      <c r="U121" s="121" t="n">
        <f aca="false">T121</f>
        <v>46854.17</v>
      </c>
      <c r="V121" s="120" t="n">
        <f aca="false">D3</f>
        <v>0</v>
      </c>
      <c r="W121" s="121" t="n">
        <f aca="false">V121</f>
        <v>0</v>
      </c>
      <c r="X121" s="120" t="n">
        <f aca="false">F3</f>
        <v>833.33</v>
      </c>
      <c r="Y121" s="121" t="n">
        <f aca="false">X121</f>
        <v>833.33</v>
      </c>
      <c r="Z121" s="122" t="n">
        <f aca="false">H3</f>
        <v>0</v>
      </c>
      <c r="AB121" s="25" t="s">
        <v>149</v>
      </c>
      <c r="AC121" s="120" t="n">
        <f aca="false">B3</f>
        <v>46854.17</v>
      </c>
      <c r="AD121" s="121" t="n">
        <f aca="false">AC121</f>
        <v>46854.17</v>
      </c>
      <c r="AE121" s="120" t="n">
        <f aca="false">D3</f>
        <v>0</v>
      </c>
      <c r="AF121" s="121" t="n">
        <f aca="false">AE121</f>
        <v>0</v>
      </c>
      <c r="AG121" s="120" t="n">
        <f aca="false">F3</f>
        <v>833.33</v>
      </c>
      <c r="AH121" s="121" t="n">
        <f aca="false">AG121</f>
        <v>833.33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-9755.83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48770.84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11713.5425</v>
      </c>
      <c r="V124" s="130" t="n">
        <f aca="false">(V121*V122)+V123</f>
        <v>0</v>
      </c>
      <c r="W124" s="131" t="n">
        <f aca="false">(W121*W122)+W123</f>
        <v>0</v>
      </c>
      <c r="X124" s="130" t="n">
        <f aca="false">(X121*X122)+X123</f>
        <v>0</v>
      </c>
      <c r="Y124" s="131" t="n">
        <f aca="false">(Y121*Y122)+Y123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11713.5425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-1916.67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56" t="s">
        <v>153</v>
      </c>
      <c r="K125" s="132" t="n">
        <f aca="false">K121-K124</f>
        <v>46854.17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833.33</v>
      </c>
      <c r="P125" s="133" t="n">
        <f aca="false">P121-P124</f>
        <v>833.33</v>
      </c>
      <c r="Q125" s="65"/>
      <c r="S125" s="56" t="s">
        <v>153</v>
      </c>
      <c r="T125" s="132" t="n">
        <f aca="false">T121-T124</f>
        <v>46854.17</v>
      </c>
      <c r="U125" s="133" t="n">
        <f aca="false">U121-U124</f>
        <v>35140.6275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833.33</v>
      </c>
      <c r="Y125" s="133" t="n">
        <f aca="false">Y121-Y124</f>
        <v>833.33</v>
      </c>
      <c r="Z125" s="65"/>
      <c r="AB125" s="56" t="s">
        <v>153</v>
      </c>
      <c r="AC125" s="132" t="n">
        <f aca="false">AC121-AC124</f>
        <v>46854.17</v>
      </c>
      <c r="AD125" s="133" t="n">
        <f aca="false">AD121-AD124</f>
        <v>35140.6275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833.33</v>
      </c>
      <c r="AH125" s="133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-1083.34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47687.5</v>
      </c>
      <c r="Q135" s="153" t="n">
        <f aca="false">L125+N125+P125+Q128</f>
        <v>29462.5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47687.5</v>
      </c>
      <c r="Z135" s="153" t="n">
        <f aca="false">U125+W125+Y125+Z128</f>
        <v>35973.9575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47687.5</v>
      </c>
      <c r="AI135" s="153" t="n">
        <f aca="false">AD125+AF125+AH125+AI128</f>
        <v>35973.9575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550</v>
      </c>
      <c r="Q136" s="33" t="n">
        <f aca="false">P136</f>
        <v>550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550</v>
      </c>
      <c r="Z136" s="33" t="n">
        <f aca="false">Y136</f>
        <v>550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-106.668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9647.5</v>
      </c>
      <c r="Q137" s="33" t="n">
        <f aca="false">(Q135+Q136)*20%</f>
        <v>6002.5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9647.5</v>
      </c>
      <c r="Z137" s="33" t="n">
        <f aca="false">(Z135+Z136)*20%</f>
        <v>7304.7915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585</v>
      </c>
      <c r="Q139" s="33" t="n">
        <f aca="false">P139</f>
        <v>585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585</v>
      </c>
      <c r="Z139" s="33" t="n">
        <f aca="false">Y139</f>
        <v>585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55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55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58525</v>
      </c>
      <c r="H141" s="157" t="n">
        <f aca="false">(H135+H136+H139+H140+H137)-H138</f>
        <v>-0.00799999999799184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58525</v>
      </c>
      <c r="Q141" s="157" t="n">
        <f aca="false">(Q135+Q136+Q139+Q140+Q137)-Q138</f>
        <v>36655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58525</v>
      </c>
      <c r="Z141" s="157" t="n">
        <f aca="false">(Z135+Z136+Z139+Z140+Z137)-Z138</f>
        <v>44468.749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58525</v>
      </c>
      <c r="AI141" s="157" t="n">
        <f aca="false">(AI135+AI136+AI139+AI140+AI137)-AI138</f>
        <v>44468.749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58525</v>
      </c>
      <c r="H147" s="164" t="n">
        <f aca="false">H141-((H144*1.2)+(H145*1.2)+(H146*1.2)+(H142*1.2))</f>
        <v>-0.00799999999799184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58525</v>
      </c>
      <c r="Q147" s="164" t="n">
        <f aca="false">Q141-((Q144*1.2)+(Q145*1.2)+(Q146*1.2)+(Q142*1.2))</f>
        <v>36655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58525</v>
      </c>
      <c r="Z147" s="164" t="n">
        <f aca="false">Z141-((Z144*1.2)+(Z145*1.2)+(Z146*1.2)+(Z142*1.2))</f>
        <v>44468.749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58525</v>
      </c>
      <c r="AI147" s="164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-48770.84</v>
      </c>
      <c r="I148" s="1" t="n">
        <f aca="false">(H148-G81)/1.2</f>
        <v>-40642.36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-21870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-14056.251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-14056.251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-0.00799999999799184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37655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45468.749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45468.749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-247.452806552233</v>
      </c>
      <c r="B167" s="177" t="n">
        <f aca="false">B94</f>
        <v>82.7523529411765</v>
      </c>
      <c r="C167" s="174"/>
      <c r="D167" s="174"/>
      <c r="E167" s="177" t="n">
        <f aca="false">B96</f>
        <v>-164.700453611057</v>
      </c>
      <c r="F167" s="23"/>
      <c r="G167" s="23" t="n">
        <f aca="false">ROUND(G95, 2)</f>
        <v>-256.52</v>
      </c>
      <c r="H167" s="33"/>
      <c r="J167" s="176" t="n">
        <f aca="false">K95</f>
        <v>1506.2831870777</v>
      </c>
      <c r="K167" s="177" t="n">
        <f aca="false">K94</f>
        <v>104.5044</v>
      </c>
      <c r="L167" s="174"/>
      <c r="M167" s="174"/>
      <c r="N167" s="177" t="n">
        <f aca="false">K96</f>
        <v>1610.7875870777</v>
      </c>
      <c r="O167" s="23"/>
      <c r="P167" s="23"/>
      <c r="Q167" s="33"/>
      <c r="S167" s="176" t="n">
        <f aca="false">T95</f>
        <v>1375.84776365029</v>
      </c>
      <c r="T167" s="177" t="n">
        <f aca="false">T94</f>
        <v>82.7523529411765</v>
      </c>
      <c r="U167" s="174"/>
      <c r="V167" s="174"/>
      <c r="W167" s="177" t="n">
        <f aca="false">T96</f>
        <v>1458.60011659147</v>
      </c>
      <c r="X167" s="23"/>
      <c r="Y167" s="23"/>
      <c r="Z167" s="33"/>
      <c r="AB167" s="176" t="n">
        <f aca="false">AC95</f>
        <v>1375.84776365029</v>
      </c>
      <c r="AC167" s="177" t="n">
        <f aca="false">AC94</f>
        <v>99.3028235294118</v>
      </c>
      <c r="AD167" s="174"/>
      <c r="AE167" s="174"/>
      <c r="AF167" s="177" t="n">
        <f aca="false">AC96</f>
        <v>1475.1505871797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229" t="n">
        <f aca="false">K30</f>
        <v>35000</v>
      </c>
      <c r="C170" s="181"/>
      <c r="D170" s="23"/>
      <c r="E170" s="182" t="n">
        <f aca="false">IF(A111="YES", A40, 0)</f>
        <v>9600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9600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9600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9600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-533.339999999998</v>
      </c>
      <c r="B173" s="103" t="n">
        <f aca="false">H137</f>
        <v>-106.668</v>
      </c>
      <c r="C173" s="186"/>
      <c r="D173" s="23"/>
      <c r="E173" s="182" t="n">
        <f aca="false">H139+H140</f>
        <v>640</v>
      </c>
      <c r="F173" s="23"/>
      <c r="G173" s="23"/>
      <c r="H173" s="33"/>
      <c r="J173" s="185" t="n">
        <f aca="false">Q141-Q137-Q139-Q140</f>
        <v>30012.5</v>
      </c>
      <c r="K173" s="103" t="n">
        <f aca="false">Q137</f>
        <v>6002.5</v>
      </c>
      <c r="L173" s="186"/>
      <c r="M173" s="23"/>
      <c r="N173" s="182" t="n">
        <f aca="false">Q139+Q140</f>
        <v>640</v>
      </c>
      <c r="O173" s="23"/>
      <c r="P173" s="23"/>
      <c r="Q173" s="33"/>
      <c r="S173" s="185" t="n">
        <f aca="false">Z141-Z137-Z139-Z140</f>
        <v>36523.9575</v>
      </c>
      <c r="T173" s="103" t="n">
        <f aca="false">Z137</f>
        <v>7304.7915</v>
      </c>
      <c r="U173" s="186"/>
      <c r="V173" s="23"/>
      <c r="W173" s="182" t="n">
        <f aca="false">Z139+Z140</f>
        <v>640</v>
      </c>
      <c r="X173" s="23"/>
      <c r="Y173" s="23"/>
      <c r="Z173" s="33"/>
      <c r="AB173" s="185" t="n">
        <f aca="false">AI141-AI137-AI139-AI140</f>
        <v>36523.9575</v>
      </c>
      <c r="AC173" s="103" t="n">
        <f aca="false">AI137</f>
        <v>7304.7915</v>
      </c>
      <c r="AD173" s="186"/>
      <c r="AE173" s="23"/>
      <c r="AF173" s="182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-0.00799999999799184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n">
        <f aca="false">Q141</f>
        <v>36655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44468.749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44468.749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-0.00799999999799184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37655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45468.749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45468.749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1186.61257722407</v>
      </c>
      <c r="B182" s="103" t="str">
        <f aca="false">B114</f>
        <v>199.99</v>
      </c>
      <c r="C182" s="103"/>
      <c r="D182" s="23"/>
      <c r="E182" s="103" t="n">
        <f aca="false">E179+A182+(B182*1.2)+A185</f>
        <v>1436.59257722407</v>
      </c>
      <c r="F182" s="23"/>
      <c r="G182" s="23"/>
      <c r="H182" s="105"/>
      <c r="J182" s="111" t="n">
        <f aca="false">(J167*K59)+N185-N179-J185</f>
        <v>23158.6283606416</v>
      </c>
      <c r="K182" s="103" t="n">
        <f aca="false">K114</f>
        <v>239.99</v>
      </c>
      <c r="L182" s="103"/>
      <c r="M182" s="23"/>
      <c r="N182" s="103" t="n">
        <f aca="false">N179+J182+K182+J185</f>
        <v>61073.6183606416</v>
      </c>
      <c r="O182" s="23"/>
      <c r="P182" s="23"/>
      <c r="Q182" s="105"/>
      <c r="S182" s="111" t="n">
        <f aca="false">(S167*T59)+W185-W179-S185</f>
        <v>10910.0749641099</v>
      </c>
      <c r="T182" s="103" t="n">
        <f aca="false">T114</f>
        <v>199.99</v>
      </c>
      <c r="U182" s="103"/>
      <c r="V182" s="23"/>
      <c r="W182" s="103" t="n">
        <f aca="false">W179+S182+T182+S185</f>
        <v>56588.8139641099</v>
      </c>
      <c r="X182" s="23"/>
      <c r="Y182" s="23"/>
      <c r="Z182" s="105"/>
      <c r="AB182" s="111" t="n">
        <f aca="false">(AB167*AC59)+AF185-AF179-AB185</f>
        <v>10910.0749641099</v>
      </c>
      <c r="AC182" s="103" t="n">
        <f aca="false">AC114</f>
        <v>239.99</v>
      </c>
      <c r="AD182" s="103"/>
      <c r="AE182" s="23"/>
      <c r="AF182" s="103" t="n">
        <f aca="false">AF179+AB182+AC182+AB185</f>
        <v>56628.8139641099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9610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9620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9610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9610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11.577</v>
      </c>
      <c r="B188" s="103" t="n">
        <f aca="false">(G158*B67)/1.2</f>
        <v>-6.52777777613917E-005</v>
      </c>
      <c r="C188" s="93"/>
      <c r="D188" s="93"/>
      <c r="E188" s="103" t="n">
        <f aca="false">(E40*A108)*0.1*(C45/100)</f>
        <v>46.893</v>
      </c>
      <c r="F188" s="23"/>
      <c r="G188" s="23"/>
      <c r="H188" s="33"/>
      <c r="J188" s="111" t="n">
        <f aca="false">IF(N105="YES", H15*0.000002, 0)</f>
        <v>0.11705</v>
      </c>
      <c r="K188" s="103" t="n">
        <f aca="false">(P158*K67)/1.2</f>
        <v>2320.75086805556</v>
      </c>
      <c r="L188" s="93"/>
      <c r="M188" s="93"/>
      <c r="N188" s="103" t="n">
        <f aca="false">(E40*J108)*0.1</f>
        <v>70.3395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371.012361631944</v>
      </c>
      <c r="U188" s="93"/>
      <c r="V188" s="93"/>
      <c r="W188" s="103" t="n">
        <f aca="false">(E40*S108)*0.1</f>
        <v>46.893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371.012361631944</v>
      </c>
      <c r="AD188" s="93"/>
      <c r="AE188" s="93"/>
      <c r="AF188" s="103" t="n">
        <f aca="false">(E40*AB108)*0.1</f>
        <v>46.893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146.882934722222</v>
      </c>
      <c r="C191" s="93"/>
      <c r="D191" s="93"/>
      <c r="E191" s="103" t="n">
        <f aca="false">H148</f>
        <v>-48770.84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3531.08036805556</v>
      </c>
      <c r="L191" s="93"/>
      <c r="M191" s="93"/>
      <c r="N191" s="103" t="n">
        <f aca="false">Q148</f>
        <v>-21870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1517.89536163194</v>
      </c>
      <c r="U191" s="93"/>
      <c r="V191" s="93"/>
      <c r="W191" s="103" t="n">
        <f aca="false">Z148</f>
        <v>-14056.251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1557.89536163194</v>
      </c>
      <c r="AD191" s="93"/>
      <c r="AE191" s="93"/>
      <c r="AF191" s="103" t="n">
        <f aca="false">AI148</f>
        <v>-14056.251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-164.700453611057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1610.7875870777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1458.60011659147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1475.1505871797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878.327999999998</v>
      </c>
      <c r="B201" s="186" t="n">
        <f aca="false">E179+A201+(B182*1.2)+A185</f>
        <v>1128.308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-247.452806552233</v>
      </c>
      <c r="B212" s="177" t="n">
        <f aca="false">B167</f>
        <v>82.7523529411765</v>
      </c>
      <c r="C212" s="174"/>
      <c r="D212" s="174"/>
      <c r="E212" s="177" t="n">
        <f aca="false">E167</f>
        <v>-164.700453611057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-533.339999999998</v>
      </c>
      <c r="B215" s="103" t="n">
        <f aca="false">B173</f>
        <v>-106.668</v>
      </c>
      <c r="C215" s="186"/>
      <c r="D215" s="113"/>
      <c r="E215" s="182" t="n">
        <f aca="false">E173</f>
        <v>640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-0.00799999999799184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-0.00799999999799184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1186.61257722407</v>
      </c>
      <c r="B224" s="103" t="str">
        <f aca="false">B182</f>
        <v>199.99</v>
      </c>
      <c r="C224" s="103"/>
      <c r="D224" s="113"/>
      <c r="E224" s="103" t="n">
        <f aca="false">E182</f>
        <v>1436.59257722407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-247.452806552233</v>
      </c>
      <c r="B230" s="103" t="n">
        <f aca="false">B167</f>
        <v>82.7523529411765</v>
      </c>
      <c r="C230" s="186"/>
      <c r="D230" s="186"/>
      <c r="E230" s="103" t="n">
        <f aca="false">E167</f>
        <v>-164.700453611057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9600</v>
      </c>
      <c r="B233" s="103" t="n">
        <f aca="false">E185</f>
        <v>9610</v>
      </c>
      <c r="C233" s="93"/>
      <c r="D233" s="93"/>
      <c r="E233" s="103" t="n">
        <f aca="false">A188</f>
        <v>11.577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-48770.84</v>
      </c>
      <c r="B240" s="103" t="n">
        <f aca="false">B68</f>
        <v>-6.52777777613917E-005</v>
      </c>
      <c r="C240" s="93"/>
      <c r="D240" s="93"/>
      <c r="E240" s="103" t="n">
        <f aca="false">E188</f>
        <v>46.893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-48623.9570652778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318.284577224071</v>
      </c>
      <c r="C254" s="197"/>
      <c r="D254" s="198" t="s">
        <v>216</v>
      </c>
      <c r="E254" s="198"/>
      <c r="F254" s="200" t="n">
        <f aca="false">F261+F267+F269+B270+B271</f>
        <v>-7.83333333136701E-005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568.92</v>
      </c>
      <c r="C255" s="197"/>
      <c r="D255" s="198" t="s">
        <v>218</v>
      </c>
      <c r="E255" s="198"/>
      <c r="F255" s="200" t="n">
        <f aca="false">(B254-F254)+B255</f>
        <v>887.204655557404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318.284577224071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-7.83333333136701E-005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468.93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887.204655557404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-0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6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650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58535</v>
      </c>
      <c r="I15" s="2"/>
      <c r="J15" s="17" t="n">
        <f aca="false">H15</f>
        <v>58535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58535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393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35.0</v>
      </c>
      <c r="P29" s="212"/>
    </row>
    <row r="30" customFormat="false" ht="17.9" hidden="false" customHeight="false" outlineLevel="0" collapsed="false">
      <c r="A30" s="31" t="s">
        <v>181</v>
      </c>
      <c r="B30" s="104" t="s">
        <v>403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5760.0</v>
      </c>
      <c r="P31" s="212"/>
    </row>
    <row r="32" customFormat="false" ht="34.8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 t="n">
        <v>0</v>
      </c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1425.06160912611</v>
      </c>
      <c r="F33" s="232"/>
      <c r="G33" s="232"/>
      <c r="H33" s="47"/>
      <c r="I33" s="2"/>
      <c r="J33" s="34" t="s">
        <v>356</v>
      </c>
      <c r="K33" s="48" t="n">
        <f aca="false">H21-H11+(H16*20%)</f>
        <v>48887.5</v>
      </c>
      <c r="L33" s="1" t="n">
        <f aca="false">H21-H11+(H16*20%)</f>
        <v>48887.5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1371.47160912611</v>
      </c>
      <c r="B36" s="232" t="n">
        <f aca="false">IF(B26="YES", K42, "0.00")</f>
        <v>53.59</v>
      </c>
      <c r="C36" s="232"/>
      <c r="D36" s="232"/>
      <c r="E36" s="232" t="n">
        <f aca="false">K31</f>
        <v>7680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48887.5</v>
      </c>
      <c r="L39" s="2" t="n">
        <f aca="false">(L47*K46)+K44</f>
        <v>29007.9023860839</v>
      </c>
      <c r="N39" s="1" t="n">
        <f aca="false">K39-L39</f>
        <v>19879.5976139161</v>
      </c>
      <c r="P39" s="212"/>
    </row>
    <row r="40" customFormat="false" ht="17.35" hidden="false" customHeight="false" outlineLevel="0" collapsed="false">
      <c r="A40" s="107" t="n">
        <f aca="false">E36*A45/100</f>
        <v>28575.0</v>
      </c>
      <c r="B40" s="107" t="n">
        <f aca="false">IF(B26="YES", K42, "0.00")</f>
        <v>53.59</v>
      </c>
      <c r="C40" s="107"/>
      <c r="D40" s="107"/>
      <c r="E40" s="182" t="n">
        <f aca="false">K32</f>
        <v>1875.65</v>
      </c>
      <c r="F40" s="186"/>
      <c r="G40" s="186"/>
      <c r="H40" s="47"/>
      <c r="J40" s="2" t="s">
        <v>106</v>
      </c>
      <c r="K40" s="2" t="n">
        <f aca="false">(A40)/1.2</f>
        <v>6400</v>
      </c>
      <c r="L40" s="2" t="n">
        <f aca="false">K39-L39</f>
        <v>19879.5976139161</v>
      </c>
      <c r="N40" s="1" t="n">
        <f aca="false">N38-N39</f>
        <v>-16967.9176139161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(K32/K36/100)*C45</f>
        <v>53.59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5268.9137194334</v>
      </c>
      <c r="L44" s="2"/>
      <c r="P44" s="212"/>
    </row>
    <row r="45" customFormat="false" ht="17.35" hidden="false" customHeight="false" outlineLevel="0" collapsed="false">
      <c r="A45" s="505" t="n">
        <v>100.0</v>
      </c>
      <c r="B45" s="93"/>
      <c r="C45" s="506" t="n">
        <v>100.0</v>
      </c>
      <c r="D45" s="506"/>
      <c r="E45" s="506"/>
      <c r="F45" s="93"/>
      <c r="G45" s="93"/>
      <c r="H45" s="33"/>
      <c r="J45" s="2" t="s">
        <v>367</v>
      </c>
      <c r="K45" s="2" t="n">
        <f aca="false">(K39-K44)</f>
        <v>43618.5862805666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31.8042210938366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1371.47160912611</v>
      </c>
      <c r="L47" s="2" t="n">
        <f aca="false">L49-K42</f>
        <v>746.41</v>
      </c>
      <c r="M47" s="1" t="n">
        <f aca="false">K47-L47</f>
        <v>625.06160912611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1425.06160912611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1425.06160912611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57885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57885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57885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11708.5803900844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3212.12204122779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17088.6564236405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356.096946402278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477.629340277778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4281.078125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566.790625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445.214833958333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1371.47160912611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1371.47160912611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1425.06160912611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1425.06160912611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58535</v>
      </c>
      <c r="C81" s="93"/>
      <c r="D81" s="93"/>
      <c r="E81" s="113"/>
      <c r="F81" s="25" t="s">
        <v>105</v>
      </c>
      <c r="G81" s="27" t="n">
        <f aca="false">G158</f>
        <v>58535</v>
      </c>
      <c r="H81" s="33"/>
      <c r="J81" s="25" t="s">
        <v>105</v>
      </c>
      <c r="K81" s="27" t="n">
        <f aca="false">P158</f>
        <v>37655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59384.43749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45468.749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7680</v>
      </c>
      <c r="C82" s="93"/>
      <c r="D82" s="93"/>
      <c r="E82" s="113"/>
      <c r="F82" s="31" t="s">
        <v>106</v>
      </c>
      <c r="G82" s="33" t="n">
        <f aca="false">IF(A111 = "Yes", A40, 0)</f>
        <v>7680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7680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7680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5929.82144466603</v>
      </c>
      <c r="C86" s="93"/>
      <c r="D86" s="93"/>
      <c r="E86" s="113"/>
      <c r="F86" s="31" t="s">
        <v>110</v>
      </c>
      <c r="G86" s="33" t="n">
        <f aca="false">(G82/((1+G84)^(G85+1)))</f>
        <v>6356.9444024964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5251.988134126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5251.988134126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29.9543371890103</v>
      </c>
      <c r="C87" s="93"/>
      <c r="D87" s="93"/>
      <c r="E87" s="113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52605.178555334</v>
      </c>
      <c r="C88" s="93"/>
      <c r="D88" s="93"/>
      <c r="E88" s="113"/>
      <c r="F88" s="31" t="s">
        <v>112</v>
      </c>
      <c r="G88" s="33" t="n">
        <f aca="false">G81-G86</f>
        <v>52178.0555975036</v>
      </c>
      <c r="H88" s="33"/>
      <c r="J88" s="31" t="s">
        <v>112</v>
      </c>
      <c r="K88" s="33" t="n">
        <f aca="false">K81-K86</f>
        <v>37655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54132.449355874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40216.760865874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1756.1790208676</v>
      </c>
      <c r="C89" s="93"/>
      <c r="D89" s="93"/>
      <c r="E89" s="113"/>
      <c r="F89" s="31" t="s">
        <v>113</v>
      </c>
      <c r="G89" s="33" t="n">
        <f aca="false">(G88/G87)</f>
        <v>1684.44032652922</v>
      </c>
      <c r="H89" s="33"/>
      <c r="J89" s="31" t="s">
        <v>113</v>
      </c>
      <c r="K89" s="33" t="n">
        <f aca="false">(K88/K87)</f>
        <v>1506.2831870777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1914.4165512663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1422.28244899459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59710.0867094983</v>
      </c>
      <c r="C90" s="93"/>
      <c r="D90" s="93"/>
      <c r="E90" s="113"/>
      <c r="F90" s="31" t="s">
        <v>114</v>
      </c>
      <c r="G90" s="33" t="n">
        <f aca="false">((G89*(G85))+G77)</f>
        <v>57270.9711019934</v>
      </c>
      <c r="H90" s="33"/>
      <c r="J90" s="31" t="s">
        <v>114</v>
      </c>
      <c r="K90" s="33" t="n">
        <f aca="false">((K89*(K85))+K77)</f>
        <v>52719.9115477193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65090.1627430543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48357.6032658161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59710.0867094983</v>
      </c>
      <c r="C92" s="93"/>
      <c r="D92" s="93"/>
      <c r="E92" s="113"/>
      <c r="F92" s="56" t="s">
        <v>116</v>
      </c>
      <c r="G92" s="65" t="n">
        <f aca="false">(G90+G91)</f>
        <v>57270.9711019934</v>
      </c>
      <c r="H92" s="33"/>
      <c r="J92" s="56" t="s">
        <v>116</v>
      </c>
      <c r="K92" s="65" t="n">
        <f aca="false">(K90+K91)</f>
        <v>52719.9115477193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65090.1627430543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48357.6032658161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IF(B26="YES",((E40/B85)*(1+A108)*1.2*(C45/100)),"0")</f>
        <v>79.4392941176471</v>
      </c>
      <c r="C94" s="93"/>
      <c r="D94" s="93"/>
      <c r="E94" s="113"/>
      <c r="F94" s="88" t="s">
        <v>117</v>
      </c>
      <c r="G94" s="94" t="n">
        <f aca="false">IF(B26="YES",((E40/B85)*(1+A108)*(C45/100)),"0")</f>
        <v>66.1994117647059</v>
      </c>
      <c r="H94" s="33"/>
      <c r="J94" s="88" t="s">
        <v>117</v>
      </c>
      <c r="K94" s="89" t="n">
        <f aca="false">((E40/K85)*(1+J108))*1.2</f>
        <v>83.6004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66.1994117647059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79.4392941176471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1756.1790208676</v>
      </c>
      <c r="C95" s="93"/>
      <c r="D95" s="93"/>
      <c r="E95" s="113"/>
      <c r="F95" s="95" t="s">
        <v>118</v>
      </c>
      <c r="G95" s="96" t="n">
        <f aca="false">G92/(G85)</f>
        <v>1684.44032652922</v>
      </c>
      <c r="H95" s="33"/>
      <c r="J95" s="95" t="s">
        <v>118</v>
      </c>
      <c r="K95" s="96" t="n">
        <f aca="false">K92/(K85)</f>
        <v>1506.2831870777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1914.4165512663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1422.28244899459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1835.61831498524</v>
      </c>
      <c r="C96" s="93"/>
      <c r="D96" s="93"/>
      <c r="E96" s="113"/>
      <c r="F96" s="97" t="s">
        <v>119</v>
      </c>
      <c r="G96" s="98" t="n">
        <f aca="false">G94+G95</f>
        <v>1750.63973829392</v>
      </c>
      <c r="H96" s="33"/>
      <c r="J96" s="97" t="s">
        <v>119</v>
      </c>
      <c r="K96" s="98" t="n">
        <f aca="false">(K94+K95)</f>
        <v>1589.8835870777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1980.61596303101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1501.72174311224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121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393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400</v>
      </c>
      <c r="C108" s="107"/>
      <c r="D108" s="107"/>
      <c r="E108" s="108" t="n">
        <f aca="false">B83</f>
        <v>0.089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389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399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25" t="s">
        <v>149</v>
      </c>
      <c r="K121" s="120" t="n">
        <f aca="false">B3</f>
        <v>46854.17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833.33</v>
      </c>
      <c r="P121" s="121" t="n">
        <f aca="false">O121</f>
        <v>833.33</v>
      </c>
      <c r="Q121" s="122" t="n">
        <f aca="false">H3</f>
        <v>0</v>
      </c>
      <c r="S121" s="25" t="s">
        <v>149</v>
      </c>
      <c r="T121" s="120" t="n">
        <f aca="false">B3</f>
        <v>46854.17</v>
      </c>
      <c r="U121" s="121" t="n">
        <f aca="false">T121</f>
        <v>46854.17</v>
      </c>
      <c r="V121" s="120" t="n">
        <f aca="false">D3</f>
        <v>0</v>
      </c>
      <c r="W121" s="121" t="n">
        <f aca="false">V121</f>
        <v>0</v>
      </c>
      <c r="X121" s="120" t="n">
        <f aca="false">F3</f>
        <v>833.33</v>
      </c>
      <c r="Y121" s="121" t="n">
        <f aca="false">X121</f>
        <v>833.33</v>
      </c>
      <c r="Z121" s="122" t="n">
        <f aca="false">H3</f>
        <v>0</v>
      </c>
      <c r="AB121" s="25" t="s">
        <v>149</v>
      </c>
      <c r="AC121" s="120" t="n">
        <f aca="false">B3</f>
        <v>46854.17</v>
      </c>
      <c r="AD121" s="121" t="n">
        <f aca="false">AC121</f>
        <v>46854.17</v>
      </c>
      <c r="AE121" s="120" t="n">
        <f aca="false">D3</f>
        <v>0</v>
      </c>
      <c r="AF121" s="121" t="n">
        <f aca="false">AE121</f>
        <v>0</v>
      </c>
      <c r="AG121" s="120" t="n">
        <f aca="false">F3</f>
        <v>833.33</v>
      </c>
      <c r="AH121" s="121" t="n">
        <f aca="false">AG121</f>
        <v>833.33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-9755.83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117.135425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11713.5425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56" t="s">
        <v>153</v>
      </c>
      <c r="K125" s="132" t="n">
        <f aca="false">K121-K124</f>
        <v>46854.17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833.33</v>
      </c>
      <c r="P125" s="133" t="n">
        <f aca="false">P121-P124</f>
        <v>833.33</v>
      </c>
      <c r="Q125" s="65"/>
      <c r="S125" s="56" t="s">
        <v>153</v>
      </c>
      <c r="T125" s="132" t="n">
        <f aca="false">T121-T124</f>
        <v>46854.17</v>
      </c>
      <c r="U125" s="133" t="n">
        <f aca="false">U121-U124</f>
        <v>46737.034575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833.33</v>
      </c>
      <c r="Y125" s="133" t="n">
        <f aca="false">Y121-Y124</f>
        <v>833.33</v>
      </c>
      <c r="Z125" s="65"/>
      <c r="AB125" s="56" t="s">
        <v>153</v>
      </c>
      <c r="AC125" s="132" t="n">
        <f aca="false">AC121-AC124</f>
        <v>46854.17</v>
      </c>
      <c r="AD125" s="133" t="n">
        <f aca="false">AD121-AD124</f>
        <v>35140.6275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833.33</v>
      </c>
      <c r="AH125" s="133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47687.5</v>
      </c>
      <c r="Q135" s="153" t="n">
        <f aca="false">L125+N125+P125+Q128</f>
        <v>29462.5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47687.5</v>
      </c>
      <c r="Z135" s="153" t="n">
        <f aca="false">U125+W125+Y125+Z128</f>
        <v>47570.364575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47687.5</v>
      </c>
      <c r="AI135" s="153" t="n">
        <f aca="false">AD125+AF125+AH125+AI128</f>
        <v>35973.9575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550</v>
      </c>
      <c r="Q136" s="33" t="n">
        <f aca="false">P136</f>
        <v>550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550</v>
      </c>
      <c r="Z136" s="33" t="n">
        <f aca="false">Y136</f>
        <v>550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9647.5</v>
      </c>
      <c r="Q137" s="33" t="n">
        <f aca="false">(Q135+Q136)*20%</f>
        <v>6002.5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9647.5</v>
      </c>
      <c r="Z137" s="33" t="n">
        <f aca="false">(Z135+Z136)*20%</f>
        <v>9624.072915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585</v>
      </c>
      <c r="Q139" s="33" t="n">
        <f aca="false">P139</f>
        <v>585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585</v>
      </c>
      <c r="Z139" s="33" t="n">
        <f aca="false">Y139</f>
        <v>585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58535</v>
      </c>
      <c r="H141" s="157" t="n">
        <f aca="false">(H135+H136+H139+H140+H137)-H138</f>
        <v>58535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58535</v>
      </c>
      <c r="Q141" s="157" t="n">
        <f aca="false">(Q135+Q136+Q139+Q140+Q137)-Q138</f>
        <v>36655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58535</v>
      </c>
      <c r="Z141" s="157" t="n">
        <f aca="false">(Z135+Z136+Z139+Z140+Z137)-Z138</f>
        <v>58384.43749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58535</v>
      </c>
      <c r="AI141" s="157" t="n">
        <f aca="false">(AI135+AI136+AI139+AI140+AI137)-AI138</f>
        <v>44468.749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58535</v>
      </c>
      <c r="H147" s="164" t="n">
        <f aca="false">H141-((H144*1.2)+(H145*1.2)+(H146*1.2)+(H142*1.2))</f>
        <v>58535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58535</v>
      </c>
      <c r="Q147" s="164" t="n">
        <f aca="false">Q141-((Q144*1.2)+(Q145*1.2)+(Q146*1.2)+(Q142*1.2))</f>
        <v>36655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58535</v>
      </c>
      <c r="Z147" s="164" t="n">
        <f aca="false">Z141-((Z144*1.2)+(Z145*1.2)+(Z146*1.2)+(Z142*1.2))</f>
        <v>58384.43749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58535</v>
      </c>
      <c r="AI147" s="164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-48779.1666666667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-21880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-150.562510000003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-14066.251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58535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37655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59384.43749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45468.749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1756.1790208676</v>
      </c>
      <c r="B167" s="177" t="n">
        <f aca="false">B94</f>
        <v>79.4392941176471</v>
      </c>
      <c r="C167" s="174"/>
      <c r="D167" s="174"/>
      <c r="E167" s="177" t="n">
        <f aca="false">B96</f>
        <v>1835.61831498524</v>
      </c>
      <c r="F167" s="23"/>
      <c r="G167" s="23" t="n">
        <f aca="false">ROUND(G95, 2)</f>
        <v>1684.44</v>
      </c>
      <c r="H167" s="33"/>
      <c r="J167" s="176" t="n">
        <f aca="false">K95</f>
        <v>1506.2831870777</v>
      </c>
      <c r="K167" s="177" t="n">
        <f aca="false">K94</f>
        <v>83.6004</v>
      </c>
      <c r="L167" s="174"/>
      <c r="M167" s="174"/>
      <c r="N167" s="177" t="n">
        <f aca="false">K96</f>
        <v>1589.8835870777</v>
      </c>
      <c r="O167" s="23"/>
      <c r="P167" s="23"/>
      <c r="Q167" s="33"/>
      <c r="S167" s="176" t="n">
        <f aca="false">T95</f>
        <v>1914.4165512663</v>
      </c>
      <c r="T167" s="177" t="n">
        <f aca="false">T94</f>
        <v>66.1994117647059</v>
      </c>
      <c r="U167" s="174"/>
      <c r="V167" s="174"/>
      <c r="W167" s="177" t="n">
        <f aca="false">T96</f>
        <v>1980.61596303101</v>
      </c>
      <c r="X167" s="23"/>
      <c r="Y167" s="23"/>
      <c r="Z167" s="33"/>
      <c r="AB167" s="176" t="n">
        <f aca="false">AC95</f>
        <v>1422.28244899459</v>
      </c>
      <c r="AC167" s="177" t="n">
        <f aca="false">AC94</f>
        <v>79.4392941176471</v>
      </c>
      <c r="AD167" s="174"/>
      <c r="AE167" s="174"/>
      <c r="AF167" s="177" t="n">
        <f aca="false">AC96</f>
        <v>1501.72174311224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229" t="n">
        <f aca="false">K30</f>
        <v>35000</v>
      </c>
      <c r="C170" s="181"/>
      <c r="D170" s="23"/>
      <c r="E170" s="182" t="n">
        <f aca="false">IF(A111="YES", A40, 0)</f>
        <v>7680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7680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7680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7680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650</v>
      </c>
      <c r="F173" s="23"/>
      <c r="G173" s="23"/>
      <c r="H173" s="33"/>
      <c r="J173" s="185" t="n">
        <f aca="false">Q141-Q137-Q139-Q140</f>
        <v>30012.5</v>
      </c>
      <c r="K173" s="103" t="n">
        <f aca="false">Q137</f>
        <v>6002.5</v>
      </c>
      <c r="L173" s="186"/>
      <c r="M173" s="23"/>
      <c r="N173" s="182" t="n">
        <f aca="false">Q139+Q140</f>
        <v>640</v>
      </c>
      <c r="O173" s="23"/>
      <c r="P173" s="23"/>
      <c r="Q173" s="33"/>
      <c r="S173" s="185" t="n">
        <f aca="false">Z141-Z137-Z139-Z140</f>
        <v>48120.364575</v>
      </c>
      <c r="T173" s="103" t="n">
        <f aca="false">Z137</f>
        <v>9624.072915</v>
      </c>
      <c r="U173" s="186"/>
      <c r="V173" s="23"/>
      <c r="W173" s="182" t="n">
        <f aca="false">Z139+Z140</f>
        <v>640</v>
      </c>
      <c r="X173" s="23"/>
      <c r="Y173" s="23"/>
      <c r="Z173" s="33"/>
      <c r="AB173" s="185" t="n">
        <f aca="false">AI141-AI137-AI139-AI140</f>
        <v>36523.9575</v>
      </c>
      <c r="AC173" s="103" t="n">
        <f aca="false">AI137</f>
        <v>7304.7915</v>
      </c>
      <c r="AD173" s="186"/>
      <c r="AE173" s="23"/>
      <c r="AF173" s="182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58535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n">
        <f aca="false">Q141</f>
        <v>36655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58384.43749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44468.749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58535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37655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59384.43749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45468.749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8855.08670949825</v>
      </c>
      <c r="B182" s="103" t="str">
        <f aca="false">B114</f>
        <v>239.99</v>
      </c>
      <c r="C182" s="103"/>
      <c r="D182" s="23"/>
      <c r="E182" s="103" t="n">
        <f aca="false">E179+A182+B182+A185</f>
        <v>67640.0767094983</v>
      </c>
      <c r="F182" s="23"/>
      <c r="G182" s="23"/>
      <c r="H182" s="105"/>
      <c r="J182" s="111" t="n">
        <f aca="false">(J167*K59)+N185-N179-J185</f>
        <v>21238.6283606416</v>
      </c>
      <c r="K182" s="103" t="n">
        <f aca="false">K114</f>
        <v>239.99</v>
      </c>
      <c r="L182" s="103"/>
      <c r="M182" s="23"/>
      <c r="N182" s="103" t="n">
        <f aca="false">N179+J182+K182+J185</f>
        <v>59153.6183606416</v>
      </c>
      <c r="O182" s="23"/>
      <c r="P182" s="23"/>
      <c r="Q182" s="105"/>
      <c r="S182" s="111" t="n">
        <f aca="false">(S167*T59)+W185-W179-S185</f>
        <v>13385.7252530543</v>
      </c>
      <c r="T182" s="103" t="n">
        <f aca="false">T114</f>
        <v>199.99</v>
      </c>
      <c r="U182" s="103"/>
      <c r="V182" s="23"/>
      <c r="W182" s="103" t="n">
        <f aca="false">W179+S182+T182+S185</f>
        <v>72980.1527430544</v>
      </c>
      <c r="X182" s="23"/>
      <c r="Y182" s="23"/>
      <c r="Z182" s="105"/>
      <c r="AB182" s="111" t="n">
        <f aca="false">(AB167*AC59)+AF185-AF179-AB185</f>
        <v>10568.8542658161</v>
      </c>
      <c r="AC182" s="103" t="n">
        <f aca="false">AC114</f>
        <v>239.99</v>
      </c>
      <c r="AD182" s="103"/>
      <c r="AE182" s="23"/>
      <c r="AF182" s="103" t="n">
        <f aca="false">AF179+AB182+AC182+AB185</f>
        <v>56287.5932658161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239.99</v>
      </c>
      <c r="C185" s="103"/>
      <c r="D185" s="23"/>
      <c r="E185" s="103" t="n">
        <f aca="false">E170+A185</f>
        <v>7690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7700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7690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7690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 *1.2</f>
        <v>13.8924</v>
      </c>
      <c r="B188" s="103" t="n">
        <f aca="false">(G158*B67)</f>
        <v>573.155208333333</v>
      </c>
      <c r="C188" s="93"/>
      <c r="D188" s="93"/>
      <c r="E188" s="103" t="n">
        <f aca="false">(E40*A108)*0.1*(C45/100)</f>
        <v>37.513</v>
      </c>
      <c r="F188" s="23"/>
      <c r="G188" s="23"/>
      <c r="H188" s="33"/>
      <c r="J188" s="111" t="n">
        <f aca="false">IF(N105="YES", H15*0.000002, 0)</f>
        <v>0.11707</v>
      </c>
      <c r="K188" s="103" t="n">
        <f aca="false">(P158*K67)/1.2</f>
        <v>2320.75086805556</v>
      </c>
      <c r="L188" s="93"/>
      <c r="M188" s="93"/>
      <c r="N188" s="103" t="n">
        <f aca="false">(E40*J108)*0.1</f>
        <v>56.2695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484.560514241319</v>
      </c>
      <c r="U188" s="93"/>
      <c r="V188" s="93"/>
      <c r="W188" s="103" t="n">
        <f aca="false">(E40*S108)*0.1</f>
        <v>37.513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371.012361631944</v>
      </c>
      <c r="AD188" s="93"/>
      <c r="AE188" s="93"/>
      <c r="AF188" s="103" t="n">
        <f aca="false">(E40*AB108)*0.1</f>
        <v>37.513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710.659875</v>
      </c>
      <c r="C191" s="93"/>
      <c r="D191" s="93"/>
      <c r="E191" s="103" t="n">
        <f aca="false">H148</f>
        <v>0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3517.01036805556</v>
      </c>
      <c r="L191" s="93"/>
      <c r="M191" s="93"/>
      <c r="N191" s="103" t="n">
        <f aca="false">Q148</f>
        <v>-21880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1622.06351424132</v>
      </c>
      <c r="U191" s="93"/>
      <c r="V191" s="93"/>
      <c r="W191" s="103" t="n">
        <f aca="false">Z148</f>
        <v>-150.562510000003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1548.51536163194</v>
      </c>
      <c r="AD191" s="93"/>
      <c r="AE191" s="93"/>
      <c r="AF191" s="103" t="n">
        <f aca="false">AI148</f>
        <v>-14066.251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1835.61831498524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1589.8835870777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1980.61596303101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1501.72174311224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6415.96</v>
      </c>
      <c r="B201" s="186" t="n">
        <f aca="false">E179+A201+B182+A185</f>
        <v>65200.95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1756.1790208676</v>
      </c>
      <c r="B212" s="177" t="n">
        <f aca="false">B167</f>
        <v>79.4392941176471</v>
      </c>
      <c r="C212" s="174"/>
      <c r="D212" s="174"/>
      <c r="E212" s="177" t="n">
        <f aca="false">E167</f>
        <v>1835.61831498524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650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58535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58535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8855.08670949825</v>
      </c>
      <c r="B224" s="103" t="str">
        <f aca="false">B182</f>
        <v>239.99</v>
      </c>
      <c r="C224" s="103"/>
      <c r="D224" s="113"/>
      <c r="E224" s="103" t="n">
        <f aca="false">E182</f>
        <v>67640.0767094983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1756.1790208676</v>
      </c>
      <c r="B230" s="103" t="n">
        <f aca="false">B167</f>
        <v>79.4392941176471</v>
      </c>
      <c r="C230" s="186"/>
      <c r="D230" s="186"/>
      <c r="E230" s="103" t="n">
        <f aca="false">E167</f>
        <v>1835.61831498524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7680</v>
      </c>
      <c r="B233" s="103" t="n">
        <f aca="false">E185</f>
        <v>7690</v>
      </c>
      <c r="C233" s="93"/>
      <c r="D233" s="93"/>
      <c r="E233" s="103" t="n">
        <f aca="false">A188</f>
        <v>13.8924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B68</f>
        <v>477.629340277778</v>
      </c>
      <c r="C240" s="93"/>
      <c r="D240" s="93"/>
      <c r="E240" s="103" t="n">
        <f aca="false">E188</f>
        <v>37.513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615.134006944445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2449.12670949825</v>
      </c>
      <c r="C254" s="197"/>
      <c r="D254" s="198" t="s">
        <v>216</v>
      </c>
      <c r="E254" s="198"/>
      <c r="F254" s="200" t="n">
        <f aca="false">F261+F267+F269+B270+B271</f>
        <v>573.155208333333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475.121666666667</v>
      </c>
      <c r="C255" s="197"/>
      <c r="D255" s="198" t="s">
        <v>218</v>
      </c>
      <c r="E255" s="198"/>
      <c r="F255" s="200" t="n">
        <f aca="false">(B254-F254)+B255</f>
        <v>2351.09316783159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2449.12670949825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573.155208333333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375.13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2351.09316783159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A18:A20 A144:A146 J144:J146 S144:S146 AB144:AB146" type="list">
      <formula1>$AB$16:$AB$18</formula1>
      <formula2>0</formula2>
    </dataValidation>
    <dataValidation allowBlank="true" operator="between" showDropDown="false" showErrorMessage="true" showInputMessage="true" sqref="B26 E105 N105 W105 AF105 A111 J111 S111 AB111" type="list">
      <formula1>$Z$19:$Z$20</formula1>
      <formula2>0</formula2>
    </dataValidation>
    <dataValidation allowBlank="true" operator="between" showDropDown="false" showErrorMessage="true" showInputMessage="true" sqref="B105 K105 T105 AC105" type="list">
      <formula1>$Y$127:$Y$136</formula1>
      <formula2>0</formula2>
    </dataValidation>
    <dataValidation allowBlank="true" operator="between" showDropDown="false" showErrorMessage="true" showInputMessage="true" sqref="B108:D108 K108:M108 T108:V108 AC108:AE108" type="list">
      <formula1>$AP$108:$AP$109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2.51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345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555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21273</v>
      </c>
      <c r="I15" s="2"/>
      <c r="J15" s="17" t="n">
        <f aca="false">H15</f>
        <v>21273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21273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35" hidden="false" customHeight="false" outlineLevel="0" collapsed="false">
      <c r="A26" s="36" t="s">
        <v>126</v>
      </c>
      <c r="B26" s="40" t="s">
        <v>389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35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35.0</v>
      </c>
      <c r="P29" s="212"/>
    </row>
    <row r="30" customFormat="false" ht="17.35" hidden="false" customHeight="false" outlineLevel="0" collapsed="false">
      <c r="A30" s="31" t="s">
        <v>181</v>
      </c>
      <c r="B30" s="104" t="s">
        <v>403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35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7680.0</v>
      </c>
      <c r="P31" s="212"/>
    </row>
    <row r="32" customFormat="false" ht="33.25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 t="n">
        <v>0</v>
      </c>
      <c r="J32" s="29" t="s">
        <v>36</v>
      </c>
      <c r="K32" s="449" t="n">
        <v>2813.65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565.704926808692</v>
      </c>
      <c r="F33" s="232"/>
      <c r="G33" s="232"/>
      <c r="H33" s="47"/>
      <c r="I33" s="2"/>
      <c r="J33" s="34" t="s">
        <v>356</v>
      </c>
      <c r="K33" s="48" t="n">
        <f aca="false">H21-H11+(H16*20%)</f>
        <v>17785</v>
      </c>
      <c r="L33" s="1" t="n">
        <f aca="false">H21-H11+(H16*20%)</f>
        <v>17785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565.704926808692</v>
      </c>
      <c r="B36" s="232" t="str">
        <f aca="false">IF(B26="YES", K42, "0.00")</f>
        <v>0.00</v>
      </c>
      <c r="C36" s="232"/>
      <c r="D36" s="232"/>
      <c r="E36" s="232" t="n">
        <f aca="false">K31</f>
        <v>1368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17785</v>
      </c>
      <c r="L39" s="2" t="n">
        <f aca="false">(L47*K46)+K44</f>
        <v>24807.4161256803</v>
      </c>
      <c r="N39" s="1" t="n">
        <f aca="false">K39-L39</f>
        <v>-7022.41612568029</v>
      </c>
      <c r="P39" s="212"/>
    </row>
    <row r="40" customFormat="false" ht="17.35" hidden="false" customHeight="false" outlineLevel="0" collapsed="false">
      <c r="A40" s="313" t="n">
        <f aca="false">E36*A45/100</f>
        <v>28575.0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1140</v>
      </c>
      <c r="L40" s="2" t="n">
        <f aca="false">K39-L39</f>
        <v>-7022.41612568029</v>
      </c>
      <c r="N40" s="1" t="n">
        <f aca="false">N38-N39</f>
        <v>9934.09612568029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(K32/K36/100)*C45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829.392072408654</v>
      </c>
      <c r="L44" s="2"/>
      <c r="P44" s="212"/>
    </row>
    <row r="45" customFormat="false" ht="17.35" hidden="false" customHeight="false" outlineLevel="0" collapsed="false">
      <c r="A45" s="507" t="n">
        <v>100.0</v>
      </c>
      <c r="B45" s="93"/>
      <c r="C45" s="506" t="n">
        <v>100.0</v>
      </c>
      <c r="D45" s="506"/>
      <c r="E45" s="506"/>
      <c r="F45" s="93"/>
      <c r="G45" s="93"/>
      <c r="H45" s="33"/>
      <c r="J45" s="2" t="s">
        <v>367</v>
      </c>
      <c r="K45" s="2" t="n">
        <f aca="false">(K39-K44)</f>
        <v>16955.6079275913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29.9725300665895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565.704926808692</v>
      </c>
      <c r="L47" s="2" t="n">
        <f aca="false">L49-K42</f>
        <v>800</v>
      </c>
      <c r="M47" s="1" t="n">
        <f aca="false">K47-L47</f>
        <v>-234.295073191308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565.704926808692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565.704926808692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20928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20928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20928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7775.13610475283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29889.3171615416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5796.63594308033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-183.337844660524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187.898819444444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1547.8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204.92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168.901354166667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0.05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565.704926808692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565.704926808692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565.704926808692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565.704926808692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23027.6</v>
      </c>
      <c r="C81" s="93"/>
      <c r="D81" s="93"/>
      <c r="E81" s="113"/>
      <c r="F81" s="25" t="s">
        <v>105</v>
      </c>
      <c r="G81" s="27" t="n">
        <f aca="false">G158</f>
        <v>23027.6</v>
      </c>
      <c r="H81" s="33"/>
      <c r="J81" s="25" t="s">
        <v>105</v>
      </c>
      <c r="K81" s="27" t="n">
        <f aca="false">P158</f>
        <v>36534.004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22222.765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17249.5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A40</f>
        <v>1368</v>
      </c>
      <c r="C82" s="93"/>
      <c r="D82" s="93"/>
      <c r="E82" s="113"/>
      <c r="F82" s="31" t="s">
        <v>106</v>
      </c>
      <c r="G82" s="33" t="n">
        <f aca="false">IF(A111 = "Yes", A40, 0)</f>
        <v>1368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1368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1368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869.221188557126</v>
      </c>
      <c r="C86" s="93"/>
      <c r="D86" s="93"/>
      <c r="E86" s="113"/>
      <c r="F86" s="31" t="s">
        <v>110</v>
      </c>
      <c r="G86" s="33" t="n">
        <f aca="false">(G82/((1+G84)^(G85+1)))</f>
        <v>1004.10351246154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935.510386391194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935.510386391194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27.3214908604959</v>
      </c>
      <c r="C87" s="93"/>
      <c r="D87" s="93"/>
      <c r="E87" s="113"/>
      <c r="F87" s="31" t="s">
        <v>111</v>
      </c>
      <c r="G87" s="33" t="n">
        <f aca="false">((1-(1/((1+G84)^G85)))/G84)</f>
        <v>29.2385362709305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22158.3788114429</v>
      </c>
      <c r="C88" s="93"/>
      <c r="D88" s="93"/>
      <c r="E88" s="113"/>
      <c r="F88" s="31" t="s">
        <v>112</v>
      </c>
      <c r="G88" s="33" t="n">
        <f aca="false">G81-G86</f>
        <v>22023.4964875385</v>
      </c>
      <c r="H88" s="33"/>
      <c r="J88" s="31" t="s">
        <v>112</v>
      </c>
      <c r="K88" s="33" t="n">
        <f aca="false">K81-K86</f>
        <v>36534.004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21287.2546136088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16313.9896136088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811.023780678148</v>
      </c>
      <c r="C89" s="93"/>
      <c r="D89" s="93"/>
      <c r="E89" s="113"/>
      <c r="F89" s="31" t="s">
        <v>113</v>
      </c>
      <c r="G89" s="33" t="n">
        <f aca="false">(G88/G87)</f>
        <v>753.235260598001</v>
      </c>
      <c r="H89" s="33"/>
      <c r="J89" s="31" t="s">
        <v>113</v>
      </c>
      <c r="K89" s="33" t="n">
        <f aca="false">(K88/K87)</f>
        <v>1461.4408705837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752.832599452486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576.951017460108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27574.808543057</v>
      </c>
      <c r="C90" s="93"/>
      <c r="D90" s="93"/>
      <c r="E90" s="113"/>
      <c r="F90" s="31" t="s">
        <v>114</v>
      </c>
      <c r="G90" s="33" t="n">
        <f aca="false">((G89*(G85))+G77)</f>
        <v>25609.998860332</v>
      </c>
      <c r="H90" s="33"/>
      <c r="J90" s="31" t="s">
        <v>114</v>
      </c>
      <c r="K90" s="33" t="n">
        <f aca="false">((K89*(K85))+K77)</f>
        <v>51150.4304704296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25596.3083813845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19616.3345936437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27574.808543057</v>
      </c>
      <c r="C92" s="93"/>
      <c r="D92" s="93"/>
      <c r="E92" s="113"/>
      <c r="F92" s="56" t="s">
        <v>116</v>
      </c>
      <c r="G92" s="65" t="n">
        <f aca="false">(G90+G91)</f>
        <v>25609.998860332</v>
      </c>
      <c r="H92" s="33"/>
      <c r="J92" s="56" t="s">
        <v>116</v>
      </c>
      <c r="K92" s="65" t="n">
        <f aca="false">(K90+K91)</f>
        <v>51150.4304704296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25596.3083813845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19616.3345936437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811.023780678148</v>
      </c>
      <c r="C95" s="93"/>
      <c r="D95" s="93"/>
      <c r="E95" s="113"/>
      <c r="F95" s="95" t="s">
        <v>118</v>
      </c>
      <c r="G95" s="96" t="n">
        <f aca="false">G92/(G85)</f>
        <v>753.235260598001</v>
      </c>
      <c r="H95" s="33"/>
      <c r="J95" s="95" t="s">
        <v>118</v>
      </c>
      <c r="K95" s="96" t="n">
        <f aca="false">K92/(K85)</f>
        <v>1461.4408705837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752.832599452486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576.951017460108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811.023780678148</v>
      </c>
      <c r="C96" s="93"/>
      <c r="D96" s="93"/>
      <c r="E96" s="113"/>
      <c r="F96" s="97" t="s">
        <v>119</v>
      </c>
      <c r="G96" s="98" t="n">
        <f aca="false">G94+G95</f>
        <v>753.235260598001</v>
      </c>
      <c r="H96" s="33"/>
      <c r="J96" s="97" t="s">
        <v>119</v>
      </c>
      <c r="K96" s="98" t="n">
        <f aca="false">(K94+K95)</f>
        <v>1461.4408705837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752.832599452486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576.951017460108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123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389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0.3</v>
      </c>
      <c r="B108" s="107" t="s">
        <v>405</v>
      </c>
      <c r="C108" s="107"/>
      <c r="D108" s="107"/>
      <c r="E108" s="108" t="n">
        <f aca="false">B83</f>
        <v>0.1565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389</v>
      </c>
      <c r="B111" s="107" t="n">
        <v>200.0</v>
      </c>
      <c r="C111" s="107"/>
      <c r="D111" s="107"/>
      <c r="E111" s="107" t="n">
        <v>200.0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399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16745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0</v>
      </c>
      <c r="P121" s="121" t="n">
        <f aca="false">O121</f>
        <v>0</v>
      </c>
      <c r="Q121" s="122" t="n">
        <f aca="false">H3</f>
        <v>0</v>
      </c>
      <c r="S121" s="25" t="s">
        <v>149</v>
      </c>
      <c r="T121" s="120" t="n">
        <f aca="false">B3</f>
        <v>16745</v>
      </c>
      <c r="U121" s="121" t="n">
        <f aca="false">T121</f>
        <v>16745</v>
      </c>
      <c r="V121" s="120" t="n">
        <f aca="false">D3</f>
        <v>0</v>
      </c>
      <c r="W121" s="121" t="n">
        <f aca="false">V121</f>
        <v>0</v>
      </c>
      <c r="X121" s="120" t="n">
        <f aca="false">F3</f>
        <v>0</v>
      </c>
      <c r="Y121" s="121" t="n">
        <f aca="false">X121</f>
        <v>0</v>
      </c>
      <c r="Z121" s="122" t="n">
        <f aca="false">H3</f>
        <v>0</v>
      </c>
      <c r="AB121" s="25" t="s">
        <v>149</v>
      </c>
      <c r="AC121" s="120" t="n">
        <f aca="false">B3</f>
        <v>16745</v>
      </c>
      <c r="AD121" s="121" t="n">
        <f aca="false">AC121</f>
        <v>16745</v>
      </c>
      <c r="AE121" s="120" t="n">
        <f aca="false">D3</f>
        <v>0</v>
      </c>
      <c r="AF121" s="121" t="n">
        <f aca="false">AE121</f>
        <v>0</v>
      </c>
      <c r="AG121" s="120" t="n">
        <f aca="false">F3</f>
        <v>0</v>
      </c>
      <c r="AH121" s="121" t="n">
        <f aca="false">AG121</f>
        <v>0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-9755.83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-3545.5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41.8625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4186.25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20290.5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16745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0</v>
      </c>
      <c r="P125" s="133" t="n">
        <f aca="false">P121-P124</f>
        <v>0</v>
      </c>
      <c r="Q125" s="65"/>
      <c r="S125" s="56" t="s">
        <v>153</v>
      </c>
      <c r="T125" s="132" t="n">
        <f aca="false">T121-T124</f>
        <v>16745</v>
      </c>
      <c r="U125" s="133" t="n">
        <f aca="false">U121-U124</f>
        <v>16703.1375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0</v>
      </c>
      <c r="Y125" s="133" t="n">
        <f aca="false">Y121-Y124</f>
        <v>0</v>
      </c>
      <c r="Z125" s="65"/>
      <c r="AB125" s="56" t="s">
        <v>153</v>
      </c>
      <c r="AC125" s="132" t="n">
        <f aca="false">AC121-AC124</f>
        <v>16745</v>
      </c>
      <c r="AD125" s="133" t="n">
        <f aca="false">AD121-AD124</f>
        <v>12558.75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0</v>
      </c>
      <c r="AH125" s="133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20290.5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16745</v>
      </c>
      <c r="Q135" s="153" t="n">
        <f aca="false">L125+N125+P125+Q128</f>
        <v>28629.17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16745</v>
      </c>
      <c r="Z135" s="153" t="n">
        <f aca="false">U125+W125+Y125+Z128</f>
        <v>16703.1375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16745</v>
      </c>
      <c r="AI135" s="153" t="n">
        <f aca="false">AD125+AF125+AH125+AI128</f>
        <v>12558.75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695</v>
      </c>
      <c r="Q136" s="33" t="n">
        <f aca="false">P136</f>
        <v>695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695</v>
      </c>
      <c r="Z136" s="33" t="n">
        <f aca="false">Y136</f>
        <v>695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4197.1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3488</v>
      </c>
      <c r="Q137" s="33" t="n">
        <f aca="false">(Q135+Q136)*20%</f>
        <v>5864.834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3488</v>
      </c>
      <c r="Z137" s="33" t="n">
        <f aca="false">(Z135+Z136)*20%</f>
        <v>3479.6275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3488</v>
      </c>
      <c r="AI137" s="33" t="n">
        <f aca="false">(AI135+AI136)*20%</f>
        <v>2650.75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290</v>
      </c>
      <c r="H139" s="33" t="n">
        <f aca="false">G139</f>
        <v>290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290</v>
      </c>
      <c r="Q139" s="33" t="n">
        <f aca="false">P139</f>
        <v>290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290</v>
      </c>
      <c r="Z139" s="33" t="n">
        <f aca="false">Y139</f>
        <v>290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290</v>
      </c>
      <c r="AI139" s="33" t="n">
        <f aca="false">AH139</f>
        <v>290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55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55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21273</v>
      </c>
      <c r="H141" s="157" t="n">
        <f aca="false">(H135+H136+H139+H140+H137)-H138</f>
        <v>25527.6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21273</v>
      </c>
      <c r="Q141" s="157" t="n">
        <f aca="false">(Q135+Q136+Q139+Q140+Q137)-Q138</f>
        <v>35534.004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21273</v>
      </c>
      <c r="Z141" s="157" t="n">
        <f aca="false">(Z135+Z136+Z139+Z140+Z137)-Z138</f>
        <v>21222.765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21273</v>
      </c>
      <c r="AI141" s="157" t="n">
        <f aca="false">(AI135+AI136+AI139+AI140+AI137)-AI138</f>
        <v>16249.5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21273</v>
      </c>
      <c r="H147" s="164" t="n">
        <f aca="false">H141-((H144*1.2)+(H145*1.2)+(H146*1.2)+(H142*1.2))</f>
        <v>25527.6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21273</v>
      </c>
      <c r="Q147" s="164" t="n">
        <f aca="false">Q141-((Q144*1.2)+(Q145*1.2)+(Q146*1.2)+(Q142*1.2))</f>
        <v>35534.004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21273</v>
      </c>
      <c r="Z147" s="164" t="n">
        <f aca="false">Z141-((Z144*1.2)+(Z145*1.2)+(Z146*1.2)+(Z142*1.2))</f>
        <v>21222.765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21273</v>
      </c>
      <c r="AI147" s="164" t="n">
        <f aca="false">AI141-((AI144*1.2)+(AI145*1.2)+(AI146*1.2)+(AI142*1.2))</f>
        <v>16249.5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3545.5</v>
      </c>
      <c r="I148" s="1" t="n">
        <f aca="false">(H148-G81)/1.2</f>
        <v>-16235.0833333333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14261.004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-50.2350000000006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-5023.5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23027.6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36534.004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22222.765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17249.5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811.023780678148</v>
      </c>
      <c r="B167" s="177" t="str">
        <f aca="false">B94</f>
        <v>0</v>
      </c>
      <c r="C167" s="174"/>
      <c r="D167" s="174"/>
      <c r="E167" s="177" t="n">
        <f aca="false">B96</f>
        <v>811.023780678148</v>
      </c>
      <c r="F167" s="23"/>
      <c r="G167" s="23" t="n">
        <f aca="false">ROUND(G95, 2)</f>
        <v>753.24</v>
      </c>
      <c r="H167" s="33"/>
      <c r="J167" s="176" t="n">
        <f aca="false">K95</f>
        <v>1461.4408705837</v>
      </c>
      <c r="K167" s="177" t="n">
        <f aca="false">K94</f>
        <v>0</v>
      </c>
      <c r="L167" s="174"/>
      <c r="M167" s="174"/>
      <c r="N167" s="177" t="n">
        <f aca="false">K96</f>
        <v>1461.4408705837</v>
      </c>
      <c r="O167" s="23"/>
      <c r="P167" s="23"/>
      <c r="Q167" s="33"/>
      <c r="S167" s="176" t="n">
        <f aca="false">T95</f>
        <v>752.832599452486</v>
      </c>
      <c r="T167" s="177" t="n">
        <f aca="false">T94</f>
        <v>0</v>
      </c>
      <c r="U167" s="174"/>
      <c r="V167" s="174"/>
      <c r="W167" s="177" t="n">
        <f aca="false">T96</f>
        <v>752.832599452486</v>
      </c>
      <c r="X167" s="23"/>
      <c r="Y167" s="23"/>
      <c r="Z167" s="33"/>
      <c r="AB167" s="176" t="n">
        <f aca="false">AC95</f>
        <v>576.951017460108</v>
      </c>
      <c r="AC167" s="177" t="n">
        <f aca="false">AC94</f>
        <v>0</v>
      </c>
      <c r="AD167" s="174"/>
      <c r="AE167" s="174"/>
      <c r="AF167" s="177" t="n">
        <f aca="false">AC96</f>
        <v>576.951017460108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1368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1368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1368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1368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20985.5</v>
      </c>
      <c r="B173" s="103" t="n">
        <f aca="false">H137</f>
        <v>4197.1</v>
      </c>
      <c r="C173" s="186"/>
      <c r="D173" s="23"/>
      <c r="E173" s="182" t="n">
        <f aca="false">H139+H140</f>
        <v>345</v>
      </c>
      <c r="F173" s="23"/>
      <c r="G173" s="23"/>
      <c r="H173" s="33"/>
      <c r="J173" s="185" t="n">
        <f aca="false">Q141-Q137-Q139-Q140</f>
        <v>29324.17</v>
      </c>
      <c r="K173" s="103" t="n">
        <f aca="false">Q137</f>
        <v>5864.834</v>
      </c>
      <c r="L173" s="186"/>
      <c r="M173" s="23"/>
      <c r="N173" s="182" t="n">
        <f aca="false">Q139+Q140</f>
        <v>345</v>
      </c>
      <c r="O173" s="23"/>
      <c r="P173" s="23"/>
      <c r="Q173" s="33"/>
      <c r="S173" s="185" t="n">
        <f aca="false">Z141-Z137-Z139-Z140</f>
        <v>17398.1375</v>
      </c>
      <c r="T173" s="103" t="n">
        <f aca="false">Z137</f>
        <v>3479.6275</v>
      </c>
      <c r="U173" s="186"/>
      <c r="V173" s="23"/>
      <c r="W173" s="182" t="n">
        <f aca="false">Z139+Z140</f>
        <v>345</v>
      </c>
      <c r="X173" s="23"/>
      <c r="Y173" s="23"/>
      <c r="Z173" s="33"/>
      <c r="AB173" s="185" t="n">
        <f aca="false">AI141-AI137-AI139-AI140</f>
        <v>13253.75</v>
      </c>
      <c r="AC173" s="103" t="n">
        <f aca="false">AI137</f>
        <v>2650.75</v>
      </c>
      <c r="AD173" s="186"/>
      <c r="AE173" s="23"/>
      <c r="AF173" s="182" t="n">
        <f aca="false">AI139+AI140</f>
        <v>345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25527.6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n">
        <f aca="false">Q141</f>
        <v>35534.004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21222.765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16249.5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23027.6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36534.004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22222.765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17249.5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5915.20854305703</v>
      </c>
      <c r="B182" s="103" t="str">
        <f aca="false">B114</f>
        <v>239.99</v>
      </c>
      <c r="C182" s="103"/>
      <c r="D182" s="23"/>
      <c r="E182" s="103" t="n">
        <f aca="false">E179+A182+B182+A185</f>
        <v>29192.798543057</v>
      </c>
      <c r="F182" s="23"/>
      <c r="G182" s="23"/>
      <c r="H182" s="105"/>
      <c r="J182" s="111" t="n">
        <f aca="false">(J167*K59)+N185-N179-J185</f>
        <v>14522.9855998458</v>
      </c>
      <c r="K182" s="103" t="n">
        <f aca="false">K114</f>
        <v>239.99</v>
      </c>
      <c r="L182" s="103"/>
      <c r="M182" s="23"/>
      <c r="N182" s="103" t="n">
        <f aca="false">N179+J182+K182+J185</f>
        <v>51316.9795998458</v>
      </c>
      <c r="O182" s="23"/>
      <c r="P182" s="23"/>
      <c r="Q182" s="105"/>
      <c r="S182" s="111" t="n">
        <f aca="false">(S167*T59)+W185-W179-S185</f>
        <v>4741.54338138454</v>
      </c>
      <c r="T182" s="103" t="n">
        <f aca="false">T114</f>
        <v>199.99</v>
      </c>
      <c r="U182" s="103"/>
      <c r="V182" s="23"/>
      <c r="W182" s="103" t="n">
        <f aca="false">W179+S182+T182+S185</f>
        <v>27174.2983813845</v>
      </c>
      <c r="X182" s="23"/>
      <c r="Y182" s="23"/>
      <c r="Z182" s="105"/>
      <c r="AB182" s="111" t="n">
        <f aca="false">(AB167*AC59)+AF185-AF179-AB185</f>
        <v>3734.83459364368</v>
      </c>
      <c r="AC182" s="103" t="n">
        <f aca="false">AC114</f>
        <v>239.99</v>
      </c>
      <c r="AD182" s="103"/>
      <c r="AE182" s="23"/>
      <c r="AF182" s="103" t="n">
        <f aca="false">AF179+AB182+AC182+AB185</f>
        <v>21234.3245936437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2239.99</v>
      </c>
      <c r="C185" s="103"/>
      <c r="D185" s="23"/>
      <c r="E185" s="103" t="n">
        <f aca="false">IF(A40=0,(E167),(E170+A185))</f>
        <v>1378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1388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1378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1378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</f>
        <v>0</v>
      </c>
      <c r="B188" s="103" t="n">
        <f aca="false">(G158*B67)/1.2</f>
        <v>187.898819444444</v>
      </c>
      <c r="C188" s="93"/>
      <c r="D188" s="93"/>
      <c r="E188" s="103" t="n">
        <f aca="false">(E40*A108)*0.1*C45/100</f>
        <v>0</v>
      </c>
      <c r="F188" s="23"/>
      <c r="G188" s="23"/>
      <c r="H188" s="33"/>
      <c r="J188" s="111" t="n">
        <f aca="false">IF(N105="YES", H15*0.000002, 0)</f>
        <v>0.042546</v>
      </c>
      <c r="K188" s="103" t="n">
        <f aca="false">(P158*K67)/1.2</f>
        <v>2251.66170486111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181.331589409722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140.751128472222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287.890486111111</v>
      </c>
      <c r="C191" s="93"/>
      <c r="D191" s="93"/>
      <c r="E191" s="103" t="n">
        <f aca="false">H148</f>
        <v>3545.5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3391.65170486111</v>
      </c>
      <c r="L191" s="93"/>
      <c r="M191" s="93"/>
      <c r="N191" s="103" t="n">
        <f aca="false">Q148</f>
        <v>14261.004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1281.32158940972</v>
      </c>
      <c r="U191" s="93"/>
      <c r="V191" s="93"/>
      <c r="W191" s="103" t="n">
        <f aca="false">Z148</f>
        <v>-50.2350000000006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1280.74112847222</v>
      </c>
      <c r="AD191" s="93"/>
      <c r="AE191" s="93"/>
      <c r="AF191" s="103" t="n">
        <f aca="false">AI148</f>
        <v>-5023.5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811.023780678148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1461.4408705837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752.832599452486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576.951017460108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3950.56</v>
      </c>
      <c r="B201" s="186" t="n">
        <f aca="false">E179+A201+B182+A185</f>
        <v>27228.15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811.023780678148</v>
      </c>
      <c r="B212" s="177" t="str">
        <f aca="false">B167</f>
        <v>0</v>
      </c>
      <c r="C212" s="174"/>
      <c r="D212" s="174"/>
      <c r="E212" s="177" t="n">
        <f aca="false">E167</f>
        <v>811.023780678148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20985.5</v>
      </c>
      <c r="B215" s="103" t="n">
        <f aca="false">B173</f>
        <v>4197.1</v>
      </c>
      <c r="C215" s="186"/>
      <c r="D215" s="113"/>
      <c r="E215" s="182" t="n">
        <f aca="false">E173</f>
        <v>345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25527.6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23027.6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5915.20854305703</v>
      </c>
      <c r="B224" s="103" t="str">
        <f aca="false">B182</f>
        <v>239.99</v>
      </c>
      <c r="C224" s="103"/>
      <c r="D224" s="113"/>
      <c r="E224" s="103" t="n">
        <f aca="false">E182</f>
        <v>29192.798543057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811.023780678148</v>
      </c>
      <c r="B230" s="103" t="str">
        <f aca="false">B167</f>
        <v>0</v>
      </c>
      <c r="C230" s="186"/>
      <c r="D230" s="186"/>
      <c r="E230" s="103" t="n">
        <f aca="false">E167</f>
        <v>811.023780678148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1368</v>
      </c>
      <c r="B233" s="103" t="n">
        <f aca="false">E185</f>
        <v>1378</v>
      </c>
      <c r="C233" s="93"/>
      <c r="D233" s="93"/>
      <c r="E233" s="103" t="n">
        <f aca="false">J18*0.000006*100*1.2</f>
        <v>15.06816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0</v>
      </c>
      <c r="B236" s="103" t="n">
        <f aca="false">E233+A236</f>
        <v>15.06816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3545.5</v>
      </c>
      <c r="B240" s="103" t="n">
        <f aca="false">B68</f>
        <v>187.898819444444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3833.39048611111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1974.64854305703</v>
      </c>
      <c r="C254" s="197"/>
      <c r="D254" s="198" t="s">
        <v>216</v>
      </c>
      <c r="E254" s="198"/>
      <c r="F254" s="200" t="n">
        <f aca="false">F261+F267+F269+B270+B271</f>
        <v>225.478583333333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1849.16162639037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1974.64854305703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225.478583333333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1849.16162639037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HirePurchaseNonRegulated!$K$9:$K$10</formula1>
      <formula2>0</formula2>
    </dataValidation>
    <dataValidation allowBlank="true" operator="between" showDropDown="false" showErrorMessage="true" showInputMessage="true" sqref="E105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3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650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58535</v>
      </c>
      <c r="I15" s="2"/>
      <c r="J15" s="17" t="n">
        <f aca="false">H15</f>
        <v>58535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58535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393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35.0</v>
      </c>
      <c r="P29" s="212"/>
    </row>
    <row r="30" customFormat="false" ht="17.9" hidden="false" customHeight="false" outlineLevel="0" collapsed="false">
      <c r="A30" s="31" t="s">
        <v>181</v>
      </c>
      <c r="B30" s="104" t="s">
        <v>403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3382.5</v>
      </c>
      <c r="P31" s="212"/>
    </row>
    <row r="32" customFormat="false" ht="34.8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 t="n">
        <v>0</v>
      </c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1369.02804901647</v>
      </c>
      <c r="F33" s="232"/>
      <c r="G33" s="232"/>
      <c r="H33" s="47"/>
      <c r="I33" s="2"/>
      <c r="J33" s="34" t="s">
        <v>356</v>
      </c>
      <c r="K33" s="48" t="n">
        <f aca="false">H21-H11+(H16*20%)</f>
        <v>48887.5</v>
      </c>
      <c r="L33" s="1" t="n">
        <f aca="false">H21-H11+(H16*20%)</f>
        <v>48887.5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1288.63804901647</v>
      </c>
      <c r="B36" s="232" t="n">
        <f aca="false">IF(B26="YES", K42, "0.00")</f>
        <v>80.39</v>
      </c>
      <c r="C36" s="232"/>
      <c r="D36" s="232"/>
      <c r="E36" s="232" t="n">
        <f aca="false">K31</f>
        <v>11520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48887.5</v>
      </c>
      <c r="L39" s="2" t="n">
        <f aca="false">(L47*K46)+K44</f>
        <v>30790.0061204858</v>
      </c>
      <c r="N39" s="1" t="n">
        <f aca="false">K39-L39</f>
        <v>18097.4938795142</v>
      </c>
      <c r="P39" s="212"/>
    </row>
    <row r="40" customFormat="false" ht="17.35" hidden="false" customHeight="false" outlineLevel="0" collapsed="false">
      <c r="A40" s="313" t="n">
        <f aca="false">E36*A45/100</f>
        <v>16475.0</v>
      </c>
      <c r="B40" s="107" t="n">
        <f aca="false">IF(B26="YES", K42, "0.00")</f>
        <v>80.39</v>
      </c>
      <c r="C40" s="107"/>
      <c r="D40" s="107"/>
      <c r="E40" s="182" t="n">
        <f aca="false">K32</f>
        <v>2813.65</v>
      </c>
      <c r="F40" s="186"/>
      <c r="G40" s="186"/>
      <c r="H40" s="47"/>
      <c r="J40" s="2" t="s">
        <v>106</v>
      </c>
      <c r="K40" s="2" t="n">
        <f aca="false">(A40)/1.2</f>
        <v>9600</v>
      </c>
      <c r="L40" s="2" t="n">
        <f aca="false">K39-L39</f>
        <v>18097.4938795142</v>
      </c>
      <c r="N40" s="1" t="n">
        <f aca="false">N38-N39</f>
        <v>-15185.8138795142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(K32/K36/100)*C45</f>
        <v>80.39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7903.3705791501</v>
      </c>
      <c r="L44" s="2"/>
      <c r="P44" s="212"/>
    </row>
    <row r="45" customFormat="false" ht="17.35" hidden="false" customHeight="false" outlineLevel="0" collapsed="false">
      <c r="A45" s="507" t="n">
        <v>100.0</v>
      </c>
      <c r="B45" s="93"/>
      <c r="C45" s="506" t="n">
        <v>100.0</v>
      </c>
      <c r="D45" s="506"/>
      <c r="E45" s="506"/>
      <c r="F45" s="93"/>
      <c r="G45" s="93"/>
      <c r="H45" s="33"/>
      <c r="J45" s="2" t="s">
        <v>367</v>
      </c>
      <c r="K45" s="2" t="n">
        <f aca="false">(K39-K44)</f>
        <v>40984.1294208499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31.8042210938366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1288.63804901647</v>
      </c>
      <c r="L47" s="2" t="n">
        <f aca="false">L49-K42</f>
        <v>719.61</v>
      </c>
      <c r="M47" s="1" t="n">
        <f aca="false">K47-L47</f>
        <v>569.028049016467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1369.02804901647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1369.02804901647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57885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57885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57885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-55198.3862458338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6111.29664506531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16830.2724240656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97.7129468273997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6.52777777256771E-005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4281.078125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566.790625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445.214833958333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1288.63804901647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1288.63804901647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1369.02804901647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1369.02804901647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0.00799999999361489</v>
      </c>
      <c r="C81" s="93"/>
      <c r="D81" s="93"/>
      <c r="E81" s="113"/>
      <c r="F81" s="25" t="s">
        <v>105</v>
      </c>
      <c r="G81" s="27" t="n">
        <f aca="false">G158</f>
        <v>0.00799999999361489</v>
      </c>
      <c r="H81" s="33"/>
      <c r="J81" s="25" t="s">
        <v>105</v>
      </c>
      <c r="K81" s="27" t="n">
        <f aca="false">P158</f>
        <v>37655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59384.43749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45468.749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A40</f>
        <v>11520</v>
      </c>
      <c r="C82" s="93"/>
      <c r="D82" s="93"/>
      <c r="E82" s="113"/>
      <c r="F82" s="31" t="s">
        <v>106</v>
      </c>
      <c r="G82" s="33" t="n">
        <f aca="false">IF(A111 = "Yes", A40, 0)</f>
        <v>11520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11520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11520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8894.73216699905</v>
      </c>
      <c r="C86" s="93"/>
      <c r="D86" s="93"/>
      <c r="E86" s="113"/>
      <c r="F86" s="31" t="s">
        <v>110</v>
      </c>
      <c r="G86" s="33" t="n">
        <f aca="false">(G82/((1+G84)^(G85+1)))</f>
        <v>9535.4166037446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7877.982201189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7877.982201189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29.9543371890103</v>
      </c>
      <c r="C87" s="93"/>
      <c r="D87" s="93"/>
      <c r="E87" s="113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-8894.72416699905</v>
      </c>
      <c r="C88" s="93"/>
      <c r="D88" s="93"/>
      <c r="E88" s="113"/>
      <c r="F88" s="31" t="s">
        <v>112</v>
      </c>
      <c r="G88" s="33" t="n">
        <f aca="false">G81-G86</f>
        <v>-9535.4086037446</v>
      </c>
      <c r="H88" s="33"/>
      <c r="J88" s="31" t="s">
        <v>112</v>
      </c>
      <c r="K88" s="33" t="n">
        <f aca="false">K81-K86</f>
        <v>37655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51506.455288811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37590.766798811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-296.942780301691</v>
      </c>
      <c r="C89" s="93"/>
      <c r="D89" s="93"/>
      <c r="E89" s="113"/>
      <c r="F89" s="31" t="s">
        <v>113</v>
      </c>
      <c r="G89" s="33" t="n">
        <f aca="false">(G88/G87)</f>
        <v>-307.82723882968</v>
      </c>
      <c r="H89" s="33"/>
      <c r="J89" s="31" t="s">
        <v>113</v>
      </c>
      <c r="K89" s="33" t="n">
        <f aca="false">(K88/K87)</f>
        <v>1506.2831870777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1821.5471805777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1329.41307830599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-10096.0545302575</v>
      </c>
      <c r="C90" s="93"/>
      <c r="D90" s="93"/>
      <c r="E90" s="113"/>
      <c r="F90" s="31" t="s">
        <v>114</v>
      </c>
      <c r="G90" s="33" t="n">
        <f aca="false">((G89*(G85))+G77)</f>
        <v>-10466.1261202091</v>
      </c>
      <c r="H90" s="33"/>
      <c r="J90" s="31" t="s">
        <v>114</v>
      </c>
      <c r="K90" s="33" t="n">
        <f aca="false">((K89*(K85))+K77)</f>
        <v>52719.9115477193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61932.604139642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45200.0446624037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-0</v>
      </c>
      <c r="C91" s="93"/>
      <c r="D91" s="93"/>
      <c r="E91" s="113"/>
      <c r="F91" s="31" t="s">
        <v>115</v>
      </c>
      <c r="G91" s="33" t="n">
        <f aca="false">(((G89*(G85))+G77)/(1-G71))*G71</f>
        <v>-0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-10096.0545302575</v>
      </c>
      <c r="C92" s="93"/>
      <c r="D92" s="93"/>
      <c r="E92" s="113"/>
      <c r="F92" s="56" t="s">
        <v>116</v>
      </c>
      <c r="G92" s="65" t="n">
        <f aca="false">(G90+G91)</f>
        <v>-10466.1261202091</v>
      </c>
      <c r="H92" s="33"/>
      <c r="J92" s="56" t="s">
        <v>116</v>
      </c>
      <c r="K92" s="65" t="n">
        <f aca="false">(K90+K91)</f>
        <v>52719.9115477193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61932.604139642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45200.0446624037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IF(B26="YES",((E40/B85)*(1+A108)*(C45/100)),"0")</f>
        <v>99.3052941176471</v>
      </c>
      <c r="C94" s="93"/>
      <c r="D94" s="93"/>
      <c r="E94" s="113"/>
      <c r="F94" s="88" t="s">
        <v>117</v>
      </c>
      <c r="G94" s="94" t="n">
        <f aca="false">IF(B26="YES",((E40/B85)*(1+A108)*(C45/100)),"0")</f>
        <v>99.3052941176471</v>
      </c>
      <c r="H94" s="33"/>
      <c r="J94" s="88" t="s">
        <v>117</v>
      </c>
      <c r="K94" s="89" t="n">
        <f aca="false">((E40/K85)*(1+J108))*1.2</f>
        <v>125.4084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99.3052941176471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119.166352941176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-296.942780301691</v>
      </c>
      <c r="C95" s="93"/>
      <c r="D95" s="93"/>
      <c r="E95" s="113"/>
      <c r="F95" s="95" t="s">
        <v>118</v>
      </c>
      <c r="G95" s="96" t="n">
        <f aca="false">G92/(G85)</f>
        <v>-307.82723882968</v>
      </c>
      <c r="H95" s="33"/>
      <c r="J95" s="95" t="s">
        <v>118</v>
      </c>
      <c r="K95" s="96" t="n">
        <f aca="false">K92/(K85)</f>
        <v>1506.2831870777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1821.5471805777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1329.41307830599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-197.637486184043</v>
      </c>
      <c r="C96" s="93"/>
      <c r="D96" s="93"/>
      <c r="E96" s="113"/>
      <c r="F96" s="97" t="s">
        <v>119</v>
      </c>
      <c r="G96" s="98" t="n">
        <f aca="false">G94+G95</f>
        <v>-208.521944712033</v>
      </c>
      <c r="H96" s="33"/>
      <c r="J96" s="97" t="s">
        <v>119</v>
      </c>
      <c r="K96" s="98" t="n">
        <f aca="false">(K94+K95)</f>
        <v>1631.6915870777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1920.85247469535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1448.57943124717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393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400</v>
      </c>
      <c r="C108" s="107"/>
      <c r="D108" s="107"/>
      <c r="E108" s="108" t="n">
        <f aca="false">B83</f>
        <v>0.089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389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406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n">
        <v>0.3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25" t="s">
        <v>149</v>
      </c>
      <c r="K121" s="120" t="n">
        <f aca="false">B3</f>
        <v>46854.17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833.33</v>
      </c>
      <c r="P121" s="121" t="n">
        <f aca="false">O121</f>
        <v>833.33</v>
      </c>
      <c r="Q121" s="122" t="n">
        <f aca="false">H3</f>
        <v>0</v>
      </c>
      <c r="S121" s="25" t="s">
        <v>149</v>
      </c>
      <c r="T121" s="120" t="n">
        <f aca="false">B3</f>
        <v>46854.17</v>
      </c>
      <c r="U121" s="121" t="n">
        <f aca="false">T121</f>
        <v>46854.17</v>
      </c>
      <c r="V121" s="120" t="n">
        <f aca="false">D3</f>
        <v>0</v>
      </c>
      <c r="W121" s="121" t="n">
        <f aca="false">V121</f>
        <v>0</v>
      </c>
      <c r="X121" s="120" t="n">
        <f aca="false">F3</f>
        <v>833.33</v>
      </c>
      <c r="Y121" s="121" t="n">
        <f aca="false">X121</f>
        <v>833.33</v>
      </c>
      <c r="Z121" s="122" t="n">
        <f aca="false">H3</f>
        <v>0</v>
      </c>
      <c r="AB121" s="25" t="s">
        <v>149</v>
      </c>
      <c r="AC121" s="120" t="n">
        <f aca="false">B3</f>
        <v>46854.17</v>
      </c>
      <c r="AD121" s="121" t="n">
        <f aca="false">AC121</f>
        <v>46854.17</v>
      </c>
      <c r="AE121" s="120" t="n">
        <f aca="false">D3</f>
        <v>0</v>
      </c>
      <c r="AF121" s="121" t="n">
        <f aca="false">AE121</f>
        <v>0</v>
      </c>
      <c r="AG121" s="120" t="n">
        <f aca="false">F3</f>
        <v>833.33</v>
      </c>
      <c r="AH121" s="121" t="n">
        <f aca="false">AG121</f>
        <v>833.33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14.0</v>
      </c>
      <c r="D122" s="123" t="n">
        <f aca="false">D4</f>
        <v>0</v>
      </c>
      <c r="E122" s="124" t="n">
        <v>14.0</v>
      </c>
      <c r="F122" s="123" t="n">
        <f aca="false">F4</f>
        <v>0</v>
      </c>
      <c r="G122" s="452" t="n">
        <v>14.0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6.0</v>
      </c>
      <c r="D123" s="130" t="n">
        <f aca="false">D5</f>
        <v>0</v>
      </c>
      <c r="E123" s="121" t="n">
        <v>6.0</v>
      </c>
      <c r="F123" s="130" t="n">
        <f aca="false">F5</f>
        <v>0</v>
      </c>
      <c r="G123" s="121" t="n">
        <v>9.0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48779.16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117.135425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11713.5425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-1924.99000000001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56" t="s">
        <v>153</v>
      </c>
      <c r="K125" s="132" t="n">
        <f aca="false">K121-K124</f>
        <v>46854.17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833.33</v>
      </c>
      <c r="P125" s="133" t="n">
        <f aca="false">P121-P124</f>
        <v>833.33</v>
      </c>
      <c r="Q125" s="65"/>
      <c r="S125" s="56" t="s">
        <v>153</v>
      </c>
      <c r="T125" s="132" t="n">
        <f aca="false">T121-T124</f>
        <v>46854.17</v>
      </c>
      <c r="U125" s="133" t="n">
        <f aca="false">U121-U124</f>
        <v>46737.034575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833.33</v>
      </c>
      <c r="Y125" s="133" t="n">
        <f aca="false">Y121-Y124</f>
        <v>833.33</v>
      </c>
      <c r="Z125" s="65"/>
      <c r="AB125" s="56" t="s">
        <v>153</v>
      </c>
      <c r="AC125" s="132" t="n">
        <f aca="false">AC121-AC124</f>
        <v>46854.17</v>
      </c>
      <c r="AD125" s="133" t="n">
        <f aca="false">AD121-AD124</f>
        <v>35140.6275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833.33</v>
      </c>
      <c r="AH125" s="133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-1091.66000000001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47687.5</v>
      </c>
      <c r="Q135" s="153" t="n">
        <f aca="false">L125+N125+P125+Q128</f>
        <v>29462.5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47687.5</v>
      </c>
      <c r="Z135" s="153" t="n">
        <f aca="false">U125+W125+Y125+Z128</f>
        <v>47570.364575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47687.5</v>
      </c>
      <c r="AI135" s="153" t="n">
        <f aca="false">AD125+AF125+AH125+AI128</f>
        <v>35973.9575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550</v>
      </c>
      <c r="Q136" s="33" t="n">
        <f aca="false">P136</f>
        <v>550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550</v>
      </c>
      <c r="Z136" s="33" t="n">
        <f aca="false">Y136</f>
        <v>550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-108.332000000001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9647.5</v>
      </c>
      <c r="Q137" s="33" t="n">
        <f aca="false">(Q135+Q136)*20%</f>
        <v>6002.5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9647.5</v>
      </c>
      <c r="Z137" s="33" t="n">
        <f aca="false">(Z135+Z136)*20%</f>
        <v>9624.072915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585</v>
      </c>
      <c r="Q139" s="33" t="n">
        <f aca="false">P139</f>
        <v>585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585</v>
      </c>
      <c r="Z139" s="33" t="n">
        <f aca="false">Y139</f>
        <v>585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58535</v>
      </c>
      <c r="H141" s="157" t="n">
        <f aca="false">(H135+H136+H139+H140+H137)-H138</f>
        <v>0.00799999999361489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58535</v>
      </c>
      <c r="Q141" s="157" t="n">
        <f aca="false">(Q135+Q136+Q139+Q140+Q137)-Q138</f>
        <v>36655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58535</v>
      </c>
      <c r="Z141" s="157" t="n">
        <f aca="false">(Z135+Z136+Z139+Z140+Z137)-Z138</f>
        <v>58384.43749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58535</v>
      </c>
      <c r="AI141" s="157" t="n">
        <f aca="false">(AI135+AI136+AI139+AI140+AI137)-AI138</f>
        <v>44468.749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58535</v>
      </c>
      <c r="H147" s="164" t="n">
        <f aca="false">H141-((H144*1.2)+(H145*1.2)+(H146*1.2)+(H142*1.2))</f>
        <v>0.00799999999361489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58535</v>
      </c>
      <c r="Q147" s="164" t="n">
        <f aca="false">Q141-((Q144*1.2)+(Q145*1.2)+(Q146*1.2)+(Q142*1.2))</f>
        <v>36655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58535</v>
      </c>
      <c r="Z147" s="164" t="n">
        <f aca="false">Z141-((Z144*1.2)+(Z145*1.2)+(Z146*1.2)+(Z142*1.2))</f>
        <v>58384.43749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58535</v>
      </c>
      <c r="AI147" s="164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-48779.16</v>
      </c>
      <c r="I148" s="1" t="n">
        <f aca="false">(H148-G81)/1.2</f>
        <v>-40649.3066666667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-21880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-150.562510000003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-14066.251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0.00799999999361489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37655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59384.43749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45468.749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-296.942780301691</v>
      </c>
      <c r="B167" s="177" t="n">
        <f aca="false">B94</f>
        <v>99.3052941176471</v>
      </c>
      <c r="C167" s="174"/>
      <c r="D167" s="174"/>
      <c r="E167" s="177" t="n">
        <f aca="false">B96</f>
        <v>-197.637486184043</v>
      </c>
      <c r="F167" s="23"/>
      <c r="G167" s="23" t="n">
        <f aca="false">ROUND(G95, 2)</f>
        <v>-307.83</v>
      </c>
      <c r="H167" s="33"/>
      <c r="J167" s="176" t="n">
        <f aca="false">K95</f>
        <v>1506.2831870777</v>
      </c>
      <c r="K167" s="177" t="n">
        <f aca="false">K94</f>
        <v>125.4084</v>
      </c>
      <c r="L167" s="174"/>
      <c r="M167" s="174"/>
      <c r="N167" s="177" t="n">
        <f aca="false">K96</f>
        <v>1631.6915870777</v>
      </c>
      <c r="O167" s="23"/>
      <c r="P167" s="23"/>
      <c r="Q167" s="33"/>
      <c r="S167" s="176" t="n">
        <f aca="false">T95</f>
        <v>1821.5471805777</v>
      </c>
      <c r="T167" s="177" t="n">
        <f aca="false">T94</f>
        <v>99.3052941176471</v>
      </c>
      <c r="U167" s="174"/>
      <c r="V167" s="174"/>
      <c r="W167" s="177" t="n">
        <f aca="false">T96</f>
        <v>1920.85247469535</v>
      </c>
      <c r="X167" s="23"/>
      <c r="Y167" s="23"/>
      <c r="Z167" s="33"/>
      <c r="AB167" s="176" t="n">
        <f aca="false">AC95</f>
        <v>1329.41307830599</v>
      </c>
      <c r="AC167" s="177" t="n">
        <f aca="false">AC94</f>
        <v>119.166352941176</v>
      </c>
      <c r="AD167" s="174"/>
      <c r="AE167" s="174"/>
      <c r="AF167" s="177" t="n">
        <f aca="false">AC96</f>
        <v>1448.57943124717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11520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11520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11520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11520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-541.660000000005</v>
      </c>
      <c r="B173" s="103" t="n">
        <f aca="false">H137</f>
        <v>-108.332000000001</v>
      </c>
      <c r="C173" s="186"/>
      <c r="D173" s="23"/>
      <c r="E173" s="182" t="n">
        <f aca="false">H139+H140</f>
        <v>650</v>
      </c>
      <c r="F173" s="23"/>
      <c r="G173" s="23"/>
      <c r="H173" s="33"/>
      <c r="J173" s="185" t="n">
        <f aca="false">Q141-Q137-Q139-Q140</f>
        <v>30012.5</v>
      </c>
      <c r="K173" s="103" t="n">
        <f aca="false">Q137</f>
        <v>6002.5</v>
      </c>
      <c r="L173" s="186"/>
      <c r="M173" s="23"/>
      <c r="N173" s="182" t="n">
        <f aca="false">Q139+Q140</f>
        <v>640</v>
      </c>
      <c r="O173" s="23"/>
      <c r="P173" s="23"/>
      <c r="Q173" s="33"/>
      <c r="S173" s="185" t="n">
        <f aca="false">Z141-Z137-Z139-Z140</f>
        <v>48120.364575</v>
      </c>
      <c r="T173" s="103" t="n">
        <f aca="false">Z137</f>
        <v>9624.072915</v>
      </c>
      <c r="U173" s="186"/>
      <c r="V173" s="23"/>
      <c r="W173" s="182" t="n">
        <f aca="false">Z139+Z140</f>
        <v>640</v>
      </c>
      <c r="X173" s="23"/>
      <c r="Y173" s="23"/>
      <c r="Z173" s="33"/>
      <c r="AB173" s="185" t="n">
        <f aca="false">AI141-AI137-AI139-AI140</f>
        <v>36523.9575</v>
      </c>
      <c r="AC173" s="103" t="n">
        <f aca="false">AI137</f>
        <v>7304.7915</v>
      </c>
      <c r="AD173" s="186"/>
      <c r="AE173" s="23"/>
      <c r="AF173" s="182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0.00799999999361489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n">
        <f aca="false">Q141</f>
        <v>36655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58384.43749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44468.749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0.00799999999361489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37655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59384.43749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45468.749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1423.93746974253</v>
      </c>
      <c r="B182" s="103" t="str">
        <f aca="false">B114</f>
        <v>199.99</v>
      </c>
      <c r="C182" s="103"/>
      <c r="D182" s="23"/>
      <c r="E182" s="103" t="n">
        <f aca="false">E179+A182+(B182*1.2)+A185</f>
        <v>1673.93346974252</v>
      </c>
      <c r="F182" s="23"/>
      <c r="G182" s="23"/>
      <c r="H182" s="105"/>
      <c r="J182" s="111" t="n">
        <f aca="false">(J167*K59)+N185-N179-J185</f>
        <v>25078.6283606416</v>
      </c>
      <c r="K182" s="103" t="n">
        <f aca="false">K114</f>
        <v>239.99</v>
      </c>
      <c r="L182" s="103"/>
      <c r="M182" s="23"/>
      <c r="N182" s="103" t="n">
        <f aca="false">N179+J182+K182+J185</f>
        <v>62993.6183606416</v>
      </c>
      <c r="O182" s="23"/>
      <c r="P182" s="23"/>
      <c r="Q182" s="105"/>
      <c r="S182" s="111" t="n">
        <f aca="false">(S167*T59)+W185-W179-S185</f>
        <v>14068.166649642</v>
      </c>
      <c r="T182" s="103" t="n">
        <f aca="false">T114</f>
        <v>199.99</v>
      </c>
      <c r="U182" s="103"/>
      <c r="V182" s="23"/>
      <c r="W182" s="103" t="n">
        <f aca="false">W179+S182+T182+S185</f>
        <v>73662.594139642</v>
      </c>
      <c r="X182" s="23"/>
      <c r="Y182" s="23"/>
      <c r="Z182" s="105"/>
      <c r="AB182" s="111" t="n">
        <f aca="false">(AB167*AC59)+AF185-AF179-AB185</f>
        <v>11251.2956624037</v>
      </c>
      <c r="AC182" s="103" t="n">
        <f aca="false">AC114</f>
        <v>239.99</v>
      </c>
      <c r="AD182" s="103"/>
      <c r="AE182" s="23"/>
      <c r="AF182" s="103" t="n">
        <f aca="false">AF179+AB182+AC182+AB185</f>
        <v>56970.0346624037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IF(A40=0,(E167),(E170+A185))</f>
        <v>11530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11540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11530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11530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11.577</v>
      </c>
      <c r="B188" s="103" t="n">
        <f aca="false">(G158*B67)/1.2</f>
        <v>6.52777777256771E-005</v>
      </c>
      <c r="C188" s="93"/>
      <c r="D188" s="93"/>
      <c r="E188" s="103" t="n">
        <f aca="false">(E40*A108)*0.1*(C45/100)</f>
        <v>56.273</v>
      </c>
      <c r="F188" s="23"/>
      <c r="G188" s="23"/>
      <c r="H188" s="33"/>
      <c r="J188" s="111" t="n">
        <f aca="false">IF(N105="YES", H15*0.000002, 0)</f>
        <v>0.11707</v>
      </c>
      <c r="K188" s="103" t="n">
        <f aca="false">(P158*K67)/1.2</f>
        <v>2320.75086805556</v>
      </c>
      <c r="L188" s="93"/>
      <c r="M188" s="93"/>
      <c r="N188" s="103" t="n">
        <f aca="false">(E40*J108)*0.1</f>
        <v>84.4095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484.560514241319</v>
      </c>
      <c r="U188" s="93"/>
      <c r="V188" s="93"/>
      <c r="W188" s="103" t="n">
        <f aca="false">(E40*S108)*0.1</f>
        <v>56.273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371.012361631944</v>
      </c>
      <c r="AD188" s="93"/>
      <c r="AE188" s="93"/>
      <c r="AF188" s="103" t="n">
        <f aca="false">(E40*AB108)*0.1</f>
        <v>56.273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156.263065277778</v>
      </c>
      <c r="C191" s="93"/>
      <c r="D191" s="93"/>
      <c r="E191" s="103" t="n">
        <f aca="false">H148</f>
        <v>-48779.16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3545.15036805556</v>
      </c>
      <c r="L191" s="93"/>
      <c r="M191" s="93"/>
      <c r="N191" s="103" t="n">
        <f aca="false">Q148</f>
        <v>-21880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1640.82351424132</v>
      </c>
      <c r="U191" s="93"/>
      <c r="V191" s="93"/>
      <c r="W191" s="103" t="n">
        <f aca="false">Z148</f>
        <v>-150.562510000003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1567.27536163194</v>
      </c>
      <c r="AD191" s="93"/>
      <c r="AE191" s="93"/>
      <c r="AF191" s="103" t="n">
        <f aca="false">AI148</f>
        <v>-14066.251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-197.637486184043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1631.6915870777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1920.85247469535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1448.57943124717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1053.77200000001</v>
      </c>
      <c r="B201" s="186" t="n">
        <f aca="false">E179+A201+(B182*1.2)+A185</f>
        <v>1303.768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-296.942780301691</v>
      </c>
      <c r="B212" s="177" t="n">
        <f aca="false">B167</f>
        <v>99.3052941176471</v>
      </c>
      <c r="C212" s="174"/>
      <c r="D212" s="174"/>
      <c r="E212" s="177" t="n">
        <f aca="false">E167</f>
        <v>-197.637486184043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-541.660000000005</v>
      </c>
      <c r="B215" s="103" t="n">
        <f aca="false">B173</f>
        <v>-108.332000000001</v>
      </c>
      <c r="C215" s="186"/>
      <c r="D215" s="113"/>
      <c r="E215" s="182" t="n">
        <f aca="false">E173</f>
        <v>650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0.00799999999361489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0.00799999999361489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1423.93746974253</v>
      </c>
      <c r="B224" s="103" t="str">
        <f aca="false">B182</f>
        <v>199.99</v>
      </c>
      <c r="C224" s="103"/>
      <c r="D224" s="113"/>
      <c r="E224" s="103" t="n">
        <f aca="false">E182</f>
        <v>1673.93346974252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-296.942780301691</v>
      </c>
      <c r="B230" s="103" t="n">
        <f aca="false">B167</f>
        <v>99.3052941176471</v>
      </c>
      <c r="C230" s="186"/>
      <c r="D230" s="186"/>
      <c r="E230" s="103" t="n">
        <f aca="false">E167</f>
        <v>-197.637486184043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11520</v>
      </c>
      <c r="B233" s="103" t="n">
        <f aca="false">E185</f>
        <v>11530</v>
      </c>
      <c r="C233" s="93"/>
      <c r="D233" s="93"/>
      <c r="E233" s="103" t="n">
        <f aca="false">J18*0.000006*100</f>
        <v>34.731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11.577</v>
      </c>
      <c r="B236" s="103" t="n">
        <f aca="false">E233+A236</f>
        <v>46.308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-48779.16</v>
      </c>
      <c r="B240" s="103" t="n">
        <f aca="false">B68</f>
        <v>6.52777777256771E-005</v>
      </c>
      <c r="C240" s="93"/>
      <c r="D240" s="93"/>
      <c r="E240" s="103" t="n">
        <f aca="false">E188</f>
        <v>56.273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-48622.8969347222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380.16546974252</v>
      </c>
      <c r="C254" s="197"/>
      <c r="D254" s="198" t="s">
        <v>216</v>
      </c>
      <c r="E254" s="198"/>
      <c r="F254" s="200" t="n">
        <f aca="false">F261+F267+F269+B270+B271</f>
        <v>7.83333332708125E-005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662.72</v>
      </c>
      <c r="C255" s="197"/>
      <c r="D255" s="198" t="s">
        <v>218</v>
      </c>
      <c r="E255" s="198"/>
      <c r="F255" s="200" t="n">
        <f aca="false">(B254-F254)+B255</f>
        <v>1042.88539140919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380.16546974252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7.83333332708125E-005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562.73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1042.88539140919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-0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ContractPurchase!$Z$19:$Z$20</formula1>
      <formula2>0</formula2>
    </dataValidation>
    <dataValidation allowBlank="true" operator="between" showDropDown="false" showErrorMessage="true" showInputMessage="true" sqref="E105" type="list">
      <formula1>ContractPurchase!$Z$19:$Z$20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 t="s">
        <v>18</v>
      </c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19837.5</v>
      </c>
      <c r="C3" s="498" t="n">
        <v>479.17</v>
      </c>
      <c r="D3" s="263" t="n">
        <v>500.0</v>
      </c>
      <c r="E3" s="499" t="n">
        <v>0</v>
      </c>
      <c r="F3" s="63"/>
      <c r="G3" s="63" t="n">
        <v>25000</v>
      </c>
      <c r="H3" s="63"/>
      <c r="I3" s="63" t="s">
        <v>19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15.0</v>
      </c>
      <c r="C4" s="0" t="n">
        <v>15.0</v>
      </c>
      <c r="D4" s="0" t="n">
        <v>15.0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7.0</v>
      </c>
      <c r="C5" s="498" t="n">
        <v>7.0</v>
      </c>
      <c r="D5" s="498" t="n">
        <v>10.0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455" t="n">
        <f aca="false">G9*100/B3</f>
        <v>-222.667836537637</v>
      </c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8" t="n">
        <f aca="false">(B7+C7+D7+E3)</f>
        <v>47687.5</v>
      </c>
      <c r="F9" s="63"/>
      <c r="G9" s="454" t="n">
        <f aca="false">E9-G11</f>
        <v>-104329.166666667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100.0</v>
      </c>
      <c r="F10" s="63"/>
      <c r="G10" s="454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 E9 + E10 ) * 0.2</f>
        <v>9647.5</v>
      </c>
      <c r="F11" s="63"/>
      <c r="G11" s="454" t="n">
        <f aca="false">G13/1.2</f>
        <v>152016.666666667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180.0</v>
      </c>
      <c r="F13" s="63"/>
      <c r="G13" s="454" t="n">
        <f aca="false">G15-E14-E13-E12</f>
        <v>182420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58535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150.0</v>
      </c>
      <c r="F16" s="63"/>
      <c r="G16" s="456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389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35.0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403</v>
      </c>
      <c r="C30" s="172"/>
      <c r="D30" s="215"/>
      <c r="E30" s="216"/>
      <c r="F30" s="63"/>
      <c r="G30" s="218" t="s">
        <v>32</v>
      </c>
      <c r="H30" s="457" t="n">
        <v>35000.0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11275.0</v>
      </c>
      <c r="I31" s="238" t="n">
        <f aca="false">IF(C107="YES",H31,0)</f>
        <v>19200</v>
      </c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3491.6000000000004</v>
      </c>
      <c r="J32" s="63"/>
      <c r="K32" s="63" t="n">
        <v>2160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1256.95092879718</v>
      </c>
      <c r="E33" s="216"/>
      <c r="F33" s="63"/>
      <c r="G33" s="219" t="s">
        <v>356</v>
      </c>
      <c r="H33" s="460" t="n">
        <f aca="false">E21-E11+((E16*20%)+(E19*20%)+(E20*20%))</f>
        <v>48887.5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1122.97092879718</v>
      </c>
      <c r="B36" s="103" t="n">
        <f aca="false">IF(B26="YES", H42, "")</f>
        <v>133.98</v>
      </c>
      <c r="C36" s="221"/>
      <c r="D36" s="184" t="n">
        <f aca="false">I31</f>
        <v>19200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48887.5</v>
      </c>
      <c r="I39" s="238" t="n">
        <f aca="false">(I48*H46)+H44</f>
        <v>53437.0642878025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19200</v>
      </c>
      <c r="B40" s="107" t="n">
        <f aca="false">IF(B26="YES",H42,"0")</f>
        <v>133.98</v>
      </c>
      <c r="C40" s="107"/>
      <c r="D40" s="184" t="n">
        <f aca="false">I32</f>
        <v>4689.3</v>
      </c>
      <c r="E40" s="216"/>
      <c r="F40" s="63"/>
      <c r="G40" s="63" t="s">
        <v>106</v>
      </c>
      <c r="H40" s="238" t="n">
        <f aca="false">A40/1.2</f>
        <v>16000</v>
      </c>
      <c r="I40" s="238" t="n">
        <f aca="false">H39-I39</f>
        <v>-4549.56428780247</v>
      </c>
      <c r="J40" s="63" t="n">
        <v>24583.34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133.98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13172.2842985835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100.0</v>
      </c>
      <c r="D45" s="463"/>
      <c r="E45" s="216"/>
      <c r="F45" s="63"/>
      <c r="G45" s="63" t="s">
        <v>374</v>
      </c>
      <c r="H45" s="238" t="n">
        <f aca="false">(H39-H44)</f>
        <v>35715.2157014165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31.8042210938366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1122.97092879718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1256.95092879718</v>
      </c>
      <c r="I48" s="238" t="n">
        <f aca="false">I49-H42</f>
        <v>1266.02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1256.95092879718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9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26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214" t="s">
        <v>14</v>
      </c>
      <c r="N61" s="291" t="n">
        <f aca="false">G18</f>
        <v>57885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5993.509375</v>
      </c>
      <c r="C64" s="215" t="n">
        <v>10000.0</v>
      </c>
      <c r="D64" s="291" t="n">
        <f aca="false">B64-A143</f>
        <v>5993.509375</v>
      </c>
      <c r="E64" s="216"/>
      <c r="F64" s="63"/>
      <c r="G64" s="285" t="s">
        <v>90</v>
      </c>
      <c r="H64" s="133" t="n">
        <f aca="false">H61*H63</f>
        <v>5993.509375</v>
      </c>
      <c r="I64" s="215"/>
      <c r="J64" s="291" t="n">
        <f aca="false">H64-G145</f>
        <v>5993.509375</v>
      </c>
      <c r="K64" s="216"/>
      <c r="L64" s="63"/>
      <c r="M64" s="285" t="s">
        <v>90</v>
      </c>
      <c r="N64" s="133" t="n">
        <f aca="false">N61*N63</f>
        <v>5993.509375</v>
      </c>
      <c r="O64" s="215"/>
      <c r="P64" s="291" t="n">
        <f aca="false">N64-M145</f>
        <v>5993.509375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0.0195833333333333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1133.58125</v>
      </c>
      <c r="C67" s="215"/>
      <c r="D67" s="291"/>
      <c r="E67" s="216"/>
      <c r="F67" s="63"/>
      <c r="G67" s="285" t="s">
        <v>93</v>
      </c>
      <c r="H67" s="133" t="n">
        <f aca="false">(H61*H66)/1.2</f>
        <v>944.651041666667</v>
      </c>
      <c r="I67" s="215"/>
      <c r="J67" s="291"/>
      <c r="K67" s="216"/>
      <c r="L67" s="63"/>
      <c r="M67" s="285" t="s">
        <v>93</v>
      </c>
      <c r="N67" s="133" t="n">
        <f aca="false">(N61*N66)/1.2</f>
        <v>944.651041666667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471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175</v>
      </c>
      <c r="C73" s="215"/>
      <c r="D73" s="291" t="n">
        <f aca="false">B73+B71</f>
        <v>375</v>
      </c>
      <c r="E73" s="216"/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431" t="s">
        <v>279</v>
      </c>
      <c r="B74" s="432" t="n">
        <v>0.0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33" t="s">
        <v>280</v>
      </c>
      <c r="B75" s="434" t="n">
        <v>0.0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435" t="s">
        <v>281</v>
      </c>
      <c r="B76" s="436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131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7435.17604166667</v>
      </c>
      <c r="C81" s="215"/>
      <c r="D81" s="215"/>
      <c r="E81" s="216"/>
      <c r="F81" s="63"/>
      <c r="G81" s="303" t="s">
        <v>102</v>
      </c>
      <c r="H81" s="304" t="n">
        <f aca="false">SUM(J64:J80)</f>
        <v>7041.009375</v>
      </c>
      <c r="I81" s="215"/>
      <c r="J81" s="215"/>
      <c r="K81" s="216"/>
      <c r="L81" s="63"/>
      <c r="M81" s="303" t="s">
        <v>102</v>
      </c>
      <c r="N81" s="304" t="n">
        <f aca="false">SUM(P64:P80)</f>
        <v>6711.009375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212.433601190476</v>
      </c>
      <c r="C82" s="215"/>
      <c r="D82" s="215"/>
      <c r="E82" s="216"/>
      <c r="F82" s="63"/>
      <c r="G82" s="214" t="s">
        <v>103</v>
      </c>
      <c r="H82" s="300" t="n">
        <f aca="false">H81/H29</f>
        <v>201.171696428571</v>
      </c>
      <c r="I82" s="215"/>
      <c r="J82" s="215"/>
      <c r="K82" s="216"/>
      <c r="L82" s="63"/>
      <c r="M82" s="214" t="s">
        <v>103</v>
      </c>
      <c r="N82" s="300" t="n">
        <f aca="false">N81/H29</f>
        <v>191.743125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1122.97092879718</v>
      </c>
      <c r="C83" s="215"/>
      <c r="D83" s="215"/>
      <c r="E83" s="216"/>
      <c r="F83" s="63"/>
      <c r="G83" s="305" t="s">
        <v>104</v>
      </c>
      <c r="H83" s="306" t="n">
        <f aca="false">H47</f>
        <v>1122.97092879718</v>
      </c>
      <c r="I83" s="215"/>
      <c r="J83" s="215"/>
      <c r="K83" s="216"/>
      <c r="L83" s="63"/>
      <c r="M83" s="305" t="s">
        <v>104</v>
      </c>
      <c r="N83" s="306" t="n">
        <f aca="false">H47</f>
        <v>1122.97092879718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46739.158549568</v>
      </c>
      <c r="C85" s="215"/>
      <c r="D85" s="215"/>
      <c r="E85" s="216"/>
      <c r="F85" s="63"/>
      <c r="G85" s="288" t="s">
        <v>114</v>
      </c>
      <c r="H85" s="131" t="n">
        <f aca="false">((H83*H29)+H81)*1.2</f>
        <v>55613.9902594816</v>
      </c>
      <c r="I85" s="215"/>
      <c r="J85" s="215"/>
      <c r="K85" s="216"/>
      <c r="L85" s="63"/>
      <c r="M85" s="288" t="s">
        <v>114</v>
      </c>
      <c r="N85" s="131" t="n">
        <f aca="false">((N83*H29)+N81)</f>
        <v>46014.9918829013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395.934784001988</v>
      </c>
      <c r="C86" s="215"/>
      <c r="D86" s="215"/>
      <c r="E86" s="216"/>
      <c r="F86" s="63"/>
      <c r="G86" s="214" t="s">
        <v>115</v>
      </c>
      <c r="H86" s="300" t="n">
        <f aca="false">((((H83*H29)+H81))/(1-H70))*H70</f>
        <v>392.59573599876</v>
      </c>
      <c r="I86" s="215"/>
      <c r="J86" s="215"/>
      <c r="K86" s="216"/>
      <c r="L86" s="63"/>
      <c r="M86" s="214" t="s">
        <v>115</v>
      </c>
      <c r="N86" s="300" t="n">
        <f aca="false">(N85/(1-N70))*N70</f>
        <v>389.800253949547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IF(B110="YES",((B85+B86)-E114),(B85+B86))</f>
        <v>47135.09333357</v>
      </c>
      <c r="C87" s="215"/>
      <c r="D87" s="215"/>
      <c r="E87" s="216"/>
      <c r="F87" s="63"/>
      <c r="G87" s="285" t="s">
        <v>116</v>
      </c>
      <c r="H87" s="133" t="n">
        <f aca="false">IF(H110="YES",((H85+H86)-K114),(H85+H86))</f>
        <v>56006.5859954803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46404.7921368509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(D40+(D40*B105))/(B58), (D40+(D40*B105))/(B57+B58))*(C45/100)</f>
        <v>174.174</v>
      </c>
      <c r="C89" s="215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168.8148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140.679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1346.71695238771</v>
      </c>
      <c r="C90" s="215"/>
      <c r="D90" s="215"/>
      <c r="E90" s="216"/>
      <c r="F90" s="63"/>
      <c r="G90" s="308" t="s">
        <v>118</v>
      </c>
      <c r="H90" s="309" t="n">
        <f aca="false">IF(H99=Y98, (H87-J105)/(H58), H87/(H57+H58))</f>
        <v>1400.16464988701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1160.11980342127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1520.89095238771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1568.97944988701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1300.79880342127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342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1000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389</v>
      </c>
      <c r="B105" s="314" t="n">
        <v>0.2</v>
      </c>
      <c r="C105" s="314"/>
      <c r="D105" s="107" t="s">
        <v>401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 t="s">
        <v>343</v>
      </c>
      <c r="C107" s="222" t="s">
        <v>389</v>
      </c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s">
        <v>292</v>
      </c>
      <c r="B108" s="217"/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393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18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1400.16464988701</v>
      </c>
      <c r="H127" s="177" t="n">
        <f aca="false">IF(G105="YES", H89*H57, 0)</f>
        <v>1012.8888</v>
      </c>
      <c r="I127" s="177"/>
      <c r="J127" s="334" t="n">
        <f aca="false">H91</f>
        <v>1568.97944988701</v>
      </c>
      <c r="K127" s="216"/>
      <c r="L127" s="63"/>
      <c r="M127" s="333" t="n">
        <f aca="false">N90</f>
        <v>1160.11980342127</v>
      </c>
      <c r="N127" s="177" t="n">
        <f aca="false">IF(M105="YES", N89*N57, 0)</f>
        <v>844.074</v>
      </c>
      <c r="O127" s="177"/>
      <c r="P127" s="177" t="n">
        <f aca="false">N91</f>
        <v>1300.79880342127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1346.71695238771</v>
      </c>
      <c r="B128" s="321" t="n">
        <f aca="false">IF(A105="YES", B89, 0)</f>
        <v>174.174</v>
      </c>
      <c r="C128" s="325"/>
      <c r="D128" s="321" t="n">
        <f aca="false">B91</f>
        <v>1520.89095238771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26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26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12120.4525714894</v>
      </c>
      <c r="C131" s="317"/>
      <c r="D131" s="38" t="n">
        <f aca="false">IF(A105="YES", B89*B57, 0)</f>
        <v>1567.566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8400.98789932205</v>
      </c>
      <c r="H133" s="103" t="n">
        <f aca="false">IF(G105="YES", H89*H57, 0)</f>
        <v>1012.8888</v>
      </c>
      <c r="I133" s="221"/>
      <c r="J133" s="184" t="n">
        <f aca="false">H91*H57</f>
        <v>9413.87669932205</v>
      </c>
      <c r="K133" s="216"/>
      <c r="L133" s="63"/>
      <c r="M133" s="185" t="n">
        <f aca="false">N90*N57</f>
        <v>6960.71882052763</v>
      </c>
      <c r="N133" s="103" t="n">
        <f aca="false">IF(M105="YES", N89*N57, 0)</f>
        <v>844.074</v>
      </c>
      <c r="O133" s="221"/>
      <c r="P133" s="184" t="n">
        <f aca="false">N91*N57</f>
        <v>7804.79282052763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13688.0185714894</v>
      </c>
      <c r="B134" s="38" t="n">
        <f aca="false">E114</f>
        <v>4000</v>
      </c>
      <c r="C134" s="317"/>
      <c r="D134" s="337" t="n">
        <f aca="false">B58</f>
        <v>26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0.35121</v>
      </c>
      <c r="H136" s="103" t="n">
        <f aca="false">IF(G105="YES", E15*0.000002, 0)</f>
        <v>0.11707</v>
      </c>
      <c r="I136" s="103"/>
      <c r="J136" s="103" t="n">
        <f aca="false">G136+H136</f>
        <v>0.46828</v>
      </c>
      <c r="K136" s="105"/>
      <c r="L136" s="63"/>
      <c r="M136" s="111" t="n">
        <f aca="false">E15*0.000006</f>
        <v>0.35121</v>
      </c>
      <c r="N136" s="103" t="n">
        <f aca="false">IF(M105="YES", E15*0.000002, 0)</f>
        <v>0.11707</v>
      </c>
      <c r="O136" s="103"/>
      <c r="P136" s="103" t="n">
        <f aca="false">M136+N136</f>
        <v>0.46828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1346.71695238771</v>
      </c>
      <c r="B137" s="38" t="n">
        <f aca="false">IF(A105="YES", B89, 0)</f>
        <v>174.174</v>
      </c>
      <c r="C137" s="317"/>
      <c r="D137" s="38" t="n">
        <f aca="false">B91</f>
        <v>1520.89095238771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944.651041666667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944.651041666667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IF(A105="YES", G18*0.000002, 0)*1.2*100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93.786</v>
      </c>
      <c r="H142" s="103" t="n">
        <f aca="false">G102-100</f>
        <v>99.99</v>
      </c>
      <c r="I142" s="103"/>
      <c r="J142" s="103" t="n">
        <f aca="false">(H139+J139+G142+H142)-H145</f>
        <v>1138.42704166667</v>
      </c>
      <c r="K142" s="105"/>
      <c r="L142" s="63"/>
      <c r="M142" s="111" t="n">
        <f aca="false">IF(M105="YES", ((B36*N105)*0.1)*(M130), 0)</f>
        <v>93.786</v>
      </c>
      <c r="N142" s="103" t="n">
        <f aca="false">M102-100</f>
        <v>99.99</v>
      </c>
      <c r="O142" s="103"/>
      <c r="P142" s="103" t="n">
        <f aca="false">(N139+P139+M142+N142)-N145</f>
        <v>1138.42704166667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1133.58125</v>
      </c>
      <c r="B148" s="38" t="n">
        <f aca="false">B102</f>
        <v>400</v>
      </c>
      <c r="C148" s="38"/>
      <c r="D148" s="38" t="n">
        <f aca="false">IF(A105="YES", (B40*B105)*B125, 0)*0.1</f>
        <v>140.679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1774.25025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1568.97944988701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1300.79880342127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1520.89095238771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1346.71695238771</v>
      </c>
      <c r="B177" s="355" t="n">
        <f aca="false">IF(A105="YES", B89, 0)</f>
        <v>174.174</v>
      </c>
      <c r="C177" s="357"/>
      <c r="D177" s="355" t="n">
        <f aca="false">B91</f>
        <v>1520.89095238771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Terminal pause with 9 down </v>
      </c>
      <c r="B180" s="103" t="n">
        <f aca="false">B90*B57</f>
        <v>12120.4525714894</v>
      </c>
      <c r="C180" s="353"/>
      <c r="D180" s="103" t="n">
        <f aca="false">IF(A105="YES", B89*B57, 0)</f>
        <v>1567.566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13688.0185714894</v>
      </c>
      <c r="B183" s="103" t="n">
        <f aca="false">E114</f>
        <v>4000</v>
      </c>
      <c r="C183" s="353"/>
      <c r="D183" s="361" t="n">
        <f aca="false">B58</f>
        <v>26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1346.71695238771</v>
      </c>
      <c r="B186" s="103" t="n">
        <f aca="false">IF(A105="YES", B89, 0)</f>
        <v>174.174</v>
      </c>
      <c r="C186" s="353"/>
      <c r="D186" s="103" t="n">
        <f aca="false">B91</f>
        <v>1520.89095238771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IF(A105="YES", G18*0.000002, 0)*1.2*100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1133.58125</v>
      </c>
      <c r="B197" s="103" t="n">
        <f aca="false">B102</f>
        <v>400</v>
      </c>
      <c r="C197" s="103"/>
      <c r="D197" s="103" t="n">
        <f aca="false">IF(A105="YES", (B40*B105)*B125, 0)*0.1</f>
        <v>140.679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1774.25025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5993.509375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1133.58125</v>
      </c>
      <c r="C211" s="320" t="s">
        <v>217</v>
      </c>
      <c r="D211" s="370" t="n">
        <f aca="false">B225+E221+B221+B223</f>
        <v>1746.78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6606.708125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5993.509375</v>
      </c>
      <c r="C217" s="375" t="s">
        <v>221</v>
      </c>
      <c r="D217" s="317"/>
      <c r="E217" s="376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1133.58125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6606.708125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1406.79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395.934784001988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332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8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'Formula1-FL'!$Y$97:$Y$105</formula1>
      <formula2>0</formula2>
    </dataValidation>
    <dataValidation allowBlank="true" operator="between" showDropDown="false" showErrorMessage="true" showInputMessage="false" sqref="C107" type="list">
      <formula1>"YES,NO"</formula1>
      <formula2>0</formula2>
    </dataValidation>
    <dataValidation allowBlank="true" operator="between" showDropDown="false" showErrorMessage="true" showInputMessage="false" sqref="B26" type="list">
      <formula1>'Formula1-FL'!$I$2:$I$3</formula1>
      <formula2>0</formula2>
    </dataValidation>
    <dataValidation allowBlank="true" operator="between" showDropDown="false" showErrorMessage="true" showInputMessage="false" sqref="A105" type="list">
      <formula1>'Formula1-FL'!$I$2:$I$3</formula1>
      <formula2>0</formula2>
    </dataValidation>
    <dataValidation allowBlank="true" operator="between" showDropDown="false" showErrorMessage="true" showInputMessage="false" sqref="B110" type="list">
      <formula1>'Formula1-FL'!$I$2:$I$3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93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46854.17</v>
      </c>
      <c r="C3" s="498" t="n">
        <v>0.0</v>
      </c>
      <c r="D3" s="263" t="n">
        <v>833.33</v>
      </c>
      <c r="E3" s="499" t="n">
        <v>0</v>
      </c>
      <c r="F3" s="63"/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0.0</v>
      </c>
      <c r="C4" s="0" t="n">
        <v>0.0</v>
      </c>
      <c r="D4" s="0" t="n">
        <v>0.0</v>
      </c>
      <c r="E4" s="294"/>
      <c r="F4" s="63"/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455" t="n">
        <f aca="false">G9*100/B3</f>
        <v>-222.667836537637</v>
      </c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8" t="n">
        <f aca="false">(B7+C7+D7+E3)</f>
        <v>47687.5</v>
      </c>
      <c r="F9" s="63"/>
      <c r="G9" s="454" t="n">
        <f aca="false">E9-G11</f>
        <v>-104329.166666667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454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 E9 + E10 ) * 0.2</f>
        <v>9647.5</v>
      </c>
      <c r="F11" s="63"/>
      <c r="G11" s="454" t="n">
        <f aca="false">G13/1.2</f>
        <v>152016.666666667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454" t="n">
        <f aca="false">G15-E14-E13-E12</f>
        <v>182420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58535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456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58295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393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22.0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403</v>
      </c>
      <c r="C30" s="172"/>
      <c r="D30" s="215"/>
      <c r="E30" s="216"/>
      <c r="F30" s="63"/>
      <c r="G30" s="218" t="s">
        <v>32</v>
      </c>
      <c r="H30" s="457" t="n">
        <v>22000.0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29500.0</v>
      </c>
      <c r="I31" s="63"/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0.0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1250.6624553455</v>
      </c>
      <c r="E33" s="216"/>
      <c r="F33" s="63"/>
      <c r="G33" s="219" t="s">
        <v>356</v>
      </c>
      <c r="H33" s="460" t="n">
        <f aca="false">E21-E11+((E16*20%)+(E19*20%)+(E20*20%))</f>
        <v>48687.5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1116.6824553455</v>
      </c>
      <c r="B36" s="103" t="n">
        <f aca="false">IF(B26="YES", H42, "")</f>
        <v>133.98</v>
      </c>
      <c r="C36" s="221"/>
      <c r="D36" s="184" t="n">
        <f aca="false">H31</f>
        <v>19200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48687.5</v>
      </c>
      <c r="I39" s="238" t="n">
        <f aca="false">(I48*H46)+H44</f>
        <v>53437.0642878025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19200</v>
      </c>
      <c r="B40" s="107" t="n">
        <f aca="false">IF(B26="YES",H42,"0")</f>
        <v>133.98</v>
      </c>
      <c r="C40" s="107"/>
      <c r="D40" s="184" t="n">
        <f aca="false">I32</f>
        <v>4689.3</v>
      </c>
      <c r="E40" s="216"/>
      <c r="F40" s="63"/>
      <c r="G40" s="63" t="s">
        <v>106</v>
      </c>
      <c r="H40" s="238" t="n">
        <f aca="false">(A40)/1.2</f>
        <v>16000</v>
      </c>
      <c r="I40" s="238" t="n">
        <f aca="false">H39-I39</f>
        <v>-4749.56428780247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133.98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13172.2842985835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510" t="n">
        <v>100.0</v>
      </c>
      <c r="D45" s="510"/>
      <c r="E45" s="216"/>
      <c r="F45" s="63"/>
      <c r="G45" s="63" t="s">
        <v>374</v>
      </c>
      <c r="H45" s="238" t="n">
        <f aca="false">(H39-H44)</f>
        <v>35515.2157014165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31.8042210938366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1116.6824553455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1250.6624553455</v>
      </c>
      <c r="I48" s="238" t="n">
        <f aca="false">I49-H42</f>
        <v>1266.02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1250.6624553455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9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26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214" t="s">
        <v>14</v>
      </c>
      <c r="N61" s="291" t="n">
        <f aca="false">G18</f>
        <v>57885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5993.509375</v>
      </c>
      <c r="C64" s="215" t="n">
        <v>10000.0</v>
      </c>
      <c r="D64" s="291" t="n">
        <f aca="false">B64-A143</f>
        <v>5993.509375</v>
      </c>
      <c r="E64" s="466" t="n">
        <f aca="false">D64/(B58+B57)</f>
        <v>171.243125</v>
      </c>
      <c r="F64" s="63"/>
      <c r="G64" s="285" t="s">
        <v>90</v>
      </c>
      <c r="H64" s="133" t="n">
        <f aca="false">H61*H63</f>
        <v>5993.509375</v>
      </c>
      <c r="I64" s="215"/>
      <c r="J64" s="291" t="n">
        <f aca="false">H64-G145</f>
        <v>5993.509375</v>
      </c>
      <c r="K64" s="216"/>
      <c r="L64" s="63"/>
      <c r="M64" s="285" t="s">
        <v>90</v>
      </c>
      <c r="N64" s="133" t="n">
        <f aca="false">N61*N63</f>
        <v>5993.509375</v>
      </c>
      <c r="O64" s="215"/>
      <c r="P64" s="291" t="n">
        <f aca="false">N64-M145</f>
        <v>5993.509375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0.0195833333333333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1133.58125</v>
      </c>
      <c r="C67" s="215"/>
      <c r="D67" s="291"/>
      <c r="E67" s="216"/>
      <c r="F67" s="63"/>
      <c r="G67" s="285" t="s">
        <v>93</v>
      </c>
      <c r="H67" s="133" t="n">
        <f aca="false">(H61*H66)/1.2</f>
        <v>944.651041666667</v>
      </c>
      <c r="I67" s="215"/>
      <c r="J67" s="291"/>
      <c r="K67" s="216"/>
      <c r="L67" s="63"/>
      <c r="M67" s="285" t="s">
        <v>93</v>
      </c>
      <c r="N67" s="133" t="n">
        <f aca="false">(N61*N66)/1.2</f>
        <v>944.651041666667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175</v>
      </c>
      <c r="C73" s="215"/>
      <c r="D73" s="291" t="n">
        <f aca="false">B73+B71</f>
        <v>375</v>
      </c>
      <c r="E73" s="216"/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165.0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355.0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1040</v>
      </c>
      <c r="C76" s="215"/>
      <c r="D76" s="291" t="n">
        <f aca="false">B76</f>
        <v>1040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131" t="n">
        <f aca="false">B102/(1-0.1)</f>
        <v>444.444444444444</v>
      </c>
      <c r="C77" s="215"/>
      <c r="D77" s="291" t="n">
        <f aca="false">B77</f>
        <v>444.444444444444</v>
      </c>
      <c r="E77" s="466" t="n">
        <f aca="false">D77/(B58+B57)</f>
        <v>12.6984126984127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215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215"/>
      <c r="D80" s="291" t="n">
        <f aca="false">B80</f>
        <v>200</v>
      </c>
      <c r="E80" s="466" t="n">
        <f aca="false">(D73+D76+D79+D80)/(B58+B57)</f>
        <v>51.8571428571429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8475.17604166667</v>
      </c>
      <c r="C81" s="215"/>
      <c r="D81" s="215"/>
      <c r="E81" s="466"/>
      <c r="F81" s="63"/>
      <c r="G81" s="303" t="s">
        <v>102</v>
      </c>
      <c r="H81" s="304" t="n">
        <f aca="false">SUM(J64:J80)</f>
        <v>7041.009375</v>
      </c>
      <c r="I81" s="215"/>
      <c r="J81" s="215"/>
      <c r="K81" s="216"/>
      <c r="L81" s="63"/>
      <c r="M81" s="303" t="s">
        <v>102</v>
      </c>
      <c r="N81" s="304" t="n">
        <f aca="false">SUM(P64:P80)</f>
        <v>6711.009375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242.147886904762</v>
      </c>
      <c r="C82" s="215"/>
      <c r="D82" s="215"/>
      <c r="E82" s="466"/>
      <c r="F82" s="63"/>
      <c r="G82" s="214" t="s">
        <v>103</v>
      </c>
      <c r="H82" s="300" t="n">
        <f aca="false">H81/H29</f>
        <v>201.171696428571</v>
      </c>
      <c r="I82" s="215"/>
      <c r="J82" s="215"/>
      <c r="K82" s="216"/>
      <c r="L82" s="63"/>
      <c r="M82" s="214" t="s">
        <v>103</v>
      </c>
      <c r="N82" s="300" t="n">
        <f aca="false">N81/H29</f>
        <v>191.743125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1116.6824553455</v>
      </c>
      <c r="C83" s="215"/>
      <c r="D83" s="215"/>
      <c r="E83" s="466" t="n">
        <f aca="false">B83+E80+E77+E64</f>
        <v>1352.48113590105</v>
      </c>
      <c r="F83" s="63"/>
      <c r="G83" s="305" t="s">
        <v>104</v>
      </c>
      <c r="H83" s="306" t="n">
        <f aca="false">H47</f>
        <v>1116.6824553455</v>
      </c>
      <c r="I83" s="215"/>
      <c r="J83" s="215"/>
      <c r="K83" s="216"/>
      <c r="L83" s="63"/>
      <c r="M83" s="305" t="s">
        <v>104</v>
      </c>
      <c r="N83" s="306" t="n">
        <f aca="false">H47</f>
        <v>1116.6824553455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57070.8743745109</v>
      </c>
      <c r="C85" s="215"/>
      <c r="D85" s="215"/>
      <c r="E85" s="466" t="n">
        <f aca="false">B85/(B58+B57)</f>
        <v>1630.59641070031</v>
      </c>
      <c r="F85" s="63"/>
      <c r="G85" s="288" t="s">
        <v>114</v>
      </c>
      <c r="H85" s="131" t="n">
        <f aca="false">((H83*H29)+H81)*1.2</f>
        <v>55349.8743745109</v>
      </c>
      <c r="I85" s="215"/>
      <c r="J85" s="215"/>
      <c r="K85" s="216"/>
      <c r="L85" s="63"/>
      <c r="M85" s="288" t="s">
        <v>114</v>
      </c>
      <c r="N85" s="131" t="n">
        <f aca="false">((N83*H29)+N81)</f>
        <v>45794.8953120924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((((B83*H29)+B81))/(1-B70))*B70</f>
        <v>402.880315269843</v>
      </c>
      <c r="C86" s="215"/>
      <c r="D86" s="215"/>
      <c r="E86" s="466" t="n">
        <f aca="false">B86/(B58+B57)</f>
        <v>11.510866150567</v>
      </c>
      <c r="F86" s="63"/>
      <c r="G86" s="214" t="s">
        <v>115</v>
      </c>
      <c r="H86" s="300" t="n">
        <f aca="false">((((H83*H29)+H81))/(1-H70))*H70</f>
        <v>390.731263232732</v>
      </c>
      <c r="I86" s="215"/>
      <c r="J86" s="215"/>
      <c r="K86" s="216"/>
      <c r="L86" s="63"/>
      <c r="M86" s="214" t="s">
        <v>115</v>
      </c>
      <c r="N86" s="300" t="n">
        <f aca="false">(N85/(1-N70))*N70</f>
        <v>387.935781183518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IF(B110="YES",((B85+B86)-E114),(B85+B86))</f>
        <v>57473.7546897808</v>
      </c>
      <c r="C87" s="215"/>
      <c r="D87" s="215"/>
      <c r="E87" s="466" t="n">
        <f aca="false">E86+E85</f>
        <v>1642.10727685088</v>
      </c>
      <c r="F87" s="63"/>
      <c r="G87" s="285" t="s">
        <v>116</v>
      </c>
      <c r="H87" s="133" t="n">
        <f aca="false">IF(H110="YES",((H85+H86)-K114),(H85+H86))</f>
        <v>55740.6056377437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46182.831093276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(D40+(D40*B105))/(B58), (D40+(D40*B105))/(B57+B58))*1.2*(C45/100)</f>
        <v>209.0088</v>
      </c>
      <c r="C89" s="215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168.8148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140.679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1642.10727685088</v>
      </c>
      <c r="C90" s="215"/>
      <c r="D90" s="215"/>
      <c r="E90" s="216"/>
      <c r="F90" s="63"/>
      <c r="G90" s="308" t="s">
        <v>118</v>
      </c>
      <c r="H90" s="309" t="n">
        <f aca="false">IF(H99=Y98, (H87-J105)/(H58), H87/(H57+H58))</f>
        <v>1393.51514094359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1154.5707773319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1851.11607685088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1562.32994094359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1295.2497773319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1000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393</v>
      </c>
      <c r="B105" s="314" t="n">
        <v>0.0</v>
      </c>
      <c r="C105" s="314"/>
      <c r="D105" s="107" t="s">
        <v>401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s">
        <v>292</v>
      </c>
      <c r="B108" s="217"/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393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E118+E117-E114</f>
        <v>-2760.01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1393.51514094359</v>
      </c>
      <c r="H127" s="177" t="n">
        <f aca="false">IF(G105="YES", H89*H57, 0)</f>
        <v>1012.8888</v>
      </c>
      <c r="I127" s="177"/>
      <c r="J127" s="334" t="n">
        <f aca="false">H91</f>
        <v>1562.32994094359</v>
      </c>
      <c r="K127" s="216"/>
      <c r="L127" s="63"/>
      <c r="M127" s="333" t="n">
        <f aca="false">N90</f>
        <v>1154.5707773319</v>
      </c>
      <c r="N127" s="177" t="n">
        <f aca="false">IF(M105="YES", N89*N57, 0)</f>
        <v>844.074</v>
      </c>
      <c r="O127" s="177"/>
      <c r="P127" s="177" t="n">
        <f aca="false">N91</f>
        <v>1295.2497773319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1642.10727685088</v>
      </c>
      <c r="B128" s="321" t="n">
        <f aca="false">IF(A105="YES", B89, 0)</f>
        <v>209.0088</v>
      </c>
      <c r="C128" s="325"/>
      <c r="D128" s="321" t="n">
        <f aca="false">B91</f>
        <v>1851.11607685088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26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26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14778.9654916579</v>
      </c>
      <c r="C131" s="317"/>
      <c r="D131" s="38" t="n">
        <f aca="false">IF(A105="YES", B89*B57, 0)</f>
        <v>1881.0792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8361.09084566155</v>
      </c>
      <c r="H133" s="103" t="n">
        <f aca="false">IF(G105="YES", H89*H57, 0)</f>
        <v>1012.8888</v>
      </c>
      <c r="I133" s="221"/>
      <c r="J133" s="184" t="n">
        <f aca="false">H91*H57</f>
        <v>9373.97964566155</v>
      </c>
      <c r="K133" s="216"/>
      <c r="L133" s="63"/>
      <c r="M133" s="185" t="n">
        <f aca="false">N90*N57</f>
        <v>6927.42466399139</v>
      </c>
      <c r="N133" s="103" t="n">
        <f aca="false">IF(M105="YES", N89*N57, 0)</f>
        <v>844.074</v>
      </c>
      <c r="O133" s="221"/>
      <c r="P133" s="184" t="n">
        <f aca="false">N91*N57</f>
        <v>7771.4986639914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16660.0446916579</v>
      </c>
      <c r="B134" s="38" t="n">
        <f aca="false">E114</f>
        <v>4000</v>
      </c>
      <c r="C134" s="317"/>
      <c r="D134" s="337" t="n">
        <f aca="false">B58</f>
        <v>26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0.35121</v>
      </c>
      <c r="H136" s="103" t="n">
        <f aca="false">IF(G105="YES", E15*0.000002, 0)</f>
        <v>0.11707</v>
      </c>
      <c r="I136" s="103"/>
      <c r="J136" s="103" t="n">
        <f aca="false">G136+H136</f>
        <v>0.46828</v>
      </c>
      <c r="K136" s="105"/>
      <c r="L136" s="63"/>
      <c r="M136" s="111" t="n">
        <f aca="false">E15*0.000006</f>
        <v>0.35121</v>
      </c>
      <c r="N136" s="103" t="n">
        <f aca="false">IF(M105="YES", E15*0.000002, 0)</f>
        <v>0.11707</v>
      </c>
      <c r="O136" s="103"/>
      <c r="P136" s="103" t="n">
        <f aca="false">M136+N136</f>
        <v>0.46828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1642.10727685088</v>
      </c>
      <c r="B137" s="38" t="n">
        <f aca="false">IF(A105="YES", B89, 0)</f>
        <v>209.0088</v>
      </c>
      <c r="C137" s="317"/>
      <c r="D137" s="38" t="n">
        <f aca="false">B91</f>
        <v>1851.11607685088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944.651041666667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944.651041666667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IF(A105="YES", G18*0.000002, 0)*1.2*100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93.786</v>
      </c>
      <c r="H142" s="103" t="n">
        <f aca="false">G102-100</f>
        <v>99.99</v>
      </c>
      <c r="I142" s="103"/>
      <c r="J142" s="103" t="n">
        <f aca="false">(H139+J139+G142+H142)-H145</f>
        <v>1138.42704166667</v>
      </c>
      <c r="K142" s="105"/>
      <c r="L142" s="63"/>
      <c r="M142" s="111" t="n">
        <f aca="false">IF(M105="YES", ((B36*N105)*0.1)*(M130), 0)</f>
        <v>93.786</v>
      </c>
      <c r="N142" s="103" t="n">
        <f aca="false">M102-100</f>
        <v>99.99</v>
      </c>
      <c r="O142" s="103"/>
      <c r="P142" s="103" t="n">
        <f aca="false">(N139+P139+M142+N142)-N145</f>
        <v>1138.42704166667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1133.58125</v>
      </c>
      <c r="B148" s="38" t="n">
        <f aca="false">B102</f>
        <v>400</v>
      </c>
      <c r="C148" s="38"/>
      <c r="D148" s="38" t="n">
        <f aca="false">IF(A105="YES", (B40*B105)*B125, 0)*0.1</f>
        <v>140.679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1774.25191666667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1562.32994094359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1295.2497773319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1851.11607685088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1642.10727685088</v>
      </c>
      <c r="B177" s="355" t="n">
        <f aca="false">IF(A105="YES", B89, 0)</f>
        <v>209.0088</v>
      </c>
      <c r="C177" s="357"/>
      <c r="D177" s="355" t="n">
        <f aca="false">B91</f>
        <v>1851.11607685088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Terminal pause with 9 down </v>
      </c>
      <c r="B180" s="103" t="n">
        <f aca="false">B90*B57</f>
        <v>14778.9654916579</v>
      </c>
      <c r="C180" s="353"/>
      <c r="D180" s="103" t="n">
        <f aca="false">IF(A105="YES", B89*B57, 0)</f>
        <v>1881.0792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16660.0446916579</v>
      </c>
      <c r="B183" s="103" t="n">
        <f aca="false">E114</f>
        <v>4000</v>
      </c>
      <c r="C183" s="353"/>
      <c r="D183" s="361" t="n">
        <f aca="false">B58</f>
        <v>26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1642.10727685088</v>
      </c>
      <c r="B186" s="103" t="n">
        <f aca="false">IF(A105="YES", B89, 0)</f>
        <v>209.0088</v>
      </c>
      <c r="C186" s="353"/>
      <c r="D186" s="103" t="n">
        <f aca="false">B91</f>
        <v>1851.11607685088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IF(A105="YES", G18*0.000002, 0)*1.2*100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1133.58125</v>
      </c>
      <c r="B197" s="103" t="n">
        <f aca="false">B102</f>
        <v>400</v>
      </c>
      <c r="C197" s="103"/>
      <c r="D197" s="103" t="n">
        <f aca="false">IF(A105="YES", (B40*B105)*B125, 0)*0.1</f>
        <v>140.679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(E118/1.2)-100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1774.25191666667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5993.509375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1133.58125</v>
      </c>
      <c r="C211" s="320" t="s">
        <v>217</v>
      </c>
      <c r="D211" s="370" t="n">
        <f aca="false">B225+E221+B221+B223</f>
        <v>1746.78166666667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6606.70979166667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5993.509375</v>
      </c>
      <c r="C217" s="375" t="s">
        <v>221</v>
      </c>
      <c r="D217" s="317"/>
      <c r="E217" s="376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1133.58125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6606.70979166667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1406.79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402.880315269843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332</v>
      </c>
      <c r="D233" s="383"/>
      <c r="E233" s="149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333</v>
      </c>
      <c r="D235" s="386"/>
      <c r="E235" s="149" t="n">
        <f aca="false">B75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'Formula1-PCH'!$Y$97:$Y$105</formula1>
      <formula2>0</formula2>
    </dataValidation>
    <dataValidation allowBlank="true" operator="between" showDropDown="false" showErrorMessage="true" showInputMessage="false" sqref="B26" type="list">
      <formula1>'Formula1-PCH'!$I$3:$I$4</formula1>
      <formula2>0</formula2>
    </dataValidation>
    <dataValidation allowBlank="true" operator="between" showDropDown="false" showErrorMessage="true" showInputMessage="false" sqref="A105 B110" type="list">
      <formula1>'Formula1-PCH'!$I$3:$I$4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48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46854.17</v>
      </c>
      <c r="C3" s="498" t="n">
        <v>0.0</v>
      </c>
      <c r="D3" s="263" t="n">
        <v>833.33</v>
      </c>
      <c r="E3" s="499" t="n">
        <v>0</v>
      </c>
      <c r="F3" s="63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0.0</v>
      </c>
      <c r="C4" s="0" t="n">
        <v>0.0</v>
      </c>
      <c r="D4" s="0" t="n">
        <v>0.0</v>
      </c>
      <c r="E4" s="294"/>
      <c r="F4" s="63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14"/>
      <c r="B8" s="215"/>
      <c r="C8" s="215"/>
      <c r="D8" s="215"/>
      <c r="E8" s="216"/>
      <c r="F8" s="63"/>
      <c r="G8" s="455" t="n">
        <f aca="false">G9*100/B3</f>
        <v>-222.667836537637</v>
      </c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8" t="n">
        <f aca="false">(B7+C7+D7+E3)</f>
        <v>47687.5</v>
      </c>
      <c r="F9" s="63"/>
      <c r="G9" s="454" t="n">
        <f aca="false">E9-G11</f>
        <v>-104329.166666667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454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300" t="n">
        <f aca="false">( E9 + E10 ) * 0.2</f>
        <v>9647.5</v>
      </c>
      <c r="F11" s="63"/>
      <c r="G11" s="454" t="n">
        <f aca="false">G13/1.2</f>
        <v>152016.666666667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585.0</v>
      </c>
      <c r="F13" s="63"/>
      <c r="G13" s="454" t="n">
        <f aca="false">G15-E14-E13-E12</f>
        <v>182420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58535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456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393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36.0</v>
      </c>
      <c r="I29" s="387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403</v>
      </c>
      <c r="C30" s="172"/>
      <c r="D30" s="215"/>
      <c r="E30" s="216"/>
      <c r="F30" s="63"/>
      <c r="G30" s="218" t="s">
        <v>32</v>
      </c>
      <c r="H30" s="457" t="n">
        <v>10000.0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20000.0</v>
      </c>
      <c r="I31" s="63"/>
      <c r="J31" s="63"/>
      <c r="K31" s="63" t="n">
        <v>10000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0.0</v>
      </c>
      <c r="J32" s="63"/>
      <c r="K32" s="63" t="n">
        <v>14400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1189.96092879718</v>
      </c>
      <c r="E33" s="216"/>
      <c r="F33" s="63"/>
      <c r="G33" s="219" t="s">
        <v>356</v>
      </c>
      <c r="H33" s="460" t="n">
        <f aca="false">E21-E11+((E16*20%)+(E19*20%)+(E20*20%))</f>
        <v>48887.5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1122.97092879718</v>
      </c>
      <c r="B36" s="103" t="n">
        <f aca="false">IF(B26="YES", H42, "")</f>
        <v>66.99</v>
      </c>
      <c r="C36" s="221"/>
      <c r="D36" s="184" t="n">
        <f aca="false">H31</f>
        <v>19200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48887.5</v>
      </c>
      <c r="I39" s="238" t="n">
        <f aca="false">(I48*H46)+H44</f>
        <v>55567.6290588786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19200</v>
      </c>
      <c r="B40" s="107" t="n">
        <f aca="false">IF(B26="YES",H42,"0")</f>
        <v>66.99</v>
      </c>
      <c r="C40" s="107"/>
      <c r="D40" s="184" t="n">
        <f aca="false">I32</f>
        <v>2344.65</v>
      </c>
      <c r="E40" s="216"/>
      <c r="F40" s="63"/>
      <c r="G40" s="63" t="s">
        <v>106</v>
      </c>
      <c r="H40" s="238" t="n">
        <f aca="false">A40/1.2</f>
        <v>16000</v>
      </c>
      <c r="I40" s="238" t="n">
        <f aca="false">H39-I39</f>
        <v>-6680.12905887858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66.99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13172.2842985835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100.0</v>
      </c>
      <c r="D45" s="463"/>
      <c r="E45" s="216"/>
      <c r="F45" s="63"/>
      <c r="G45" s="63" t="s">
        <v>374</v>
      </c>
      <c r="H45" s="238" t="n">
        <f aca="false">(H39-H44)</f>
        <v>35715.2157014165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31.8042210938366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1122.97092879718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1189.96092879718</v>
      </c>
      <c r="I48" s="238" t="n">
        <f aca="false">I49-H42</f>
        <v>1333.01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1189.96092879718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214" t="s">
        <v>14</v>
      </c>
      <c r="N61" s="291" t="n">
        <f aca="false">G18</f>
        <v>57885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5993.509375</v>
      </c>
      <c r="C64" s="465" t="n">
        <v>10000.0</v>
      </c>
      <c r="D64" s="291" t="n">
        <f aca="false">B64</f>
        <v>5993.509375</v>
      </c>
      <c r="E64" s="466" t="n">
        <f aca="false">D64/(B58+B57)</f>
        <v>171.243125</v>
      </c>
      <c r="F64" s="63"/>
      <c r="G64" s="285" t="s">
        <v>90</v>
      </c>
      <c r="H64" s="133" t="n">
        <f aca="false">H61*H63</f>
        <v>5993.509375</v>
      </c>
      <c r="I64" s="215"/>
      <c r="J64" s="291" t="n">
        <f aca="false">H64-G145</f>
        <v>5993.509375</v>
      </c>
      <c r="K64" s="216"/>
      <c r="L64" s="63"/>
      <c r="M64" s="285" t="s">
        <v>90</v>
      </c>
      <c r="N64" s="133" t="n">
        <f aca="false">N61*N63</f>
        <v>5993.509375</v>
      </c>
      <c r="O64" s="215"/>
      <c r="P64" s="291" t="n">
        <f aca="false">N64-M145</f>
        <v>5993.509375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0.0195833333333333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1133.58125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944.651041666667</v>
      </c>
      <c r="I67" s="215"/>
      <c r="J67" s="291"/>
      <c r="K67" s="216"/>
      <c r="L67" s="63"/>
      <c r="M67" s="285" t="s">
        <v>93</v>
      </c>
      <c r="N67" s="133" t="n">
        <f aca="false">(N61*N66)/1.2</f>
        <v>944.651041666667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175</v>
      </c>
      <c r="C73" s="215"/>
      <c r="D73" s="472" t="n">
        <f aca="false">B73+B71</f>
        <v>375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165.0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355.0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1040</v>
      </c>
      <c r="C76" s="215"/>
      <c r="D76" s="291" t="n">
        <f aca="false">B76</f>
        <v>1040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473"/>
      <c r="D80" s="291" t="n">
        <f aca="false">B80</f>
        <v>200</v>
      </c>
      <c r="E80" s="466" t="n">
        <f aca="false">(D73+D76+D79+D80)/(B58+B57)</f>
        <v>51.8571428571429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7808.509375</v>
      </c>
      <c r="C81" s="473"/>
      <c r="D81" s="474"/>
      <c r="E81" s="466"/>
      <c r="F81" s="63"/>
      <c r="G81" s="303" t="s">
        <v>102</v>
      </c>
      <c r="H81" s="304" t="n">
        <f aca="false">SUM(J64:J80)</f>
        <v>7041.009375</v>
      </c>
      <c r="I81" s="215"/>
      <c r="J81" s="215"/>
      <c r="K81" s="216"/>
      <c r="L81" s="63"/>
      <c r="M81" s="303" t="s">
        <v>102</v>
      </c>
      <c r="N81" s="304" t="n">
        <f aca="false">SUM(P64:P80)</f>
        <v>6711.009375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223.100267857143</v>
      </c>
      <c r="C82" s="473"/>
      <c r="D82" s="215"/>
      <c r="E82" s="466"/>
      <c r="F82" s="63"/>
      <c r="G82" s="214" t="s">
        <v>103</v>
      </c>
      <c r="H82" s="300" t="n">
        <f aca="false">H81/H29</f>
        <v>201.171696428571</v>
      </c>
      <c r="I82" s="215"/>
      <c r="J82" s="215"/>
      <c r="K82" s="216"/>
      <c r="L82" s="63"/>
      <c r="M82" s="214" t="s">
        <v>103</v>
      </c>
      <c r="N82" s="300" t="n">
        <f aca="false">N81/H29</f>
        <v>191.743125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1122.97092879718</v>
      </c>
      <c r="C83" s="473"/>
      <c r="D83" s="215"/>
      <c r="E83" s="466" t="n">
        <f aca="false">B83+E80+E77+E64</f>
        <v>1346.07119665432</v>
      </c>
      <c r="F83" s="63"/>
      <c r="G83" s="305" t="s">
        <v>104</v>
      </c>
      <c r="H83" s="306" t="n">
        <f aca="false">H47</f>
        <v>1122.97092879718</v>
      </c>
      <c r="I83" s="215"/>
      <c r="J83" s="215"/>
      <c r="K83" s="216"/>
      <c r="L83" s="63"/>
      <c r="M83" s="305" t="s">
        <v>104</v>
      </c>
      <c r="N83" s="306" t="n">
        <f aca="false">H47</f>
        <v>1122.97092879718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47112.4918829013</v>
      </c>
      <c r="C85" s="473"/>
      <c r="D85" s="473"/>
      <c r="E85" s="466" t="n">
        <f aca="false">B85/(B58+B57)</f>
        <v>1346.07119665432</v>
      </c>
      <c r="F85" s="63"/>
      <c r="G85" s="288" t="s">
        <v>114</v>
      </c>
      <c r="H85" s="131" t="n">
        <f aca="false">((H83*H29)+H81)*1.2</f>
        <v>55613.9902594816</v>
      </c>
      <c r="I85" s="215"/>
      <c r="J85" s="215"/>
      <c r="K85" s="216"/>
      <c r="L85" s="63"/>
      <c r="M85" s="288" t="s">
        <v>114</v>
      </c>
      <c r="N85" s="131" t="n">
        <f aca="false">((N83*H29)+N81)</f>
        <v>46014.9918829013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399.097349552613</v>
      </c>
      <c r="C86" s="473" t="s">
        <v>230</v>
      </c>
      <c r="D86" s="215"/>
      <c r="E86" s="466" t="n">
        <f aca="false">B86/(B58+B57)</f>
        <v>11.4027814157889</v>
      </c>
      <c r="F86" s="63"/>
      <c r="G86" s="214" t="s">
        <v>115</v>
      </c>
      <c r="H86" s="300" t="n">
        <f aca="false">((((H83*H29)+H81))/(1-H70))*H70</f>
        <v>392.59573599876</v>
      </c>
      <c r="I86" s="215"/>
      <c r="J86" s="215"/>
      <c r="K86" s="216"/>
      <c r="L86" s="63"/>
      <c r="M86" s="214" t="s">
        <v>115</v>
      </c>
      <c r="N86" s="300" t="n">
        <f aca="false">(N85/(1-N70))*N70</f>
        <v>389.800253949547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47511.5892324539</v>
      </c>
      <c r="C87" s="473"/>
      <c r="D87" s="475"/>
      <c r="E87" s="466" t="n">
        <f aca="false">E86+E85</f>
        <v>1357.47397807011</v>
      </c>
      <c r="F87" s="63"/>
      <c r="G87" s="285" t="s">
        <v>116</v>
      </c>
      <c r="H87" s="133" t="n">
        <f aca="false">IF(H110="YES",((H85+H86)-K114),(H85+H86))</f>
        <v>56006.5859954803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46404.7921368509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80.388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84.4074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70.3395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1357.47397807011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1400.16464988701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1160.11980342127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1437.86197807011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1484.57204988701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1230.45930342127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5000.0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0.0</v>
      </c>
      <c r="C102" s="107"/>
      <c r="D102" s="107" t="n">
        <v>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393</v>
      </c>
      <c r="B105" s="314" t="n">
        <v>0.0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393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 t="s">
        <v>393</v>
      </c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1400.16464988701</v>
      </c>
      <c r="H127" s="177" t="n">
        <f aca="false">IF(G105="YES", H89*H57, 0)</f>
        <v>506.4444</v>
      </c>
      <c r="I127" s="177"/>
      <c r="J127" s="334" t="n">
        <f aca="false">H91</f>
        <v>1484.57204988701</v>
      </c>
      <c r="K127" s="216"/>
      <c r="L127" s="63"/>
      <c r="M127" s="333" t="n">
        <f aca="false">N90</f>
        <v>1160.11980342127</v>
      </c>
      <c r="N127" s="177" t="n">
        <f aca="false">IF(M105="YES", N89*N57, 0)</f>
        <v>422.037</v>
      </c>
      <c r="O127" s="177"/>
      <c r="P127" s="177" t="n">
        <f aca="false">N91</f>
        <v>1230.45930342127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1357.47397807011</v>
      </c>
      <c r="B128" s="321" t="n">
        <f aca="false">IF(A105="YES", B89, 0)</f>
        <v>80.388</v>
      </c>
      <c r="C128" s="325"/>
      <c r="D128" s="321" t="n">
        <f aca="false">B91</f>
        <v>1437.86197807011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1357.47397807011</v>
      </c>
      <c r="C131" s="317"/>
      <c r="D131" s="38" t="n">
        <f aca="false">IF(A105="YES", B89*B57, 0)</f>
        <v>80.388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8400.98789932205</v>
      </c>
      <c r="H133" s="103" t="n">
        <f aca="false">IF(G105="YES", H89*H57, 0)</f>
        <v>506.4444</v>
      </c>
      <c r="I133" s="221"/>
      <c r="J133" s="184" t="n">
        <f aca="false">H91*H57</f>
        <v>8907.43229932205</v>
      </c>
      <c r="K133" s="216"/>
      <c r="L133" s="63"/>
      <c r="M133" s="185" t="n">
        <f aca="false">N90*N57</f>
        <v>6960.71882052763</v>
      </c>
      <c r="N133" s="103" t="n">
        <f aca="false">IF(M105="YES", N89*N57, 0)</f>
        <v>422.037</v>
      </c>
      <c r="O133" s="221"/>
      <c r="P133" s="184" t="n">
        <f aca="false">N91*N57</f>
        <v>7382.75582052763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1437.86197807011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0.35121</v>
      </c>
      <c r="H136" s="103" t="n">
        <f aca="false">IF(G105="YES", E15*0.000002, 0)</f>
        <v>0.11707</v>
      </c>
      <c r="I136" s="103"/>
      <c r="J136" s="103" t="n">
        <f aca="false">G136+H136</f>
        <v>0.46828</v>
      </c>
      <c r="K136" s="105"/>
      <c r="L136" s="63"/>
      <c r="M136" s="111" t="n">
        <f aca="false">E15*0.000006</f>
        <v>0.35121</v>
      </c>
      <c r="N136" s="103" t="n">
        <f aca="false">IF(M105="YES", E15*0.000002, 0)</f>
        <v>0.11707</v>
      </c>
      <c r="O136" s="103"/>
      <c r="P136" s="103" t="n">
        <f aca="false">M136+N136</f>
        <v>0.46828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1357.47397807011</v>
      </c>
      <c r="B137" s="38" t="n">
        <f aca="false">IF(A105="YES", B89, 0)</f>
        <v>80.388</v>
      </c>
      <c r="C137" s="317"/>
      <c r="D137" s="38" t="n">
        <f aca="false">B91</f>
        <v>1437.86197807011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944.651041666667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944.651041666667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IF(A105="YES", G18*0.000002, 0)*1.2*100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46.893</v>
      </c>
      <c r="H142" s="103" t="n">
        <f aca="false">G102-100</f>
        <v>99.99</v>
      </c>
      <c r="I142" s="103"/>
      <c r="J142" s="103" t="n">
        <f aca="false">(H139+J139+G142+H142)-H145</f>
        <v>1091.53404166667</v>
      </c>
      <c r="K142" s="105"/>
      <c r="L142" s="63"/>
      <c r="M142" s="111" t="n">
        <f aca="false">IF(M105="YES", ((B36*N105)*0.1)*(M130), 0)</f>
        <v>46.893</v>
      </c>
      <c r="N142" s="103" t="n">
        <f aca="false">M102-100</f>
        <v>99.99</v>
      </c>
      <c r="O142" s="103"/>
      <c r="P142" s="103" t="n">
        <f aca="false">(N139+P139+M142+N142)-N145</f>
        <v>1091.53404166667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1133.58125</v>
      </c>
      <c r="B148" s="103" t="n">
        <f aca="false">B102</f>
        <v>0</v>
      </c>
      <c r="C148" s="38"/>
      <c r="D148" s="38" t="n">
        <f aca="false">IF(A105="YES", (B40*B105)*B125, 0)*0.1</f>
        <v>46.893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1280.46425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1484.57204988701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1230.45930342127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1437.86197807011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1357.47397807011</v>
      </c>
      <c r="B177" s="355" t="n">
        <f aca="false">IF(A105="YES", B89, 0)</f>
        <v>80.388</v>
      </c>
      <c r="C177" s="357"/>
      <c r="D177" s="355" t="n">
        <f aca="false">B91</f>
        <v>1437.86197807011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1357.47397807011</v>
      </c>
      <c r="C180" s="353"/>
      <c r="D180" s="103" t="n">
        <f aca="false">IF(A105="YES", B89*B57, 0)</f>
        <v>80.388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1437.86197807011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1357.47397807011</v>
      </c>
      <c r="B186" s="103" t="n">
        <f aca="false">IF(A105="YES", B89, 0)</f>
        <v>80.388</v>
      </c>
      <c r="C186" s="353"/>
      <c r="D186" s="103" t="n">
        <f aca="false">B91</f>
        <v>1437.86197807011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IF(A105="YES", G18*0.000002, 0)*1.2*100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1133.58125</v>
      </c>
      <c r="B197" s="103" t="n">
        <f aca="false">B102</f>
        <v>0</v>
      </c>
      <c r="C197" s="103"/>
      <c r="D197" s="103" t="n">
        <f aca="false">IF(A105="YES", (B40*B105)*B125, 0)*0.1</f>
        <v>46.893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1280.46425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5993.509375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1133.58125</v>
      </c>
      <c r="C211" s="320" t="s">
        <v>217</v>
      </c>
      <c r="D211" s="370" t="n">
        <f aca="false">B225+E221+B221+B223</f>
        <v>568.92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5428.848125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5993.509375</v>
      </c>
      <c r="C217" s="375" t="s">
        <v>221</v>
      </c>
      <c r="D217" s="317"/>
      <c r="E217" s="376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1133.58125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5428.848125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468.93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399.097349552613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332</v>
      </c>
      <c r="D233" s="383"/>
      <c r="E233" s="149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333</v>
      </c>
      <c r="D235" s="386"/>
      <c r="E235" s="149" t="n">
        <f aca="false">B75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7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B97" activeCellId="0" sqref="B9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58525</v>
      </c>
      <c r="F15" s="63"/>
      <c r="G15" s="274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18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6000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12</v>
      </c>
      <c r="B44" s="104" t="n">
        <v>1</v>
      </c>
      <c r="C44" s="104"/>
      <c r="D44" s="104" t="n">
        <v>1</v>
      </c>
      <c r="E44" s="104"/>
      <c r="F44" s="63"/>
      <c r="G44" s="63" t="s">
        <v>257</v>
      </c>
      <c r="H44" s="238" t="n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n">
        <v>0.01</v>
      </c>
      <c r="C47" s="429"/>
      <c r="D47" s="104" t="n">
        <v>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 t="s">
        <v>388</v>
      </c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22" t="s">
        <v>19</v>
      </c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274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81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12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/>
      <c r="D70" s="291" t="n">
        <f aca="false">B70-A151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578.85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0</v>
      </c>
      <c r="C80" s="215"/>
      <c r="D80" s="215"/>
      <c r="E80" s="430" t="n">
        <f aca="false">E79+D82</f>
        <v>660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55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v>0</v>
      </c>
      <c r="C84" s="215"/>
      <c r="D84" s="291" t="n">
        <f aca="false">B84</f>
        <v>0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4711.95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392.6625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10723.95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90.8442718838241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10814.7942718838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((H44*B35)+((H44*B35)*B111))/(B63+B64)</f>
        <v>31.304347826087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IF(B105=Y104, (B93-D111)/(B64), B93/(B63+B64))</f>
        <v>470.208446603645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501.512794429732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 t="s">
        <v>286</v>
      </c>
      <c r="B105" s="312" t="s">
        <v>267</v>
      </c>
      <c r="C105" s="312"/>
      <c r="D105" s="421" t="n">
        <v>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4" t="n">
        <v>0.2</v>
      </c>
      <c r="C111" s="314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/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0</v>
      </c>
      <c r="E119" s="107" t="n">
        <v>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0</v>
      </c>
      <c r="E120" s="167" t="n">
        <f aca="false">E118-E119</f>
        <v>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199.99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14"/>
      <c r="B129" s="215"/>
      <c r="C129" s="215"/>
      <c r="D129" s="215"/>
      <c r="E129" s="216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214" t="s">
        <v>181</v>
      </c>
      <c r="B130" s="172" t="n">
        <v>1200</v>
      </c>
      <c r="C130" s="172"/>
      <c r="D130" s="215"/>
      <c r="E130" s="216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214"/>
      <c r="B131" s="215"/>
      <c r="C131" s="215"/>
      <c r="D131" s="215"/>
      <c r="E131" s="216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214" t="s">
        <v>82</v>
      </c>
      <c r="B132" s="215" t="s">
        <v>83</v>
      </c>
      <c r="C132" s="215"/>
      <c r="D132" s="215" t="s">
        <v>85</v>
      </c>
      <c r="E132" s="216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228" t="n">
        <f aca="false">A158</f>
        <v>12</v>
      </c>
      <c r="B133" s="229" t="n">
        <f aca="false">B157</f>
        <v>5000</v>
      </c>
      <c r="C133" s="230"/>
      <c r="D133" s="229" t="n">
        <f aca="false">B64</f>
        <v>11</v>
      </c>
      <c r="E133" s="216"/>
      <c r="F133" s="63"/>
      <c r="G133" s="228" t="n">
        <f aca="false">G158</f>
        <v>12</v>
      </c>
      <c r="H133" s="229" t="n">
        <f aca="false">B157</f>
        <v>5000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5000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214"/>
      <c r="B134" s="215"/>
      <c r="C134" s="215"/>
      <c r="D134" s="215"/>
      <c r="E134" s="216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27" t="s">
        <v>344</v>
      </c>
      <c r="B135" s="328" t="s">
        <v>252</v>
      </c>
      <c r="C135" s="328"/>
      <c r="D135" s="328" t="s">
        <v>119</v>
      </c>
      <c r="E135" s="216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3" t="n">
        <f aca="false">B96</f>
        <v>470.208446603645</v>
      </c>
      <c r="B136" s="177" t="n">
        <f aca="false">IF(A111="YES", B95*B63, 0)</f>
        <v>375.652173913043</v>
      </c>
      <c r="C136" s="177"/>
      <c r="D136" s="177" t="n">
        <f aca="false">B97</f>
        <v>501.512794429732</v>
      </c>
      <c r="E136" s="216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214"/>
      <c r="B137" s="215"/>
      <c r="C137" s="215"/>
      <c r="D137" s="215"/>
      <c r="E137" s="216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14" t="s">
        <v>345</v>
      </c>
      <c r="B138" s="215" t="s">
        <v>241</v>
      </c>
      <c r="C138" s="215"/>
      <c r="D138" s="215" t="s">
        <v>245</v>
      </c>
      <c r="E138" s="216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85" t="n">
        <f aca="false">B96*B63</f>
        <v>5642.50135924373</v>
      </c>
      <c r="B139" s="103" t="n">
        <f aca="false">IF(A111="YES", B95*B63, 0)</f>
        <v>375.652173913043</v>
      </c>
      <c r="C139" s="221"/>
      <c r="D139" s="184" t="n">
        <f aca="false">B97*B63</f>
        <v>6018.15353315678</v>
      </c>
      <c r="E139" s="216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214"/>
      <c r="B140" s="215"/>
      <c r="C140" s="215"/>
      <c r="D140" s="215"/>
      <c r="E140" s="216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214" t="s">
        <v>254</v>
      </c>
      <c r="B141" s="215" t="s">
        <v>255</v>
      </c>
      <c r="C141" s="215"/>
      <c r="D141" s="215" t="s">
        <v>259</v>
      </c>
      <c r="E141" s="216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111" t="n">
        <f aca="false">E15*0.000006</f>
        <v>0.35115</v>
      </c>
      <c r="B142" s="103" t="n">
        <f aca="false">IF(A111="YES", E15*0.000002, 0)</f>
        <v>0.11705</v>
      </c>
      <c r="C142" s="103"/>
      <c r="D142" s="103" t="n">
        <f aca="false">A142+B142</f>
        <v>0.4682</v>
      </c>
      <c r="E142" s="105"/>
      <c r="F142" s="63"/>
      <c r="G142" s="111" t="n">
        <f aca="false">E15*0.000006</f>
        <v>0.35115</v>
      </c>
      <c r="H142" s="103" t="n">
        <f aca="false">IF(G111="YES", E15*0.000002, 0)</f>
        <v>0.11705</v>
      </c>
      <c r="I142" s="103"/>
      <c r="J142" s="103" t="n">
        <f aca="false">G142+H142</f>
        <v>0.4682</v>
      </c>
      <c r="K142" s="105"/>
      <c r="L142" s="63"/>
      <c r="M142" s="111" t="n">
        <f aca="false">E15*0.000006</f>
        <v>0.35115</v>
      </c>
      <c r="N142" s="103" t="n">
        <f aca="false">IF(M111="YES", E15*0.000002, 0)</f>
        <v>0.11705</v>
      </c>
      <c r="O142" s="103"/>
      <c r="P142" s="103" t="n">
        <f aca="false">M142+N142</f>
        <v>0.4682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214"/>
      <c r="B143" s="215"/>
      <c r="C143" s="215"/>
      <c r="D143" s="215"/>
      <c r="E143" s="216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14" t="s">
        <v>139</v>
      </c>
      <c r="B144" s="215" t="s">
        <v>312</v>
      </c>
      <c r="C144" s="215"/>
      <c r="D144" s="215" t="s">
        <v>313</v>
      </c>
      <c r="E144" s="216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111" t="n">
        <f aca="false">A108</f>
        <v>199.99</v>
      </c>
      <c r="B145" s="103" t="n">
        <f aca="false">B73/1.2</f>
        <v>482.375</v>
      </c>
      <c r="C145" s="103"/>
      <c r="D145" s="103" t="n">
        <f aca="false">B108*0.9</f>
        <v>0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214"/>
      <c r="B146" s="215"/>
      <c r="C146" s="215"/>
      <c r="D146" s="215"/>
      <c r="E146" s="216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14" t="s">
        <v>315</v>
      </c>
      <c r="B147" s="215" t="s">
        <v>316</v>
      </c>
      <c r="C147" s="215"/>
      <c r="D147" s="215" t="s">
        <v>317</v>
      </c>
      <c r="E147" s="216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IF(A111="YES", ((A41*B111)*0.1)*(A133), 0)</f>
        <v>12</v>
      </c>
      <c r="B148" s="103" t="n">
        <f aca="false">A108-100</f>
        <v>99.99</v>
      </c>
      <c r="C148" s="103"/>
      <c r="D148" s="103" t="n">
        <f aca="false">(B145+D145+A148+B148)-B151</f>
        <v>594.365</v>
      </c>
      <c r="E148" s="105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1473.1755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1433.1775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14"/>
      <c r="B149" s="215"/>
      <c r="C149" s="215"/>
      <c r="D149" s="215"/>
      <c r="E149" s="216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14" t="s">
        <v>319</v>
      </c>
      <c r="B150" s="215" t="s">
        <v>320</v>
      </c>
      <c r="C150" s="215"/>
      <c r="D150" s="215"/>
      <c r="E150" s="216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v>0</v>
      </c>
      <c r="B151" s="103" t="n">
        <f aca="false">(B145+D145+A148+B148)*(A151/B70)</f>
        <v>0</v>
      </c>
      <c r="C151" s="215"/>
      <c r="D151" s="215"/>
      <c r="E151" s="216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14"/>
      <c r="B152" s="215"/>
      <c r="C152" s="215"/>
      <c r="D152" s="215"/>
      <c r="E152" s="216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14"/>
      <c r="B153" s="215"/>
      <c r="C153" s="215"/>
      <c r="D153" s="215"/>
      <c r="E153" s="216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281" t="s">
        <v>325</v>
      </c>
      <c r="B154" s="215"/>
      <c r="C154" s="215"/>
      <c r="D154" s="282"/>
      <c r="E154" s="283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14"/>
      <c r="B155" s="249"/>
      <c r="C155" s="249"/>
      <c r="D155" s="215"/>
      <c r="E155" s="216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50" t="s">
        <v>82</v>
      </c>
      <c r="B156" s="251" t="s">
        <v>83</v>
      </c>
      <c r="C156" s="251"/>
      <c r="D156" s="215"/>
      <c r="E156" s="216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50"/>
      <c r="B157" s="252" t="n">
        <f aca="false">B57</f>
        <v>5000</v>
      </c>
      <c r="C157" s="252"/>
      <c r="D157" s="215"/>
      <c r="E157" s="216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54" t="n">
        <f aca="false">A58</f>
        <v>12</v>
      </c>
      <c r="B158" s="74" t="n">
        <f aca="false">B97</f>
        <v>501.512794429732</v>
      </c>
      <c r="C158" s="74"/>
      <c r="D158" s="215"/>
      <c r="E158" s="216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14"/>
      <c r="B159" s="215"/>
      <c r="C159" s="215"/>
      <c r="D159" s="215"/>
      <c r="E159" s="216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14"/>
      <c r="B160" s="215"/>
      <c r="C160" s="215"/>
      <c r="D160" s="215"/>
      <c r="E160" s="216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14"/>
      <c r="B161" s="215"/>
      <c r="C161" s="215"/>
      <c r="D161" s="215"/>
      <c r="E161" s="216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14"/>
      <c r="B162" s="215"/>
      <c r="C162" s="215"/>
      <c r="D162" s="215"/>
      <c r="E162" s="216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5"/>
      <c r="B163" s="286"/>
      <c r="C163" s="286"/>
      <c r="D163" s="286"/>
      <c r="E163" s="287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63"/>
      <c r="B216" s="63"/>
      <c r="C216" s="63"/>
      <c r="D216" s="63"/>
      <c r="E216" s="6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63"/>
      <c r="B217" s="63"/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63"/>
      <c r="B218" s="63"/>
      <c r="C218" s="63"/>
      <c r="D218" s="63"/>
      <c r="E218" s="6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63"/>
      <c r="B219" s="63"/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63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63"/>
      <c r="B222" s="63"/>
      <c r="C222" s="63"/>
      <c r="D222" s="63"/>
      <c r="E222" s="6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63"/>
      <c r="B223" s="63"/>
      <c r="C223" s="63"/>
      <c r="D223" s="63"/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63"/>
      <c r="B224" s="63"/>
      <c r="C224" s="63"/>
      <c r="D224" s="63"/>
      <c r="E224" s="63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63"/>
      <c r="B226" s="63"/>
      <c r="C226" s="63"/>
      <c r="D226" s="63"/>
      <c r="E226" s="63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63"/>
      <c r="B227" s="63"/>
      <c r="C227" s="63"/>
      <c r="D227" s="63"/>
      <c r="E227" s="63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63"/>
      <c r="B228" s="63"/>
      <c r="C228" s="63"/>
      <c r="D228" s="63"/>
      <c r="E228" s="6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63"/>
      <c r="B229" s="63"/>
      <c r="C229" s="63"/>
      <c r="D229" s="63"/>
      <c r="E229" s="63"/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63"/>
      <c r="B230" s="63"/>
      <c r="C230" s="63"/>
      <c r="D230" s="63"/>
      <c r="E230" s="6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63"/>
      <c r="B231" s="63"/>
      <c r="C231" s="63"/>
      <c r="D231" s="63"/>
      <c r="E231" s="6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63"/>
      <c r="B232" s="63"/>
      <c r="C232" s="63"/>
      <c r="D232" s="63"/>
      <c r="E232" s="63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63"/>
      <c r="B233" s="63"/>
      <c r="C233" s="63"/>
      <c r="D233" s="63"/>
      <c r="E233" s="6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63"/>
      <c r="B234" s="63"/>
      <c r="C234" s="63"/>
      <c r="D234" s="63"/>
      <c r="E234" s="6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63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63"/>
      <c r="B236" s="63"/>
      <c r="C236" s="63"/>
      <c r="D236" s="63"/>
      <c r="E236" s="6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B130:C130"/>
    <mergeCell ref="H130:I130"/>
    <mergeCell ref="N130:O130"/>
    <mergeCell ref="N154:O154"/>
    <mergeCell ref="A156:A157"/>
    <mergeCell ref="B156:C156"/>
    <mergeCell ref="G156:G157"/>
    <mergeCell ref="H156:I156"/>
    <mergeCell ref="B157:C157"/>
    <mergeCell ref="H157:I157"/>
    <mergeCell ref="B158:C158"/>
    <mergeCell ref="H158:I158"/>
    <mergeCell ref="M159:M160"/>
    <mergeCell ref="N159:O159"/>
    <mergeCell ref="N160:O160"/>
    <mergeCell ref="N161:O161"/>
  </mergeCells>
  <dataValidations count="5">
    <dataValidation allowBlank="true" operator="between" showDropDown="false" showErrorMessage="true" showInputMessage="false" sqref="B38 A50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  <dataValidation allowBlank="true" operator="between" showDropDown="false" showErrorMessage="true" showInputMessage="false" sqref="A32 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4" activeCellId="0" sqref="B6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11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21273</v>
      </c>
      <c r="F15" s="63"/>
      <c r="G15" s="274" t="n">
        <f aca="false">E15</f>
        <v>21273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(B3+C3+E10+D3+E3)*1.2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21273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393</v>
      </c>
      <c r="C38" s="223"/>
      <c r="D38" s="104" t="n">
        <v>500.0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0.0</v>
      </c>
      <c r="B41" s="241" t="n">
        <f aca="false">IF(B38="YES", D38+A41, D38)</f>
        <v>550</v>
      </c>
      <c r="C41" s="241"/>
      <c r="D41" s="104" t="n">
        <v>12.0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1.0</v>
      </c>
      <c r="B44" s="104" t="n">
        <v>0.0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20928</v>
      </c>
      <c r="C61" s="215"/>
      <c r="D61" s="215"/>
      <c r="E61" s="216"/>
      <c r="F61" s="63"/>
      <c r="G61" s="214" t="s">
        <v>14</v>
      </c>
      <c r="H61" s="291" t="n">
        <f aca="false">G18</f>
        <v>20928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1464.96</v>
      </c>
      <c r="C64" s="215" t="n">
        <v>10000</v>
      </c>
      <c r="D64" s="291" t="n">
        <f aca="false">B64</f>
        <v>1464.96</v>
      </c>
      <c r="E64" s="216"/>
      <c r="F64" s="63"/>
      <c r="G64" s="285" t="s">
        <v>90</v>
      </c>
      <c r="H64" s="133" t="n">
        <f aca="false">H61*H63</f>
        <v>1464.96</v>
      </c>
      <c r="I64" s="215"/>
      <c r="J64" s="291" t="n">
        <f aca="false">H64</f>
        <v>1464.96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104.64</v>
      </c>
      <c r="C67" s="215"/>
      <c r="D67" s="291"/>
      <c r="E67" s="216"/>
      <c r="F67" s="63"/>
      <c r="G67" s="285" t="s">
        <v>93</v>
      </c>
      <c r="H67" s="133" t="n">
        <f aca="false">H61*H66</f>
        <v>104.64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0.0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 t="n">
        <f aca="false">IF(G18&gt;40000, 325, 0)</f>
        <v>0</v>
      </c>
      <c r="D75" s="215"/>
      <c r="E75" s="216"/>
      <c r="F75" s="63"/>
      <c r="G75" s="295" t="s">
        <v>280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0</v>
      </c>
      <c r="C77" s="215"/>
      <c r="D77" s="291" t="n">
        <f aca="false">B77</f>
        <v>0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215"/>
      <c r="D78" s="291" t="n">
        <f aca="false">B78</f>
        <v>0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2078.96</v>
      </c>
      <c r="C81" s="215"/>
      <c r="D81" s="215"/>
      <c r="E81" s="216"/>
      <c r="F81" s="63"/>
      <c r="G81" s="303" t="s">
        <v>102</v>
      </c>
      <c r="H81" s="304" t="n">
        <f aca="false">SUM(J64:J80)</f>
        <v>3091.46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173.246666666667</v>
      </c>
      <c r="C82" s="215"/>
      <c r="D82" s="215"/>
      <c r="E82" s="216"/>
      <c r="F82" s="63"/>
      <c r="G82" s="214" t="s">
        <v>103</v>
      </c>
      <c r="H82" s="300" t="n">
        <f aca="false">H81/H29</f>
        <v>257.621666666667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9709.152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10924.152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68.5397983057685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77.1168455022186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9777.69179830577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10901.2788455022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72</v>
      </c>
      <c r="C89" s="215"/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814.807649858814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908.439903791851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886.807649858814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980.439903791851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239.99</v>
      </c>
      <c r="B102" s="107" t="n">
        <v>400.0</v>
      </c>
      <c r="C102" s="107"/>
      <c r="D102" s="107" t="n">
        <v>200.0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393</v>
      </c>
      <c r="B105" s="312" t="n">
        <v>0.0</v>
      </c>
      <c r="C105" s="312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/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393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10000.0</v>
      </c>
      <c r="E112" s="107" t="n">
        <v>6000.0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((E118)+E117)-E114</f>
        <v>-2760.012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814.807649858814</v>
      </c>
      <c r="B128" s="321" t="n">
        <f aca="false">IF(A105="YES", B89, 0)</f>
        <v>72</v>
      </c>
      <c r="C128" s="326"/>
      <c r="D128" s="321" t="n">
        <f aca="false">B91</f>
        <v>886.807649858814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908.439903791851</v>
      </c>
      <c r="H130" s="177" t="n">
        <f aca="false">IF(G105="YES", H89*H57, 0)</f>
        <v>72</v>
      </c>
      <c r="I130" s="177"/>
      <c r="J130" s="334" t="n">
        <f aca="false">H91</f>
        <v>980.439903791851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814.807649858814</v>
      </c>
      <c r="C131" s="317"/>
      <c r="D131" s="38" t="n">
        <f aca="false">IF(A105="YES", B89*B57, 0)</f>
        <v>72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908.439903791851</v>
      </c>
      <c r="H133" s="103" t="n">
        <f aca="false">IF(G105="YES", H89*H57, 0)</f>
        <v>72</v>
      </c>
      <c r="I133" s="221"/>
      <c r="J133" s="184" t="n">
        <f aca="false">H91*H57</f>
        <v>980.439903791851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886.807649858814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0.127638</v>
      </c>
      <c r="H136" s="103" t="n">
        <f aca="false">IF(G105="YES", E15*0.000002, 0)</f>
        <v>0.042546</v>
      </c>
      <c r="I136" s="103"/>
      <c r="J136" s="103" t="n">
        <f aca="false">G136+H136</f>
        <v>0.170184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814.807649858814</v>
      </c>
      <c r="B137" s="38" t="n">
        <f aca="false">IF(A105="YES", B89, 0)</f>
        <v>72</v>
      </c>
      <c r="C137" s="317"/>
      <c r="D137" s="38" t="n">
        <f aca="false">B91</f>
        <v>886.807649858814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104.64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15.06816</v>
      </c>
      <c r="B140" s="343" t="n">
        <f aca="false">G18*0.000002 *1.2*100</f>
        <v>5.02272</v>
      </c>
      <c r="C140" s="317"/>
      <c r="D140" s="343" t="n">
        <f aca="false">A140+B140</f>
        <v>20.09088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1331.828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104.64</v>
      </c>
      <c r="B148" s="38" t="n">
        <f aca="false">B102</f>
        <v>0</v>
      </c>
      <c r="C148" s="38"/>
      <c r="D148" s="38" t="n">
        <f aca="false">IF(A105="YES", (A38/100*B105)*B125, 0)*0.001</f>
        <v>12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216.63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980.439903791851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886.807649858814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814.807649858814</v>
      </c>
      <c r="B171" s="355" t="n">
        <f aca="false">IF(A105="YES", B89, 0)</f>
        <v>72</v>
      </c>
      <c r="C171" s="358"/>
      <c r="D171" s="355" t="n">
        <f aca="false">B91</f>
        <v>886.807649858814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Monthly in advance </v>
      </c>
      <c r="B174" s="103" t="n">
        <f aca="false">B90*B57</f>
        <v>814.807649858814</v>
      </c>
      <c r="C174" s="353"/>
      <c r="D174" s="103" t="n">
        <f aca="false">IF(A105="YES", B89*B57, 0)</f>
        <v>72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886.807649858814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814.807649858814</v>
      </c>
      <c r="B180" s="103" t="n">
        <f aca="false">IF(A105="YES", B89, 0)</f>
        <v>72</v>
      </c>
      <c r="C180" s="353"/>
      <c r="D180" s="103" t="n">
        <f aca="false">B91</f>
        <v>886.807649858814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15.06816</v>
      </c>
      <c r="B183" s="365" t="n">
        <f aca="false">G18*0.000002 *1.2*100</f>
        <v>5.02272</v>
      </c>
      <c r="C183" s="353"/>
      <c r="D183" s="365" t="n">
        <f aca="false">A183+B183</f>
        <v>20.09088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104.64</v>
      </c>
      <c r="B191" s="103" t="n">
        <f aca="false">B102</f>
        <v>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216.63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1464.96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104.64</v>
      </c>
      <c r="C205" s="320" t="s">
        <v>217</v>
      </c>
      <c r="D205" s="370" t="n">
        <f aca="false">B219+E215+B215+B217</f>
        <v>219.99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1580.31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1464.96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104.64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0</v>
      </c>
      <c r="C217" s="336" t="s">
        <v>218</v>
      </c>
      <c r="D217" s="317"/>
      <c r="E217" s="33" t="n">
        <f aca="false">(B211-B205+D205)</f>
        <v>1580.31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68.5397983057685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96" colorId="64" zoomScale="85" zoomScaleNormal="85" zoomScalePageLayoutView="100" workbookViewId="0">
      <selection pane="topLeft" activeCell="B204" activeCellId="0" sqref="B20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(B3+C3+E10+D3+E3)*1.2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389</v>
      </c>
      <c r="C38" s="223"/>
      <c r="D38" s="104" t="n">
        <v>500.0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5.28</v>
      </c>
      <c r="B41" s="241" t="n">
        <f aca="false">IF(B38="YES", D38+A41, D38)</f>
        <v>550</v>
      </c>
      <c r="C41" s="241"/>
      <c r="D41" s="104" t="n">
        <v>12.0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1.0</v>
      </c>
      <c r="B44" s="104" t="n">
        <v>0.0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4051.95</v>
      </c>
      <c r="C64" s="215" t="n">
        <v>10000.0</v>
      </c>
      <c r="D64" s="291" t="n">
        <f aca="false">B64</f>
        <v>4051.95</v>
      </c>
      <c r="E64" s="216"/>
      <c r="F64" s="63"/>
      <c r="G64" s="285" t="s">
        <v>90</v>
      </c>
      <c r="H64" s="133" t="n">
        <f aca="false">H61*H63</f>
        <v>4051.95</v>
      </c>
      <c r="I64" s="215"/>
      <c r="J64" s="291" t="n">
        <f aca="false">H64</f>
        <v>4051.95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289.425</v>
      </c>
      <c r="C67" s="215"/>
      <c r="D67" s="291"/>
      <c r="E67" s="216"/>
      <c r="F67" s="63"/>
      <c r="G67" s="285" t="s">
        <v>93</v>
      </c>
      <c r="H67" s="133" t="n">
        <f aca="false">H61*H66</f>
        <v>289.425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0.0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/>
      <c r="D75" s="215"/>
      <c r="E75" s="216"/>
      <c r="F75" s="63"/>
      <c r="G75" s="295" t="s">
        <v>280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5332.61666666667</v>
      </c>
      <c r="C81" s="215"/>
      <c r="D81" s="215"/>
      <c r="E81" s="216"/>
      <c r="F81" s="63"/>
      <c r="G81" s="303" t="s">
        <v>102</v>
      </c>
      <c r="H81" s="304" t="n">
        <f aca="false">SUM(J64:J80)</f>
        <v>5705.53333333333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444.384722222222</v>
      </c>
      <c r="C82" s="215"/>
      <c r="D82" s="215"/>
      <c r="E82" s="216"/>
      <c r="F82" s="63"/>
      <c r="G82" s="214" t="s">
        <v>103</v>
      </c>
      <c r="H82" s="300" t="n">
        <f aca="false">H81/H29</f>
        <v>475.461111111111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11344.6166666667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14061.04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96.1020371117386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99.2610730133118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11440.7187037784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14060.3110730133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60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953.393225314867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1171.69258941778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1013.39322531487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1243.69258941778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393</v>
      </c>
      <c r="B105" s="312" t="n">
        <v>0.0</v>
      </c>
      <c r="C105" s="312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/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393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10000.0</v>
      </c>
      <c r="E112" s="107" t="n">
        <v>6000.0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953.393225314867</v>
      </c>
      <c r="B128" s="321" t="n">
        <f aca="false">IF(A105="YES", B89, 0)</f>
        <v>60</v>
      </c>
      <c r="C128" s="326"/>
      <c r="D128" s="321" t="n">
        <f aca="false">B91</f>
        <v>1013.39322531487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1171.69258941778</v>
      </c>
      <c r="H130" s="177" t="n">
        <f aca="false">IF(G105="YES", H89*H57, 0)</f>
        <v>72</v>
      </c>
      <c r="I130" s="177"/>
      <c r="J130" s="334" t="n">
        <f aca="false">H91</f>
        <v>1243.69258941778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953.393225314867</v>
      </c>
      <c r="C131" s="317"/>
      <c r="D131" s="38" t="n">
        <f aca="false">IF(A105="YES", B89*B57, 0)</f>
        <v>60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1171.69258941778</v>
      </c>
      <c r="H133" s="103" t="n">
        <f aca="false">IF(G105="YES", H89*H57, 0)</f>
        <v>72</v>
      </c>
      <c r="I133" s="221"/>
      <c r="J133" s="184" t="n">
        <f aca="false">H91*H57</f>
        <v>1243.69258941778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1013.39322531487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0.35151</v>
      </c>
      <c r="H136" s="103" t="n">
        <f aca="false">IF(G105="YES", E15*0.000002, 0)</f>
        <v>0.11717</v>
      </c>
      <c r="I136" s="103"/>
      <c r="J136" s="103" t="n">
        <f aca="false">G136+H136</f>
        <v>0.46868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953.393225314867</v>
      </c>
      <c r="B137" s="38" t="n">
        <f aca="false">IF(A105="YES", B89, 0)</f>
        <v>60</v>
      </c>
      <c r="C137" s="317"/>
      <c r="D137" s="38" t="n">
        <f aca="false">B91</f>
        <v>1013.39322531487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289.425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G18*0.000002 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1516.613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289.425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801.415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1243.69258941778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1013.39322531487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953.393225314867</v>
      </c>
      <c r="B171" s="355" t="n">
        <f aca="false">IF(A105="YES", B89, 0)</f>
        <v>60</v>
      </c>
      <c r="C171" s="358"/>
      <c r="D171" s="355" t="n">
        <f aca="false">B91</f>
        <v>1013.39322531487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Monthly in advance </v>
      </c>
      <c r="B174" s="103" t="n">
        <f aca="false">B90*B57</f>
        <v>953.393225314867</v>
      </c>
      <c r="C174" s="353"/>
      <c r="D174" s="103" t="n">
        <f aca="false">IF(A105="YES", B89*B57, 0)</f>
        <v>60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1013.39322531487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953.393225314867</v>
      </c>
      <c r="B180" s="103" t="n">
        <f aca="false">IF(A105="YES", B89, 0)</f>
        <v>60</v>
      </c>
      <c r="C180" s="353"/>
      <c r="D180" s="103" t="n">
        <f aca="false">B91</f>
        <v>1013.39322531487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41.6772</v>
      </c>
      <c r="B183" s="365" t="n">
        <f aca="false">G18*0.000002 *1.2*100</f>
        <v>13.8924</v>
      </c>
      <c r="C183" s="353"/>
      <c r="D183" s="365" t="n">
        <f aca="false">A183+B183</f>
        <v>55.5696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289.425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801.415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4051.95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289.425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4222.515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4051.95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289.425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4222.515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96.1020371117386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4946</TotalTime>
  <Application>LibreOffice/7.0.0.3$Windows_X86_64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2020-12-02T11:02:33Z</dcterms:created>
  <dc:creator>Kushal Panchal</dc:creator>
  <dc:language>en-US</dc:language>
  <dcterms:modified xsi:type="dcterms:W3CDTF">2023-08-20T12:00:32Z</dcterms:modified>
  <cp:revision>876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  <property fmtid="{D5CDD505-2E9C-101B-9397-08002B2CF9AE}" pid="3" name="HyperlinksChanged">
    <vt:bool>0</vt:bool>
  </property>
  <property fmtid="{D5CDD505-2E9C-101B-9397-08002B2CF9AE}" pid="4" name="LinksUpToDate">
    <vt:bool>0</vt:bool>
  </property>
  <property fmtid="{D5CDD505-2E9C-101B-9397-08002B2CF9AE}" pid="5" name="ScaleCrop">
    <vt:bool>0</vt:bool>
  </property>
  <property fmtid="{D5CDD505-2E9C-101B-9397-08002B2CF9AE}" pid="6" name="ShareDoc">
    <vt:bool>0</vt:bool>
  </property>
</Properties>
</file>