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/>
  <mc:AlternateContent xmlns:mc="http://schemas.openxmlformats.org/markup-compatibility/2006">
    <mc:Choice Requires="x15">
      <x15ac:absPath xmlns:x15ac="http://schemas.microsoft.com/office/spreadsheetml/2010/11/ac" url="https://tekion-my.sharepoint.com/personal/bkrishnappa_tekion_com/Documents/Microsoft Teams Chat Files/"/>
    </mc:Choice>
  </mc:AlternateContent>
  <xr:revisionPtr revIDLastSave="3" documentId="8_{105F726E-4E39-FA40-BE3C-981AF8920237}" xr6:coauthVersionLast="47" xr6:coauthVersionMax="47" xr10:uidLastSave="{0B47A451-0D57-CE43-B401-3DF25B897541}"/>
  <bookViews>
    <workbookView xWindow="1160" yWindow="500" windowWidth="27640" windowHeight="17500" xr2:uid="{00000000-000D-0000-FFFF-FFFF00000000}"/>
  </bookViews>
  <sheets>
    <sheet name="Inchcap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7" i="1"/>
  <c r="V10" i="1"/>
  <c r="V12" i="1"/>
  <c r="V13" i="1"/>
  <c r="V14" i="1"/>
  <c r="U7" i="1"/>
  <c r="U2" i="1"/>
  <c r="U10" i="1"/>
  <c r="U12" i="1"/>
  <c r="U13" i="1"/>
  <c r="U14" i="1"/>
  <c r="S9" i="1"/>
  <c r="S13" i="1"/>
  <c r="T13" i="1"/>
  <c r="S14" i="1"/>
  <c r="T14" i="1"/>
  <c r="T12" i="1"/>
  <c r="S12" i="1"/>
  <c r="T10" i="1"/>
  <c r="Q10" i="1"/>
  <c r="R10" i="1"/>
  <c r="S10" i="1"/>
  <c r="S23" i="1"/>
  <c r="R6" i="1"/>
  <c r="R21" i="1" s="1"/>
  <c r="R23" i="1"/>
  <c r="Q6" i="1"/>
  <c r="B20" i="1"/>
  <c r="B13" i="1"/>
  <c r="B16" i="1"/>
  <c r="B17" i="1"/>
  <c r="I9" i="1"/>
  <c r="I8" i="1"/>
  <c r="I6" i="1"/>
  <c r="I3" i="1"/>
  <c r="I2" i="1"/>
  <c r="H3" i="1"/>
  <c r="J3" i="1" s="1"/>
  <c r="H4" i="1"/>
  <c r="H5" i="1"/>
  <c r="J5" i="1" s="1"/>
  <c r="H6" i="1"/>
  <c r="J6" i="1" s="1"/>
  <c r="H7" i="1"/>
  <c r="H8" i="1"/>
  <c r="J8" i="1" s="1"/>
  <c r="H9" i="1"/>
  <c r="J9" i="1" s="1"/>
  <c r="H10" i="1"/>
  <c r="H2" i="1"/>
  <c r="J2" i="1" s="1"/>
  <c r="K2" i="1" s="1"/>
  <c r="K8" i="1"/>
  <c r="K6" i="1"/>
  <c r="K3" i="1"/>
  <c r="B15" i="1"/>
  <c r="B12" i="1"/>
  <c r="B14" i="1" s="1"/>
  <c r="M10" i="1" l="1"/>
  <c r="L10" i="1"/>
  <c r="M7" i="1"/>
  <c r="L7" i="1"/>
  <c r="M4" i="1"/>
  <c r="L4" i="1"/>
  <c r="N4" i="1" s="1"/>
  <c r="M2" i="1"/>
  <c r="L2" i="1"/>
  <c r="M3" i="1"/>
  <c r="L3" i="1"/>
  <c r="M5" i="1"/>
  <c r="L5" i="1"/>
  <c r="M6" i="1"/>
  <c r="L6" i="1"/>
  <c r="M8" i="1"/>
  <c r="L8" i="1"/>
  <c r="M9" i="1"/>
  <c r="L9" i="1"/>
  <c r="Q23" i="1"/>
  <c r="Q21" i="1"/>
  <c r="B18" i="1"/>
  <c r="N10" i="1"/>
  <c r="J10" i="1"/>
  <c r="N7" i="1"/>
  <c r="J7" i="1"/>
  <c r="K7" i="1" s="1"/>
  <c r="J4" i="1"/>
  <c r="K4" i="1" s="1"/>
  <c r="N3" i="1"/>
  <c r="N6" i="1"/>
  <c r="N9" i="1"/>
  <c r="K5" i="1"/>
  <c r="K9" i="1"/>
  <c r="K10" i="1"/>
  <c r="V17" i="1" l="1"/>
  <c r="V20" i="1" s="1"/>
  <c r="V16" i="1"/>
  <c r="V19" i="1" s="1"/>
  <c r="V15" i="1"/>
  <c r="V18" i="1" s="1"/>
  <c r="U17" i="1"/>
  <c r="U20" i="1" s="1"/>
  <c r="U16" i="1"/>
  <c r="U19" i="1" s="1"/>
  <c r="U15" i="1"/>
  <c r="U18" i="1" s="1"/>
  <c r="T15" i="1"/>
  <c r="T18" i="1" s="1"/>
  <c r="S15" i="1"/>
  <c r="S18" i="1" s="1"/>
  <c r="S17" i="1"/>
  <c r="S20" i="1" s="1"/>
  <c r="T17" i="1"/>
  <c r="T20" i="1" s="1"/>
  <c r="S16" i="1"/>
  <c r="S19" i="1" s="1"/>
  <c r="T16" i="1"/>
  <c r="T19" i="1" s="1"/>
  <c r="N5" i="1"/>
  <c r="R13" i="1" s="1"/>
  <c r="N2" i="1"/>
  <c r="Q12" i="1" s="1"/>
  <c r="R14" i="1"/>
  <c r="Q14" i="1"/>
  <c r="R12" i="1"/>
  <c r="N8" i="1"/>
  <c r="B19" i="1"/>
  <c r="B21" i="1" s="1"/>
  <c r="V11" i="1" s="1"/>
  <c r="Q13" i="1" l="1"/>
  <c r="V21" i="1"/>
  <c r="V23" i="1"/>
  <c r="U11" i="1"/>
  <c r="Q11" i="1"/>
  <c r="U21" i="1"/>
  <c r="U23" i="1"/>
  <c r="Q15" i="1"/>
  <c r="R15" i="1"/>
  <c r="Q16" i="1"/>
  <c r="Q19" i="1" s="1"/>
  <c r="R16" i="1"/>
  <c r="R19" i="1" s="1"/>
  <c r="Q17" i="1"/>
  <c r="Q20" i="1" s="1"/>
  <c r="R17" i="1"/>
  <c r="R20" i="1" s="1"/>
  <c r="S11" i="1"/>
  <c r="S22" i="1" s="1"/>
  <c r="T11" i="1"/>
  <c r="T21" i="1" s="1"/>
  <c r="R11" i="1"/>
  <c r="Q24" i="1" l="1"/>
  <c r="Q22" i="1"/>
  <c r="Q18" i="1"/>
  <c r="T23" i="1"/>
  <c r="S24" i="1"/>
  <c r="S8" i="1"/>
  <c r="R18" i="1"/>
  <c r="R22" i="1"/>
  <c r="R24" i="1"/>
</calcChain>
</file>

<file path=xl/sharedStrings.xml><?xml version="1.0" encoding="utf-8"?>
<sst xmlns="http://schemas.openxmlformats.org/spreadsheetml/2006/main" count="94" uniqueCount="70">
  <si>
    <t>Input Fields for Vehicle Calulcations</t>
  </si>
  <si>
    <t>Old Selling Price inc. VAT</t>
  </si>
  <si>
    <t>Cost Price inc. VAT</t>
  </si>
  <si>
    <t>Capped or Financed?</t>
  </si>
  <si>
    <t xml:space="preserve">Old VAT Code </t>
  </si>
  <si>
    <t>New VAT Code</t>
  </si>
  <si>
    <t>Cost Price ex. VAT</t>
  </si>
  <si>
    <t>VAT on Cost Price</t>
  </si>
  <si>
    <t>New Selling Price inc. VAT</t>
  </si>
  <si>
    <t>VAT on Selling Price</t>
  </si>
  <si>
    <t>NewSelling Price ex. VAT</t>
  </si>
  <si>
    <t>Desking fields</t>
  </si>
  <si>
    <t>PCP(Lease) Default</t>
  </si>
  <si>
    <t>HP(Loan) Default</t>
  </si>
  <si>
    <t>Cash Deal</t>
  </si>
  <si>
    <t>Cash OSF</t>
  </si>
  <si>
    <t>Generic PCP(Lease)</t>
  </si>
  <si>
    <t>Generic HP(Loan)</t>
  </si>
  <si>
    <t>Retail Price inc. VAT</t>
  </si>
  <si>
    <t xml:space="preserve">Accessory1 </t>
  </si>
  <si>
    <t>Term</t>
  </si>
  <si>
    <t>NA</t>
  </si>
  <si>
    <t>Discount inc VAT</t>
  </si>
  <si>
    <t xml:space="preserve">Accessory 2 </t>
  </si>
  <si>
    <t>APR</t>
  </si>
  <si>
    <t>Orginal Purchase Price</t>
  </si>
  <si>
    <t>Accessory 3</t>
  </si>
  <si>
    <t>GMFV</t>
  </si>
  <si>
    <t>Vehicle VAT Qualifying(Y/N)</t>
  </si>
  <si>
    <t>Y</t>
  </si>
  <si>
    <t>Product 1</t>
  </si>
  <si>
    <t>Desposit Collected</t>
  </si>
  <si>
    <t>Input VAT Rate</t>
  </si>
  <si>
    <t>Product 2</t>
  </si>
  <si>
    <t>Amount Financed</t>
  </si>
  <si>
    <t>Output VAT Rate(only VAT Qualifying)</t>
  </si>
  <si>
    <t>Product 3</t>
  </si>
  <si>
    <t>Customer Cash</t>
  </si>
  <si>
    <t>Trade-in Allowance</t>
  </si>
  <si>
    <t>Fee 1</t>
  </si>
  <si>
    <t>Total Amount Payable</t>
  </si>
  <si>
    <t>Trade Payoff</t>
  </si>
  <si>
    <t>Fee 2</t>
  </si>
  <si>
    <t>Total Charge for Credit</t>
  </si>
  <si>
    <t>Cashback or Retained Equity</t>
  </si>
  <si>
    <t>Fee 3</t>
  </si>
  <si>
    <t>Trade Allowance - Trade Payoff</t>
  </si>
  <si>
    <t>Output fields for Vehicle Calculations</t>
  </si>
  <si>
    <t>Selling Price(inc. VAT)</t>
  </si>
  <si>
    <t>Total Financed Accessory Amount(inc. VAT)</t>
  </si>
  <si>
    <t>Total Financed F&amp;I Amount(inc. VAT)</t>
  </si>
  <si>
    <t>Selling Price inc. VAT(non-Qualifying)</t>
  </si>
  <si>
    <t>Total Financed Fees Amount(inc. VAT)</t>
  </si>
  <si>
    <t>Original Purchase Price</t>
  </si>
  <si>
    <t>Total Upfront Accessory Amount(inc. VAT)</t>
  </si>
  <si>
    <t>VAT Qualifying</t>
  </si>
  <si>
    <t>Total Upfront F&amp;I Amount(inc. VAT)</t>
  </si>
  <si>
    <t>Total Upfront Fees Amount(inc. VAT)</t>
  </si>
  <si>
    <t>Input VAT Amount</t>
  </si>
  <si>
    <t>Total  Accessory Amount(inc. VAT)</t>
  </si>
  <si>
    <t>Selling Price ex. VAT(Both)</t>
  </si>
  <si>
    <t>Total F&amp;I Amount(inc. VAT)</t>
  </si>
  <si>
    <t>Output VAT Rate</t>
  </si>
  <si>
    <t>Total Fees Amount(inc. VAT)</t>
  </si>
  <si>
    <t>Selling Price inc. VAT(Qualifying)</t>
  </si>
  <si>
    <t>Order form, Due from Lender</t>
  </si>
  <si>
    <t>-</t>
  </si>
  <si>
    <t>Order form, Due from Customer</t>
  </si>
  <si>
    <t>Main Invoice, Due from Lender</t>
  </si>
  <si>
    <t>Main Invoice, Due from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</si>
</sst>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5" xfId="0" applyBorder="1"/>
    <xf numFmtId="164" fontId="0" fillId="3" borderId="6" xfId="0" applyNumberFormat="1" applyFill="1" applyBorder="1"/>
    <xf numFmtId="0" fontId="0" fillId="3" borderId="6" xfId="0" applyFill="1" applyBorder="1"/>
    <xf numFmtId="9" fontId="0" fillId="3" borderId="6" xfId="0" applyNumberFormat="1" applyFill="1" applyBorder="1"/>
    <xf numFmtId="0" fontId="0" fillId="0" borderId="7" xfId="0" applyBorder="1"/>
    <xf numFmtId="0" fontId="0" fillId="0" borderId="3" xfId="0" applyBorder="1"/>
    <xf numFmtId="164" fontId="0" fillId="0" borderId="4" xfId="0" applyNumberFormat="1" applyBorder="1"/>
    <xf numFmtId="164" fontId="0" fillId="0" borderId="6" xfId="0" applyNumberFormat="1" applyBorder="1"/>
    <xf numFmtId="0" fontId="1" fillId="0" borderId="5" xfId="0" applyFont="1" applyBorder="1"/>
    <xf numFmtId="164" fontId="0" fillId="2" borderId="6" xfId="0" applyNumberFormat="1" applyFill="1" applyBorder="1"/>
    <xf numFmtId="0" fontId="0" fillId="0" borderId="6" xfId="0" applyBorder="1"/>
    <xf numFmtId="9" fontId="0" fillId="0" borderId="6" xfId="0" applyNumberFormat="1" applyBorder="1"/>
    <xf numFmtId="0" fontId="1" fillId="0" borderId="7" xfId="0" applyFont="1" applyBorder="1"/>
    <xf numFmtId="164" fontId="0" fillId="2" borderId="8" xfId="0" applyNumberFormat="1" applyFill="1" applyBorder="1"/>
    <xf numFmtId="0" fontId="0" fillId="0" borderId="11" xfId="0" applyBorder="1"/>
    <xf numFmtId="9" fontId="0" fillId="3" borderId="12" xfId="0" applyNumberFormat="1" applyFill="1" applyBorder="1"/>
    <xf numFmtId="164" fontId="0" fillId="3" borderId="4" xfId="0" applyNumberFormat="1" applyFill="1" applyBorder="1"/>
    <xf numFmtId="164" fontId="0" fillId="3" borderId="8" xfId="0" applyNumberFormat="1" applyFill="1" applyBorder="1"/>
    <xf numFmtId="164" fontId="0" fillId="3" borderId="1" xfId="0" applyNumberFormat="1" applyFill="1" applyBorder="1"/>
    <xf numFmtId="0" fontId="0" fillId="0" borderId="1" xfId="0" applyBorder="1"/>
    <xf numFmtId="164" fontId="0" fillId="6" borderId="1" xfId="0" applyNumberFormat="1" applyFill="1" applyBorder="1"/>
    <xf numFmtId="164" fontId="0" fillId="0" borderId="1" xfId="0" applyNumberFormat="1" applyBorder="1"/>
    <xf numFmtId="0" fontId="1" fillId="5" borderId="3" xfId="0" applyFont="1" applyFill="1" applyBorder="1"/>
    <xf numFmtId="0" fontId="1" fillId="5" borderId="13" xfId="0" applyFont="1" applyFill="1" applyBorder="1"/>
    <xf numFmtId="164" fontId="0" fillId="6" borderId="14" xfId="0" applyNumberFormat="1" applyFill="1" applyBorder="1"/>
    <xf numFmtId="0" fontId="1" fillId="7" borderId="4" xfId="0" applyFont="1" applyFill="1" applyBorder="1"/>
    <xf numFmtId="164" fontId="0" fillId="7" borderId="6" xfId="0" applyNumberFormat="1" applyFill="1" applyBorder="1"/>
    <xf numFmtId="0" fontId="0" fillId="7" borderId="6" xfId="0" applyFill="1" applyBorder="1"/>
    <xf numFmtId="164" fontId="0" fillId="7" borderId="8" xfId="0" applyNumberFormat="1" applyFill="1" applyBorder="1"/>
    <xf numFmtId="9" fontId="0" fillId="7" borderId="6" xfId="0" applyNumberFormat="1" applyFill="1" applyBorder="1"/>
    <xf numFmtId="0" fontId="1" fillId="5" borderId="13" xfId="0" applyFont="1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1" fontId="0" fillId="3" borderId="1" xfId="0" applyNumberFormat="1" applyFill="1" applyBorder="1"/>
    <xf numFmtId="9" fontId="0" fillId="3" borderId="1" xfId="0" applyNumberFormat="1" applyFill="1" applyBorder="1"/>
    <xf numFmtId="164" fontId="0" fillId="2" borderId="1" xfId="0" applyNumberFormat="1" applyFill="1" applyBorder="1"/>
    <xf numFmtId="164" fontId="0" fillId="4" borderId="1" xfId="0" applyNumberFormat="1" applyFill="1" applyBorder="1"/>
    <xf numFmtId="164" fontId="1" fillId="4" borderId="1" xfId="0" applyNumberFormat="1" applyFont="1" applyFill="1" applyBorder="1"/>
    <xf numFmtId="164" fontId="0" fillId="4" borderId="6" xfId="0" applyNumberFormat="1" applyFill="1" applyBorder="1"/>
    <xf numFmtId="164" fontId="0" fillId="3" borderId="14" xfId="0" applyNumberFormat="1" applyFill="1" applyBorder="1"/>
    <xf numFmtId="1" fontId="0" fillId="3" borderId="14" xfId="0" applyNumberFormat="1" applyFill="1" applyBorder="1"/>
    <xf numFmtId="9" fontId="0" fillId="3" borderId="14" xfId="0" applyNumberFormat="1" applyFill="1" applyBorder="1"/>
    <xf numFmtId="164" fontId="0" fillId="2" borderId="14" xfId="0" applyNumberFormat="1" applyFill="1" applyBorder="1"/>
    <xf numFmtId="164" fontId="0" fillId="4" borderId="14" xfId="0" applyNumberFormat="1" applyFill="1" applyBorder="1"/>
    <xf numFmtId="164" fontId="1" fillId="4" borderId="14" xfId="0" applyNumberFormat="1" applyFont="1" applyFill="1" applyBorder="1"/>
    <xf numFmtId="164" fontId="0" fillId="4" borderId="8" xfId="0" applyNumberFormat="1" applyFill="1" applyBorder="1"/>
    <xf numFmtId="0" fontId="1" fillId="5" borderId="2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workbookViewId="0">
      <selection activeCell="I2" sqref="I2"/>
    </sheetView>
  </sheetViews>
  <sheetFormatPr baseColWidth="10" defaultColWidth="8.83203125" defaultRowHeight="15" x14ac:dyDescent="0.2"/>
  <cols>
    <col min="1" max="1" width="34.1640625" customWidth="1"/>
    <col min="2" max="2" width="16.6640625" customWidth="1"/>
    <col min="3" max="3" width="10.33203125" customWidth="1"/>
    <col min="7" max="7" width="9.5" customWidth="1"/>
    <col min="14" max="14" width="9.83203125" customWidth="1"/>
    <col min="16" max="16" width="36.5" customWidth="1"/>
    <col min="17" max="17" width="13.5" customWidth="1"/>
    <col min="18" max="18" width="12.33203125" customWidth="1"/>
    <col min="19" max="19" width="11.5" customWidth="1"/>
    <col min="20" max="20" width="12.5" customWidth="1"/>
    <col min="21" max="21" width="12.33203125" customWidth="1"/>
    <col min="22" max="22" width="14.33203125" customWidth="1"/>
  </cols>
  <sheetData>
    <row r="1" spans="1:22" ht="64" x14ac:dyDescent="0.2">
      <c r="A1" s="48" t="s">
        <v>0</v>
      </c>
      <c r="B1" s="49"/>
      <c r="D1" s="32"/>
      <c r="E1" s="31" t="s">
        <v>1</v>
      </c>
      <c r="F1" s="31" t="s">
        <v>2</v>
      </c>
      <c r="G1" s="31" t="s">
        <v>3</v>
      </c>
      <c r="H1" s="31" t="s">
        <v>4</v>
      </c>
      <c r="I1" s="31" t="s">
        <v>5</v>
      </c>
      <c r="J1" s="31" t="s">
        <v>6</v>
      </c>
      <c r="K1" s="31" t="s">
        <v>7</v>
      </c>
      <c r="L1" s="31" t="s">
        <v>8</v>
      </c>
      <c r="M1" s="31" t="s">
        <v>9</v>
      </c>
      <c r="N1" s="33" t="s">
        <v>10</v>
      </c>
      <c r="P1" s="23" t="s">
        <v>11</v>
      </c>
      <c r="Q1" s="31" t="s">
        <v>12</v>
      </c>
      <c r="R1" s="31" t="s">
        <v>13</v>
      </c>
      <c r="S1" s="24" t="s">
        <v>14</v>
      </c>
      <c r="T1" s="24" t="s">
        <v>15</v>
      </c>
      <c r="U1" s="26" t="s">
        <v>16</v>
      </c>
      <c r="V1" s="26" t="s">
        <v>17</v>
      </c>
    </row>
    <row r="2" spans="1:22" x14ac:dyDescent="0.2">
      <c r="A2" s="1" t="s">
        <v>18</v>
      </c>
      <c r="B2" s="2">
        <v>21000</v>
      </c>
      <c r="D2" s="9" t="s">
        <v>19</v>
      </c>
      <c r="E2" s="19">
        <v>100</v>
      </c>
      <c r="F2" s="19">
        <v>60</v>
      </c>
      <c r="G2" s="34">
        <v>1</v>
      </c>
      <c r="H2" s="35">
        <f>20%</f>
        <v>0.2</v>
      </c>
      <c r="I2" s="35">
        <f>5%</f>
        <v>0.05</v>
      </c>
      <c r="J2" s="36">
        <f>F2/(1+H2)</f>
        <v>50</v>
      </c>
      <c r="K2" s="37">
        <f t="shared" ref="K2:K10" si="0">F2-J2</f>
        <v>10</v>
      </c>
      <c r="L2" s="38">
        <f>(E2*(1+I2))/(1+H2)</f>
        <v>87.5</v>
      </c>
      <c r="M2" s="37">
        <f>((E2)*I2)/(1+H2)</f>
        <v>4.166666666666667</v>
      </c>
      <c r="N2" s="39">
        <f>L2-M2</f>
        <v>83.333333333333329</v>
      </c>
      <c r="P2" s="1" t="s">
        <v>20</v>
      </c>
      <c r="Q2" s="20" t="s">
        <v>21</v>
      </c>
      <c r="R2" s="20" t="s">
        <v>21</v>
      </c>
      <c r="S2" s="20" t="s">
        <v>21</v>
      </c>
      <c r="T2" s="20" t="s">
        <v>21</v>
      </c>
      <c r="U2" s="28">
        <f>36</f>
        <v>36</v>
      </c>
      <c r="V2" s="28">
        <f>36</f>
        <v>36</v>
      </c>
    </row>
    <row r="3" spans="1:22" x14ac:dyDescent="0.2">
      <c r="A3" s="1" t="s">
        <v>22</v>
      </c>
      <c r="B3" s="2">
        <v>0</v>
      </c>
      <c r="D3" s="9" t="s">
        <v>23</v>
      </c>
      <c r="E3" s="19">
        <v>100</v>
      </c>
      <c r="F3" s="19">
        <v>30</v>
      </c>
      <c r="G3" s="34">
        <v>0</v>
      </c>
      <c r="H3" s="35">
        <f>20%</f>
        <v>0.2</v>
      </c>
      <c r="I3" s="35">
        <f>20%</f>
        <v>0.2</v>
      </c>
      <c r="J3" s="36">
        <f>F3/(1+H3)</f>
        <v>25</v>
      </c>
      <c r="K3" s="37">
        <f t="shared" si="0"/>
        <v>5</v>
      </c>
      <c r="L3" s="38">
        <f t="shared" ref="L3:L10" si="1">(E3*(1+I3))/(1+H3)</f>
        <v>100</v>
      </c>
      <c r="M3" s="37">
        <f t="shared" ref="M3:M10" si="2">((E3)*I3)/(1+H3)</f>
        <v>16.666666666666668</v>
      </c>
      <c r="N3" s="39">
        <f t="shared" ref="N3:N10" si="3">L3-M3</f>
        <v>83.333333333333329</v>
      </c>
      <c r="P3" s="1" t="s">
        <v>24</v>
      </c>
      <c r="Q3" s="20" t="s">
        <v>21</v>
      </c>
      <c r="R3" s="20" t="s">
        <v>21</v>
      </c>
      <c r="S3" s="20" t="s">
        <v>21</v>
      </c>
      <c r="T3" s="20" t="s">
        <v>21</v>
      </c>
      <c r="U3" s="30"/>
      <c r="V3" s="30"/>
    </row>
    <row r="4" spans="1:22" x14ac:dyDescent="0.2">
      <c r="A4" s="1" t="s">
        <v>25</v>
      </c>
      <c r="B4" s="2">
        <v>10000</v>
      </c>
      <c r="D4" s="9" t="s">
        <v>26</v>
      </c>
      <c r="E4" s="19">
        <v>100</v>
      </c>
      <c r="F4" s="19">
        <v>45</v>
      </c>
      <c r="G4" s="34">
        <v>1</v>
      </c>
      <c r="H4" s="35">
        <f>20%</f>
        <v>0.2</v>
      </c>
      <c r="I4" s="35">
        <v>0.1</v>
      </c>
      <c r="J4" s="36">
        <f t="shared" ref="J4:J10" si="4">F4/(1+H4)</f>
        <v>37.5</v>
      </c>
      <c r="K4" s="37">
        <f t="shared" si="0"/>
        <v>7.5</v>
      </c>
      <c r="L4" s="38">
        <f t="shared" si="1"/>
        <v>91.666666666666686</v>
      </c>
      <c r="M4" s="37">
        <f t="shared" si="2"/>
        <v>8.3333333333333339</v>
      </c>
      <c r="N4" s="39">
        <f t="shared" si="3"/>
        <v>83.333333333333357</v>
      </c>
      <c r="P4" s="1" t="s">
        <v>27</v>
      </c>
      <c r="Q4" s="20" t="s">
        <v>21</v>
      </c>
      <c r="R4" s="20" t="s">
        <v>21</v>
      </c>
      <c r="S4" s="20" t="s">
        <v>21</v>
      </c>
      <c r="T4" s="20" t="s">
        <v>21</v>
      </c>
      <c r="U4" s="27"/>
      <c r="V4" s="27"/>
    </row>
    <row r="5" spans="1:22" x14ac:dyDescent="0.2">
      <c r="A5" s="1" t="s">
        <v>28</v>
      </c>
      <c r="B5" s="3" t="s">
        <v>29</v>
      </c>
      <c r="D5" s="9" t="s">
        <v>30</v>
      </c>
      <c r="E5" s="19">
        <v>100</v>
      </c>
      <c r="F5" s="19">
        <v>70</v>
      </c>
      <c r="G5" s="34">
        <v>0</v>
      </c>
      <c r="H5" s="35">
        <f>20%</f>
        <v>0.2</v>
      </c>
      <c r="I5" s="35">
        <v>0.2</v>
      </c>
      <c r="J5" s="36">
        <f t="shared" si="4"/>
        <v>58.333333333333336</v>
      </c>
      <c r="K5" s="37">
        <f t="shared" si="0"/>
        <v>11.666666666666664</v>
      </c>
      <c r="L5" s="38">
        <f t="shared" si="1"/>
        <v>100</v>
      </c>
      <c r="M5" s="37">
        <f t="shared" si="2"/>
        <v>16.666666666666668</v>
      </c>
      <c r="N5" s="39">
        <f t="shared" si="3"/>
        <v>83.333333333333329</v>
      </c>
      <c r="P5" s="1" t="s">
        <v>31</v>
      </c>
      <c r="Q5" s="19">
        <v>99</v>
      </c>
      <c r="R5" s="19">
        <v>99</v>
      </c>
      <c r="S5" s="19">
        <v>99</v>
      </c>
      <c r="T5" s="19">
        <v>99</v>
      </c>
      <c r="U5" s="27">
        <v>100</v>
      </c>
      <c r="V5" s="27">
        <v>101</v>
      </c>
    </row>
    <row r="6" spans="1:22" x14ac:dyDescent="0.2">
      <c r="A6" s="1" t="s">
        <v>32</v>
      </c>
      <c r="B6" s="4">
        <v>0.2</v>
      </c>
      <c r="D6" s="9" t="s">
        <v>33</v>
      </c>
      <c r="E6" s="19">
        <v>100</v>
      </c>
      <c r="F6" s="19">
        <v>80</v>
      </c>
      <c r="G6" s="34">
        <v>1</v>
      </c>
      <c r="H6" s="35">
        <f>20%</f>
        <v>0.2</v>
      </c>
      <c r="I6" s="35">
        <f>20%</f>
        <v>0.2</v>
      </c>
      <c r="J6" s="36">
        <f t="shared" si="4"/>
        <v>66.666666666666671</v>
      </c>
      <c r="K6" s="37">
        <f t="shared" si="0"/>
        <v>13.333333333333329</v>
      </c>
      <c r="L6" s="38">
        <f t="shared" si="1"/>
        <v>100</v>
      </c>
      <c r="M6" s="37">
        <f t="shared" si="2"/>
        <v>16.666666666666668</v>
      </c>
      <c r="N6" s="39">
        <f t="shared" si="3"/>
        <v>83.333333333333329</v>
      </c>
      <c r="P6" s="1" t="s">
        <v>34</v>
      </c>
      <c r="Q6" s="19">
        <f>45000</f>
        <v>45000</v>
      </c>
      <c r="R6" s="19">
        <f>45000</f>
        <v>45000</v>
      </c>
      <c r="S6" s="20" t="s">
        <v>21</v>
      </c>
      <c r="T6" s="20" t="s">
        <v>21</v>
      </c>
      <c r="U6" s="28" t="s">
        <v>21</v>
      </c>
      <c r="V6" s="28" t="s">
        <v>21</v>
      </c>
    </row>
    <row r="7" spans="1:22" x14ac:dyDescent="0.2">
      <c r="A7" s="15" t="s">
        <v>35</v>
      </c>
      <c r="B7" s="16">
        <v>0.1</v>
      </c>
      <c r="D7" s="9" t="s">
        <v>36</v>
      </c>
      <c r="E7" s="19">
        <v>100</v>
      </c>
      <c r="F7" s="19">
        <v>90</v>
      </c>
      <c r="G7" s="34">
        <v>0</v>
      </c>
      <c r="H7" s="35">
        <f>20%</f>
        <v>0.2</v>
      </c>
      <c r="I7" s="35">
        <v>0</v>
      </c>
      <c r="J7" s="36">
        <f t="shared" si="4"/>
        <v>75</v>
      </c>
      <c r="K7" s="37">
        <f t="shared" si="0"/>
        <v>15</v>
      </c>
      <c r="L7" s="38">
        <f t="shared" si="1"/>
        <v>83.333333333333343</v>
      </c>
      <c r="M7" s="37">
        <f t="shared" si="2"/>
        <v>0</v>
      </c>
      <c r="N7" s="39">
        <f t="shared" si="3"/>
        <v>83.333333333333343</v>
      </c>
      <c r="P7" s="1" t="s">
        <v>37</v>
      </c>
      <c r="Q7" s="19">
        <v>2000</v>
      </c>
      <c r="R7" s="19">
        <v>2000</v>
      </c>
      <c r="S7" s="20" t="s">
        <v>21</v>
      </c>
      <c r="T7" s="20" t="s">
        <v>21</v>
      </c>
      <c r="U7" s="27">
        <f>125</f>
        <v>125</v>
      </c>
      <c r="V7" s="27">
        <f>125</f>
        <v>125</v>
      </c>
    </row>
    <row r="8" spans="1:22" x14ac:dyDescent="0.2">
      <c r="A8" s="6" t="s">
        <v>38</v>
      </c>
      <c r="B8" s="17">
        <v>5000</v>
      </c>
      <c r="D8" s="9" t="s">
        <v>39</v>
      </c>
      <c r="E8" s="19">
        <v>100</v>
      </c>
      <c r="F8" s="19">
        <v>100</v>
      </c>
      <c r="G8" s="34">
        <v>1</v>
      </c>
      <c r="H8" s="35">
        <f>20%</f>
        <v>0.2</v>
      </c>
      <c r="I8" s="35">
        <f>5%</f>
        <v>0.05</v>
      </c>
      <c r="J8" s="36">
        <f t="shared" si="4"/>
        <v>83.333333333333343</v>
      </c>
      <c r="K8" s="37">
        <f t="shared" si="0"/>
        <v>16.666666666666657</v>
      </c>
      <c r="L8" s="38">
        <f t="shared" si="1"/>
        <v>87.5</v>
      </c>
      <c r="M8" s="37">
        <f t="shared" si="2"/>
        <v>4.166666666666667</v>
      </c>
      <c r="N8" s="39">
        <f t="shared" si="3"/>
        <v>83.333333333333329</v>
      </c>
      <c r="P8" s="1" t="s">
        <v>40</v>
      </c>
      <c r="Q8" s="19">
        <v>51000</v>
      </c>
      <c r="R8" s="19">
        <v>51000</v>
      </c>
      <c r="S8" s="21">
        <f>S11+SUM(S18:S20)-S5-S10</f>
        <v>15984.333333333332</v>
      </c>
      <c r="T8" s="20" t="s">
        <v>21</v>
      </c>
      <c r="U8" s="28" t="s">
        <v>21</v>
      </c>
      <c r="V8" s="28" t="s">
        <v>21</v>
      </c>
    </row>
    <row r="9" spans="1:22" x14ac:dyDescent="0.2">
      <c r="A9" s="1" t="s">
        <v>41</v>
      </c>
      <c r="B9" s="2">
        <v>1000</v>
      </c>
      <c r="D9" s="9" t="s">
        <v>42</v>
      </c>
      <c r="E9" s="19">
        <v>100</v>
      </c>
      <c r="F9" s="19">
        <v>50</v>
      </c>
      <c r="G9" s="34">
        <v>0</v>
      </c>
      <c r="H9" s="35">
        <f>20%</f>
        <v>0.2</v>
      </c>
      <c r="I9" s="35">
        <f>20%</f>
        <v>0.2</v>
      </c>
      <c r="J9" s="36">
        <f t="shared" si="4"/>
        <v>41.666666666666671</v>
      </c>
      <c r="K9" s="37">
        <f t="shared" si="0"/>
        <v>8.3333333333333286</v>
      </c>
      <c r="L9" s="38">
        <f t="shared" si="1"/>
        <v>100</v>
      </c>
      <c r="M9" s="37">
        <f t="shared" si="2"/>
        <v>16.666666666666668</v>
      </c>
      <c r="N9" s="39">
        <f t="shared" si="3"/>
        <v>83.333333333333329</v>
      </c>
      <c r="P9" s="1" t="s">
        <v>43</v>
      </c>
      <c r="Q9" s="19">
        <v>5000</v>
      </c>
      <c r="R9" s="19">
        <v>5000</v>
      </c>
      <c r="S9" s="22">
        <f>0</f>
        <v>0</v>
      </c>
      <c r="T9" s="22" t="s">
        <v>21</v>
      </c>
      <c r="U9" s="27"/>
      <c r="V9" s="27"/>
    </row>
    <row r="10" spans="1:22" x14ac:dyDescent="0.2">
      <c r="A10" s="5" t="s">
        <v>44</v>
      </c>
      <c r="B10" s="18">
        <v>500</v>
      </c>
      <c r="D10" s="13" t="s">
        <v>45</v>
      </c>
      <c r="E10" s="40">
        <v>100</v>
      </c>
      <c r="F10" s="40">
        <v>50</v>
      </c>
      <c r="G10" s="41">
        <v>1</v>
      </c>
      <c r="H10" s="42">
        <f>20%</f>
        <v>0.2</v>
      </c>
      <c r="I10" s="42">
        <v>0</v>
      </c>
      <c r="J10" s="43">
        <f t="shared" si="4"/>
        <v>41.666666666666671</v>
      </c>
      <c r="K10" s="44">
        <f t="shared" si="0"/>
        <v>8.3333333333333286</v>
      </c>
      <c r="L10" s="45">
        <f t="shared" si="1"/>
        <v>83.333333333333343</v>
      </c>
      <c r="M10" s="44">
        <f t="shared" si="2"/>
        <v>0</v>
      </c>
      <c r="N10" s="46">
        <f t="shared" si="3"/>
        <v>83.333333333333343</v>
      </c>
      <c r="P10" s="1" t="s">
        <v>46</v>
      </c>
      <c r="Q10" s="22">
        <f t="shared" ref="Q10:V10" si="5">($B$8-$B$9)</f>
        <v>4000</v>
      </c>
      <c r="R10" s="22">
        <f t="shared" si="5"/>
        <v>4000</v>
      </c>
      <c r="S10" s="22">
        <f>($B$8-$B$9)</f>
        <v>4000</v>
      </c>
      <c r="T10" s="22">
        <f t="shared" si="5"/>
        <v>4000</v>
      </c>
      <c r="U10" s="27">
        <f t="shared" si="5"/>
        <v>4000</v>
      </c>
      <c r="V10" s="27">
        <f t="shared" si="5"/>
        <v>4000</v>
      </c>
    </row>
    <row r="11" spans="1:22" x14ac:dyDescent="0.2">
      <c r="A11" s="47" t="s">
        <v>47</v>
      </c>
      <c r="B11" s="47"/>
      <c r="P11" s="1" t="s">
        <v>48</v>
      </c>
      <c r="Q11" s="22">
        <f>IF($B$5="Y",$B$21,$B$14)</f>
        <v>19250</v>
      </c>
      <c r="R11" s="22">
        <f t="shared" ref="R11:V11" si="6">IF($B$5="Y",$B$21,$B$14)</f>
        <v>19250</v>
      </c>
      <c r="S11" s="22">
        <f t="shared" si="6"/>
        <v>19250</v>
      </c>
      <c r="T11" s="22">
        <f t="shared" si="6"/>
        <v>19250</v>
      </c>
      <c r="U11" s="27">
        <f t="shared" si="6"/>
        <v>19250</v>
      </c>
      <c r="V11" s="27">
        <f t="shared" si="6"/>
        <v>19250</v>
      </c>
    </row>
    <row r="12" spans="1:22" x14ac:dyDescent="0.2">
      <c r="A12" s="6" t="s">
        <v>18</v>
      </c>
      <c r="B12" s="7">
        <f>B2</f>
        <v>21000</v>
      </c>
      <c r="P12" s="1" t="s">
        <v>49</v>
      </c>
      <c r="Q12" s="22">
        <f>SUM($N$2*$G$2,$N$3*$G$3,$N$4*$G$4)</f>
        <v>166.66666666666669</v>
      </c>
      <c r="R12" s="22">
        <f>SUM($N$2*$G$2,$N$3*$G$3,$N$4*$G$4)</f>
        <v>166.66666666666669</v>
      </c>
      <c r="S12" s="22">
        <f>0</f>
        <v>0</v>
      </c>
      <c r="T12" s="22">
        <f>0</f>
        <v>0</v>
      </c>
      <c r="U12" s="27">
        <f>0</f>
        <v>0</v>
      </c>
      <c r="V12" s="27">
        <f>0</f>
        <v>0</v>
      </c>
    </row>
    <row r="13" spans="1:22" x14ac:dyDescent="0.2">
      <c r="A13" s="1" t="s">
        <v>22</v>
      </c>
      <c r="B13" s="8">
        <f>B3</f>
        <v>0</v>
      </c>
      <c r="P13" s="1" t="s">
        <v>50</v>
      </c>
      <c r="Q13" s="22">
        <f>SUM($N$5*$G$5,$N$6*$G$6,$N$7*$G$7)</f>
        <v>83.333333333333329</v>
      </c>
      <c r="R13" s="22">
        <f>SUM($N$5*$G$5,$N$6*$G$6,$N$7*$G$7)</f>
        <v>83.333333333333329</v>
      </c>
      <c r="S13" s="22">
        <f>0</f>
        <v>0</v>
      </c>
      <c r="T13" s="22">
        <f>0</f>
        <v>0</v>
      </c>
      <c r="U13" s="27">
        <f>0</f>
        <v>0</v>
      </c>
      <c r="V13" s="27">
        <f>0</f>
        <v>0</v>
      </c>
    </row>
    <row r="14" spans="1:22" x14ac:dyDescent="0.2">
      <c r="A14" s="9" t="s">
        <v>51</v>
      </c>
      <c r="B14" s="10">
        <f>B12-B13</f>
        <v>21000</v>
      </c>
      <c r="P14" s="1" t="s">
        <v>52</v>
      </c>
      <c r="Q14" s="22">
        <f>SUM($G$8*$L$8,$G$9*$L$9,$G$10*$L$10)</f>
        <v>170.83333333333334</v>
      </c>
      <c r="R14" s="22">
        <f>SUM($G$8*$L$8,$G$9*$L$9,$G$10*$L$10)</f>
        <v>170.83333333333334</v>
      </c>
      <c r="S14" s="22">
        <f>0</f>
        <v>0</v>
      </c>
      <c r="T14" s="22">
        <f>0</f>
        <v>0</v>
      </c>
      <c r="U14" s="27">
        <f>0</f>
        <v>0</v>
      </c>
      <c r="V14" s="27">
        <f>0</f>
        <v>0</v>
      </c>
    </row>
    <row r="15" spans="1:22" x14ac:dyDescent="0.2">
      <c r="A15" s="1" t="s">
        <v>53</v>
      </c>
      <c r="B15" s="8">
        <f>B4</f>
        <v>10000</v>
      </c>
      <c r="P15" s="1" t="s">
        <v>54</v>
      </c>
      <c r="Q15" s="22">
        <f>SUM($L$2:$L$4)-Q12</f>
        <v>112.5</v>
      </c>
      <c r="R15" s="22">
        <f>SUM($L$2:$L$4)-R12</f>
        <v>112.5</v>
      </c>
      <c r="S15" s="22">
        <f>SUM($L$2:$L$4)</f>
        <v>279.16666666666669</v>
      </c>
      <c r="T15" s="22">
        <f>SUM($L$2:$L$4)</f>
        <v>279.16666666666669</v>
      </c>
      <c r="U15" s="27">
        <f>SUM($L$2:$L$4)</f>
        <v>279.16666666666669</v>
      </c>
      <c r="V15" s="27">
        <f>SUM($L$2:$L$4)</f>
        <v>279.16666666666669</v>
      </c>
    </row>
    <row r="16" spans="1:22" ht="15.75" customHeight="1" x14ac:dyDescent="0.2">
      <c r="A16" s="1" t="s">
        <v>55</v>
      </c>
      <c r="B16" s="11">
        <f>IF(B5="Y",1,0)</f>
        <v>1</v>
      </c>
      <c r="P16" s="1" t="s">
        <v>56</v>
      </c>
      <c r="Q16" s="22">
        <f>SUM($L$5:$L$7)-Q13</f>
        <v>200.00000000000006</v>
      </c>
      <c r="R16" s="22">
        <f>SUM($L$5:$L$7)-R13</f>
        <v>200.00000000000006</v>
      </c>
      <c r="S16" s="22">
        <f t="shared" ref="S16:V16" si="7">SUM($L$5:$L$7)</f>
        <v>283.33333333333337</v>
      </c>
      <c r="T16" s="22">
        <f t="shared" si="7"/>
        <v>283.33333333333337</v>
      </c>
      <c r="U16" s="27">
        <f t="shared" si="7"/>
        <v>283.33333333333337</v>
      </c>
      <c r="V16" s="27">
        <f t="shared" si="7"/>
        <v>283.33333333333337</v>
      </c>
    </row>
    <row r="17" spans="1:22" ht="14.25" customHeight="1" x14ac:dyDescent="0.2">
      <c r="A17" s="1" t="s">
        <v>32</v>
      </c>
      <c r="B17" s="12">
        <f>B6</f>
        <v>0.2</v>
      </c>
      <c r="P17" s="1" t="s">
        <v>57</v>
      </c>
      <c r="Q17" s="22">
        <f>SUM($L$8:$L$10)-Q14</f>
        <v>100.00000000000003</v>
      </c>
      <c r="R17" s="22">
        <f>SUM($L$8:$L$10)-R14</f>
        <v>100.00000000000003</v>
      </c>
      <c r="S17" s="22">
        <f t="shared" ref="S17:V17" si="8">SUM($L$8:$L$10)</f>
        <v>270.83333333333337</v>
      </c>
      <c r="T17" s="22">
        <f t="shared" si="8"/>
        <v>270.83333333333337</v>
      </c>
      <c r="U17" s="27">
        <f t="shared" si="8"/>
        <v>270.83333333333337</v>
      </c>
      <c r="V17" s="27">
        <f t="shared" si="8"/>
        <v>270.83333333333337</v>
      </c>
    </row>
    <row r="18" spans="1:22" ht="15.75" customHeight="1" x14ac:dyDescent="0.2">
      <c r="A18" s="1" t="s">
        <v>58</v>
      </c>
      <c r="B18" s="11">
        <f>IF(B16=1,B14-(B14/(1+B17)),(((B14-B15)*B17)/(1+B17)))</f>
        <v>3500</v>
      </c>
      <c r="P18" s="1" t="s">
        <v>59</v>
      </c>
      <c r="Q18" s="22">
        <f>Q12+Q15</f>
        <v>279.16666666666669</v>
      </c>
      <c r="R18" s="22">
        <f t="shared" ref="R18:T18" si="9">R12+R15</f>
        <v>279.16666666666669</v>
      </c>
      <c r="S18" s="22">
        <f>S12+S15</f>
        <v>279.16666666666669</v>
      </c>
      <c r="T18" s="22">
        <f t="shared" si="9"/>
        <v>279.16666666666669</v>
      </c>
      <c r="U18" s="27">
        <f t="shared" ref="U18:V18" si="10">U12+U15</f>
        <v>279.16666666666669</v>
      </c>
      <c r="V18" s="27">
        <f t="shared" si="10"/>
        <v>279.16666666666669</v>
      </c>
    </row>
    <row r="19" spans="1:22" x14ac:dyDescent="0.2">
      <c r="A19" s="9" t="s">
        <v>60</v>
      </c>
      <c r="B19" s="10">
        <f>B14-B18</f>
        <v>17500</v>
      </c>
      <c r="P19" s="1" t="s">
        <v>61</v>
      </c>
      <c r="Q19" s="22">
        <f t="shared" ref="Q19:T19" si="11">Q13+Q16</f>
        <v>283.33333333333337</v>
      </c>
      <c r="R19" s="22">
        <f t="shared" si="11"/>
        <v>283.33333333333337</v>
      </c>
      <c r="S19" s="22">
        <f t="shared" si="11"/>
        <v>283.33333333333337</v>
      </c>
      <c r="T19" s="22">
        <f t="shared" si="11"/>
        <v>283.33333333333337</v>
      </c>
      <c r="U19" s="27">
        <f t="shared" ref="U19:V19" si="12">U13+U16</f>
        <v>283.33333333333337</v>
      </c>
      <c r="V19" s="27">
        <f t="shared" si="12"/>
        <v>283.33333333333337</v>
      </c>
    </row>
    <row r="20" spans="1:22" x14ac:dyDescent="0.2">
      <c r="A20" s="1" t="s">
        <v>62</v>
      </c>
      <c r="B20" s="12">
        <f>B7</f>
        <v>0.1</v>
      </c>
      <c r="P20" s="1" t="s">
        <v>63</v>
      </c>
      <c r="Q20" s="22">
        <f>Q14+Q17</f>
        <v>270.83333333333337</v>
      </c>
      <c r="R20" s="22">
        <f t="shared" ref="R20:T20" si="13">R14+R17</f>
        <v>270.83333333333337</v>
      </c>
      <c r="S20" s="22">
        <f t="shared" si="13"/>
        <v>270.83333333333337</v>
      </c>
      <c r="T20" s="22">
        <f t="shared" si="13"/>
        <v>270.83333333333337</v>
      </c>
      <c r="U20" s="27">
        <f t="shared" ref="U20:V20" si="14">U14+U17</f>
        <v>270.83333333333337</v>
      </c>
      <c r="V20" s="27">
        <f t="shared" si="14"/>
        <v>270.83333333333337</v>
      </c>
    </row>
    <row r="21" spans="1:22" x14ac:dyDescent="0.2">
      <c r="A21" s="13" t="s">
        <v>64</v>
      </c>
      <c r="B21" s="14">
        <f>B19*(1+B20)</f>
        <v>19250</v>
      </c>
      <c r="P21" s="9" t="s">
        <v>65</v>
      </c>
      <c r="Q21" s="21">
        <f>Q6</f>
        <v>45000</v>
      </c>
      <c r="R21" s="21">
        <f>R6</f>
        <v>45000</v>
      </c>
      <c r="S21" s="21" t="s">
        <v>66</v>
      </c>
      <c r="T21" s="21">
        <f>T11+SUM(T18:T20)+$B$10-T5-T10</f>
        <v>16484.333333333332</v>
      </c>
      <c r="U21" s="27">
        <f>U11+SUM(U18:U20)+$B$10-U5-U10</f>
        <v>16483.333333333332</v>
      </c>
      <c r="V21" s="27">
        <f>V11+SUM(V18:V20)+$B$10-V5-V10</f>
        <v>16482.333333333332</v>
      </c>
    </row>
    <row r="22" spans="1:22" x14ac:dyDescent="0.2">
      <c r="P22" s="9" t="s">
        <v>67</v>
      </c>
      <c r="Q22" s="21">
        <f>Q7-Q5+SUM(Q15:Q17)</f>
        <v>2313.5</v>
      </c>
      <c r="R22" s="21">
        <f>R7-R5+SUM(R15:R17)</f>
        <v>2313.5</v>
      </c>
      <c r="S22" s="21">
        <f>S11+SUM(S18:S20)-S5-S10</f>
        <v>15984.333333333332</v>
      </c>
      <c r="T22" s="21">
        <v>0</v>
      </c>
      <c r="U22" s="27">
        <v>1</v>
      </c>
      <c r="V22" s="27">
        <v>2</v>
      </c>
    </row>
    <row r="23" spans="1:22" x14ac:dyDescent="0.2">
      <c r="P23" s="9" t="s">
        <v>68</v>
      </c>
      <c r="Q23" s="21">
        <f>Q6</f>
        <v>45000</v>
      </c>
      <c r="R23" s="21">
        <f>R6</f>
        <v>45000</v>
      </c>
      <c r="S23" s="21">
        <f>0</f>
        <v>0</v>
      </c>
      <c r="T23" s="21">
        <f>T11+SUM(T18:T20)+$B$10-T5-T10</f>
        <v>16484.333333333332</v>
      </c>
      <c r="U23" s="27">
        <f>U11+SUM(U18:U20)+$B$10-U5-U10</f>
        <v>16483.333333333332</v>
      </c>
      <c r="V23" s="27">
        <f>V11+SUM(V18:V20)+$B$10-V5-V10</f>
        <v>16482.333333333332</v>
      </c>
    </row>
    <row r="24" spans="1:22" x14ac:dyDescent="0.2">
      <c r="P24" s="13" t="s">
        <v>69</v>
      </c>
      <c r="Q24" s="25">
        <f>Q7-Q5+SUM(Q15:Q17)</f>
        <v>2313.5</v>
      </c>
      <c r="R24" s="25">
        <f>R7-R5+SUM(R15:R17)</f>
        <v>2313.5</v>
      </c>
      <c r="S24" s="25">
        <f>S11+SUM(S18:S20)-S5-S10</f>
        <v>15984.333333333332</v>
      </c>
      <c r="T24" s="25">
        <v>0</v>
      </c>
      <c r="U24" s="29">
        <v>1</v>
      </c>
      <c r="V24" s="29">
        <v>2</v>
      </c>
    </row>
  </sheetData>
  <mergeCells count="2">
    <mergeCell ref="A11:B1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Inchcape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Nithesha H S</cp:lastModifiedBy>
  <cp:revision/>
  <dcterms:created xsi:type="dcterms:W3CDTF">2024-02-01T08:49:24Z</dcterms:created>
  <dcterms:modified xsi:type="dcterms:W3CDTF">2024-02-14T05:03:41Z</dcterms:modified>
  <cp:category/>
  <cp:contentStatus/>
</cp:coreProperties>
</file>