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thi\Documents\Stevens\2019 Fall\BIA 650\Assignments\Assignment 3\"/>
    </mc:Choice>
  </mc:AlternateContent>
  <xr:revisionPtr revIDLastSave="0" documentId="13_ncr:1_{EA24A3A8-9C1F-4F0B-A019-4DD21F9C5AA2}" xr6:coauthVersionLast="45" xr6:coauthVersionMax="45" xr10:uidLastSave="{00000000-0000-0000-0000-000000000000}"/>
  <bookViews>
    <workbookView xWindow="-110" yWindow="-110" windowWidth="22780" windowHeight="14660" activeTab="1" xr2:uid="{00000000-000D-0000-FFFF-FFFF00000000}"/>
  </bookViews>
  <sheets>
    <sheet name="Sensitivity Report 1" sheetId="3" r:id="rId1"/>
    <sheet name="Model" sheetId="2" r:id="rId2"/>
    <sheet name="Model_STS" sheetId="4" state="veryHidden" r:id="rId3"/>
    <sheet name="STS_1" sheetId="6" state="hidden" r:id="rId4"/>
    <sheet name="STS_2" sheetId="8" state="hidden" r:id="rId5"/>
    <sheet name="Sensitivity Analysis_Total Cost" sheetId="9" r:id="rId6"/>
    <sheet name="Sensitivty Analysis Units Prod" sheetId="10" r:id="rId7"/>
  </sheets>
  <definedNames>
    <definedName name="ChartData" localSheetId="5">'Sensitivity Analysis_Total Cost'!$K$5:$K$14</definedName>
    <definedName name="ChartData" localSheetId="6">'Sensitivty Analysis Units Prod'!$K$5:$K$14</definedName>
    <definedName name="ChartData" localSheetId="3">STS_1!$K$5:$K$14</definedName>
    <definedName name="ChartData1" localSheetId="4">STS_2!$K$5:$K$9</definedName>
    <definedName name="ChartData2" localSheetId="4">STS_2!$O$5:$O$9</definedName>
    <definedName name="Demand">Model!$B$19:$G$19</definedName>
    <definedName name="Ending_inventory">Model!$B$21:$G$21</definedName>
    <definedName name="Holding_cost_as___of_prod_cost">Model!$B$6</definedName>
    <definedName name="Initial_inventory">Model!$B$5</definedName>
    <definedName name="InputValues" localSheetId="5">'Sensitivity Analysis_Total Cost'!$A$5:$A$14</definedName>
    <definedName name="InputValues" localSheetId="6">'Sensitivty Analysis Units Prod'!$A$5:$A$14</definedName>
    <definedName name="InputValues" localSheetId="3">STS_1!$A$5:$A$14</definedName>
    <definedName name="InputValues1" localSheetId="4">STS_2!$A$5:$A$9</definedName>
    <definedName name="InputValues2" localSheetId="4">STS_2!$B$4:$F$4</definedName>
    <definedName name="Max_inventory">Model!$B$31</definedName>
    <definedName name="On_hand_after_production">Model!$B$17:$G$17</definedName>
    <definedName name="OutputAddresses" localSheetId="5">'Sensitivity Analysis_Total Cost'!$B$4</definedName>
    <definedName name="OutputAddresses" localSheetId="6">'Sensitivty Analysis Units Prod'!$B$4:$G$4</definedName>
    <definedName name="OutputAddresses" localSheetId="3">STS_1!$B$4</definedName>
    <definedName name="OutputAddresses" localSheetId="4">STS_2!$AZ$2</definedName>
    <definedName name="OutputValues" localSheetId="5">'Sensitivity Analysis_Total Cost'!$B$5:$B$14</definedName>
    <definedName name="OutputValues" localSheetId="6">'Sensitivty Analysis Units Prod'!$B$5:$G$14</definedName>
    <definedName name="OutputValues" localSheetId="3">STS_1!$B$5:$B$14</definedName>
    <definedName name="OutputValues_1" localSheetId="4">STS_2!$B$5:$F$9</definedName>
    <definedName name="Production_capacity">Model!$B$15:$G$15</definedName>
    <definedName name="Production_cost_unit">Model!$B$9:$G$9</definedName>
    <definedName name="solver_adj" localSheetId="1" hidden="1">Model!$B$13:$G$13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Model!$B$21:$G$21</definedName>
    <definedName name="solver_lhs2" localSheetId="1" hidden="1">Model!$B$17:$G$17</definedName>
    <definedName name="solver_lhs3" localSheetId="1" hidden="1">Model!$B$13:$G$13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Model!$H$29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hs1" localSheetId="1" hidden="1">Storage_capacity</definedName>
    <definedName name="solver_rhs2" localSheetId="1" hidden="1">Demand</definedName>
    <definedName name="solver_rhs3" localSheetId="1" hidden="1">Production_capacity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Storage_capacity">Model!$B$23:$G$23</definedName>
    <definedName name="Total_Costs">Model!$H$29,Model!$A$29</definedName>
    <definedName name="Units_produced">Model!$B$13:$G$13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9" i="2" l="1"/>
  <c r="K1" i="10" l="1"/>
  <c r="J4" i="10"/>
  <c r="K14" i="10" s="1"/>
  <c r="K1" i="9"/>
  <c r="K14" i="9"/>
  <c r="K13" i="9"/>
  <c r="K12" i="9"/>
  <c r="K11" i="9"/>
  <c r="K10" i="9"/>
  <c r="K9" i="9"/>
  <c r="K8" i="9"/>
  <c r="K7" i="9"/>
  <c r="K6" i="9"/>
  <c r="K5" i="9"/>
  <c r="J4" i="9"/>
  <c r="O1" i="8"/>
  <c r="K1" i="8"/>
  <c r="Q4" i="8"/>
  <c r="N5" i="8"/>
  <c r="N4" i="8"/>
  <c r="M4" i="8"/>
  <c r="J5" i="8"/>
  <c r="J4" i="8"/>
  <c r="K1" i="6"/>
  <c r="K14" i="6"/>
  <c r="K13" i="6"/>
  <c r="K12" i="6"/>
  <c r="K11" i="6"/>
  <c r="K10" i="6"/>
  <c r="K9" i="6"/>
  <c r="K8" i="6"/>
  <c r="K7" i="6"/>
  <c r="K6" i="6"/>
  <c r="K5" i="6"/>
  <c r="J4" i="6"/>
  <c r="C27" i="2"/>
  <c r="D27" i="2"/>
  <c r="E27" i="2"/>
  <c r="F27" i="2"/>
  <c r="G27" i="2"/>
  <c r="B27" i="2"/>
  <c r="B17" i="2"/>
  <c r="B21" i="2" s="1"/>
  <c r="B28" i="2" s="1"/>
  <c r="O7" i="8"/>
  <c r="O6" i="8"/>
  <c r="K9" i="8"/>
  <c r="O9" i="8"/>
  <c r="K5" i="8"/>
  <c r="O5" i="8"/>
  <c r="K8" i="8"/>
  <c r="K7" i="8"/>
  <c r="K6" i="8"/>
  <c r="O8" i="8"/>
  <c r="K6" i="10" l="1"/>
  <c r="K7" i="10"/>
  <c r="K8" i="10"/>
  <c r="K9" i="10"/>
  <c r="K10" i="10"/>
  <c r="K11" i="10"/>
  <c r="K12" i="10"/>
  <c r="K5" i="10"/>
  <c r="K13" i="10"/>
  <c r="H27" i="2"/>
  <c r="C17" i="2"/>
  <c r="C21" i="2" s="1"/>
  <c r="C28" i="2" l="1"/>
  <c r="C29" i="2" s="1"/>
  <c r="B29" i="2"/>
  <c r="D17" i="2"/>
  <c r="D21" i="2" s="1"/>
  <c r="D28" i="2" s="1"/>
  <c r="E17" i="2" l="1"/>
  <c r="E21" i="2" s="1"/>
  <c r="D29" i="2"/>
  <c r="E28" i="2" l="1"/>
  <c r="F17" i="2"/>
  <c r="F21" i="2" s="1"/>
  <c r="F28" i="2" s="1"/>
  <c r="E29" i="2" l="1"/>
  <c r="G17" i="2"/>
  <c r="G21" i="2" s="1"/>
  <c r="B31" i="2" s="1"/>
  <c r="F29" i="2"/>
  <c r="G28" i="2" l="1"/>
  <c r="H28" i="2" s="1"/>
  <c r="G2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NITHIN DAS</author>
  </authors>
  <commentList>
    <comment ref="B5" authorId="0" shapeId="0" xr:uid="{2433715B-46C8-4FE5-8F79-9A0C36E458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013FBF8E-0F70-45CF-9A55-3571025659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4895586B-4FE3-4512-BCF6-AFFD36AE14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6F27BE98-994C-446B-8CB7-189A586822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4AEFAD91-A39D-435C-99F8-CE64C443BA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97F969F3-AB3A-4D0F-86B5-AB0198A4FD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4C971E86-9E51-4935-8B5B-A891F8A42D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148EC396-5EC6-4279-870B-1D425A548B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B18A9F17-F26E-41CC-92E0-DB169DA2E5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56BDC768-5298-4E40-8400-E928042D29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NITHIN DAS</author>
  </authors>
  <commentList>
    <comment ref="B5" authorId="0" shapeId="0" xr:uid="{9ABBB36E-40AB-4DD8-8293-E595D4A351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" authorId="0" shapeId="0" xr:uid="{5DADF8BE-1DD0-4BFF-AC29-08BDEAA392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" authorId="0" shapeId="0" xr:uid="{11ADA646-8947-49F8-8CF1-EC2D944920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" authorId="0" shapeId="0" xr:uid="{CFC2A95A-69C8-4506-93AF-64148119EF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" authorId="0" shapeId="0" xr:uid="{743F06F8-B75E-4AE1-98A2-3023EDB93C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CC285969-BD35-4E60-8D58-B4800D79E9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" authorId="0" shapeId="0" xr:uid="{E68188F6-A402-4E85-BA95-39E179CA1E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" authorId="0" shapeId="0" xr:uid="{035FA118-B2E6-4E11-967A-899FDBA45B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" authorId="0" shapeId="0" xr:uid="{A41E1C80-5E40-407D-9887-CBA227FF4A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" authorId="0" shapeId="0" xr:uid="{2B0CAF1C-369F-4A0C-9102-E14EF14FB3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5602C54D-A81F-4930-987B-BF81530BEB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" authorId="0" shapeId="0" xr:uid="{9BD44508-9270-480D-8012-2079D497D8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" authorId="0" shapeId="0" xr:uid="{8E6F887F-95C8-4E87-94E3-96165F6308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" authorId="0" shapeId="0" xr:uid="{05D0E8FE-DF2A-4343-8E87-21CCC1E7F1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" authorId="0" shapeId="0" xr:uid="{DD7F5EE4-092F-49E5-9EF7-086EB871E8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115D3CB3-686E-4E9F-8D2D-3BBF1D1371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" authorId="0" shapeId="0" xr:uid="{F7FEC59F-20AD-4C80-A985-5EBD8E2419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" authorId="0" shapeId="0" xr:uid="{581A342A-D81F-4C1D-A792-498757B090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" authorId="0" shapeId="0" xr:uid="{342EF8E4-68B9-4E08-B116-31F0D3326A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" authorId="0" shapeId="0" xr:uid="{2503EF3D-F5E9-4EEC-9567-65990AF6BF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264137A4-7E37-4109-B860-E65E95AD2F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" authorId="0" shapeId="0" xr:uid="{AE707FD6-4844-4555-9239-1C9C45BB11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" authorId="0" shapeId="0" xr:uid="{4A53FC3F-54EB-4D0F-80C7-391B388522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" authorId="0" shapeId="0" xr:uid="{FD0FF224-5417-4E9C-BDDC-F733799625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" authorId="0" shapeId="0" xr:uid="{7FFA0BE1-5ABD-429E-A441-F47AA554B6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NITHIN DAS</author>
  </authors>
  <commentList>
    <comment ref="B5" authorId="0" shapeId="0" xr:uid="{7C18D483-0AD2-46FD-AD5A-BF26B422A4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FD055BE7-B2D9-4FA1-9504-309A997626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31718852-1BED-4014-B650-2E4A8B3639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81D2DFA8-1D45-4529-BE5E-311DC47AEA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9E100EB5-7ACB-4A3D-8890-BA0162A673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617F2D4F-289A-4E16-A767-AA49D27E94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79D34D2A-9728-4051-801B-7488A4B045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F4D08C9A-6B26-4F5D-915F-2AD0445867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E391FA4B-469E-4DCB-9B82-EC97BAEC59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5D4A4E41-D279-4805-9C77-A94B8AB37C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NITHIN DAS</author>
  </authors>
  <commentList>
    <comment ref="B5" authorId="0" shapeId="0" xr:uid="{75BDFB41-75B2-4EB3-BB78-0E605974FD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1D7A3A67-0B32-4591-BF0C-DDA4E52E51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342B5C8F-D45E-45AF-964C-81B213784A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B66B838A-E776-4058-9390-620DE394D7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BE23B7EF-84AE-4796-BC27-A9F1F58912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C20CB823-008C-448D-BD54-5060B60A16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A241DDC8-613E-4650-AE29-B7D9F2F826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03D84974-D30A-402D-AF0B-4D01F3BDFB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715F4E89-782D-4029-9B62-B6F2525279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3E7CFD7D-0632-44E6-A005-57FE4562E5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sharedStrings.xml><?xml version="1.0" encoding="utf-8"?>
<sst xmlns="http://schemas.openxmlformats.org/spreadsheetml/2006/main" count="177" uniqueCount="116">
  <si>
    <t>Input data</t>
  </si>
  <si>
    <t>Holding cost as % of prod cost</t>
  </si>
  <si>
    <t>Month</t>
  </si>
  <si>
    <t>Production cost/unit</t>
  </si>
  <si>
    <t>Units produced</t>
  </si>
  <si>
    <t>Production capacity</t>
  </si>
  <si>
    <t>On hand after production</t>
  </si>
  <si>
    <t>Demand</t>
  </si>
  <si>
    <t>Ending inventory</t>
  </si>
  <si>
    <t>Storage capacity</t>
  </si>
  <si>
    <t>Totals</t>
  </si>
  <si>
    <t>Initial inventory</t>
  </si>
  <si>
    <t>Production plan</t>
  </si>
  <si>
    <t>Summary of costs</t>
  </si>
  <si>
    <t>Month 1</t>
  </si>
  <si>
    <t>Month 2</t>
  </si>
  <si>
    <t>Month 3</t>
  </si>
  <si>
    <t>Month 4</t>
  </si>
  <si>
    <t>Month 5</t>
  </si>
  <si>
    <t>Month 6</t>
  </si>
  <si>
    <t>Production costs</t>
  </si>
  <si>
    <t>Holding costs</t>
  </si>
  <si>
    <t>&gt;=</t>
  </si>
  <si>
    <t>&lt;=</t>
  </si>
  <si>
    <t>=Model!$B$18:$G$18</t>
  </si>
  <si>
    <t>Ending_inventory</t>
  </si>
  <si>
    <t>=Model!$B$20:$G$20</t>
  </si>
  <si>
    <t>Holding_cost_as___of_prod_cost</t>
  </si>
  <si>
    <t>=Model!$B$5</t>
  </si>
  <si>
    <t>Initial_inventory</t>
  </si>
  <si>
    <t>=Model!$B$4</t>
  </si>
  <si>
    <t>On_hand_after_production</t>
  </si>
  <si>
    <t>=Model!$B$16:$G$16</t>
  </si>
  <si>
    <t>Production_capacity</t>
  </si>
  <si>
    <t>=Model!$B$14:$G$14</t>
  </si>
  <si>
    <t>Production_cost_unit</t>
  </si>
  <si>
    <t>=Model!$B$8:$G$8</t>
  </si>
  <si>
    <t>Storage_capacity</t>
  </si>
  <si>
    <t>=Model!$B$22:$G$22</t>
  </si>
  <si>
    <t>Units_produced</t>
  </si>
  <si>
    <t>=Model!$B$12:$G$12</t>
  </si>
  <si>
    <t>Microsoft Excel 16.0 Sensitivity Report</t>
  </si>
  <si>
    <t>Worksheet: [Production Planning.xlsx]Model</t>
  </si>
  <si>
    <t>Report Created: 10/3/2019 1:31:45 AM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</si>
  <si>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</si>
  <si>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</si>
  <si>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</si>
  <si>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</si>
  <si>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</si>
  <si>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</si>
  <si>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</si>
  <si>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</si>
  <si>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</si>
  <si>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</si>
  <si>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</si>
  <si>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</si>
  <si>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</si>
  <si>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</si>
  <si>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</si>
  <si>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</si>
  <si>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</si>
  <si>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$B$12</t>
  </si>
  <si>
    <t>Units produced Month 1</t>
  </si>
  <si>
    <t>$C$12</t>
  </si>
  <si>
    <t>Units produced Month 2</t>
  </si>
  <si>
    <t>$D$12</t>
  </si>
  <si>
    <t>Units produced Month 3</t>
  </si>
  <si>
    <t>$E$12</t>
  </si>
  <si>
    <t>Units produced Month 4</t>
  </si>
  <si>
    <t>$F$12</t>
  </si>
  <si>
    <t>Units produced Month 5</t>
  </si>
  <si>
    <t>$G$12</t>
  </si>
  <si>
    <t>Units produced Month 6</t>
  </si>
  <si>
    <t>$B$20</t>
  </si>
  <si>
    <t>Ending inventory &gt;=</t>
  </si>
  <si>
    <t>$C$20</t>
  </si>
  <si>
    <t>$D$20</t>
  </si>
  <si>
    <t>$E$20</t>
  </si>
  <si>
    <t>$F$20</t>
  </si>
  <si>
    <t>$G$20</t>
  </si>
  <si>
    <t>$B$16</t>
  </si>
  <si>
    <t>On hand after production &lt;=</t>
  </si>
  <si>
    <t>$C$16</t>
  </si>
  <si>
    <t>$D$16</t>
  </si>
  <si>
    <t>$E$16</t>
  </si>
  <si>
    <t>$F$16</t>
  </si>
  <si>
    <t>$G$16</t>
  </si>
  <si>
    <t>Input</t>
  </si>
  <si>
    <t>Oneway analysis for Solver model in Model worksheet</t>
  </si>
  <si>
    <t>Input (cell $B$5) values along side, output cell(s) along top</t>
  </si>
  <si>
    <t>Data for chart</t>
  </si>
  <si>
    <t>Max_inventory</t>
  </si>
  <si>
    <t>$F$18</t>
  </si>
  <si>
    <t/>
  </si>
  <si>
    <t>$G$18</t>
  </si>
  <si>
    <t>$B$4</t>
  </si>
  <si>
    <t>Input1</t>
  </si>
  <si>
    <t>Input2</t>
  </si>
  <si>
    <t>Twoway analysis for Solver model in Model worksheet</t>
  </si>
  <si>
    <t>Input1 (cell $F$18) values along side, Input2 (cell $G$18) values along top, output cell in corner</t>
  </si>
  <si>
    <t>Output and Input1 value for chart</t>
  </si>
  <si>
    <t>Output</t>
  </si>
  <si>
    <t>Input1 value</t>
  </si>
  <si>
    <t>Output and Input2 value for chart</t>
  </si>
  <si>
    <t>Input2 value</t>
  </si>
  <si>
    <t>Units_produced_1</t>
  </si>
  <si>
    <t>Input (cell $B$4) values along side, output cell(s) along top</t>
  </si>
  <si>
    <t>Total_Costs_1</t>
  </si>
  <si>
    <t>$B$12:$G$12</t>
  </si>
  <si>
    <t>Units_produced_2</t>
  </si>
  <si>
    <t>Units_produced_3</t>
  </si>
  <si>
    <t>Units_produced_4</t>
  </si>
  <si>
    <t>Units_produced_5</t>
  </si>
  <si>
    <t>Units_produced_6</t>
  </si>
  <si>
    <t>Nithin Das, CWID: 10422784, Date: 10/03/19 Assignment W&amp;A 4th Edition, Ch 3, Q 18, Page 117</t>
  </si>
  <si>
    <t>Can you guess the results of a sensitivity analysis on the initial inventory in the Pigskin model? See if your
guess is correct by using SolverTable and allowingthe initial inventory to vary from 0 to 10,000 in
increments of 1000. Keep track of the values in the changing cells and the objective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</si>
</sst>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.000_);\(&quot;$&quot;#,##0.000\)"/>
  </numFmts>
  <fonts count="10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1" applyFont="1" applyFill="1" applyBorder="1"/>
    <xf numFmtId="0" fontId="2" fillId="0" borderId="0" xfId="1" quotePrefix="1" applyFont="1" applyFill="1" applyAlignment="1">
      <alignment horizontal="left"/>
    </xf>
    <xf numFmtId="0" fontId="3" fillId="0" borderId="0" xfId="1" applyFont="1" applyFill="1"/>
    <xf numFmtId="164" fontId="3" fillId="0" borderId="0" xfId="1" applyNumberFormat="1" applyFont="1" applyFill="1"/>
    <xf numFmtId="1" fontId="3" fillId="0" borderId="0" xfId="1" applyNumberFormat="1" applyFont="1" applyFill="1" applyBorder="1" applyAlignment="1">
      <alignment horizontal="right"/>
    </xf>
    <xf numFmtId="165" fontId="3" fillId="0" borderId="0" xfId="1" applyNumberFormat="1" applyFont="1" applyFill="1" applyBorder="1"/>
    <xf numFmtId="0" fontId="3" fillId="0" borderId="0" xfId="1" quotePrefix="1" applyFont="1" applyFill="1" applyAlignment="1">
      <alignment horizontal="left"/>
    </xf>
    <xf numFmtId="166" fontId="3" fillId="0" borderId="0" xfId="1" applyNumberFormat="1" applyFont="1" applyFill="1" applyBorder="1"/>
    <xf numFmtId="0" fontId="2" fillId="0" borderId="0" xfId="1" applyFont="1" applyFill="1"/>
    <xf numFmtId="0" fontId="3" fillId="0" borderId="0" xfId="1" quotePrefix="1" applyFont="1" applyFill="1" applyBorder="1" applyAlignment="1">
      <alignment horizontal="right"/>
    </xf>
    <xf numFmtId="0" fontId="3" fillId="0" borderId="0" xfId="1" applyFont="1" applyFill="1" applyAlignment="1">
      <alignment horizontal="left"/>
    </xf>
    <xf numFmtId="0" fontId="3" fillId="0" borderId="0" xfId="1" applyFont="1" applyFill="1" applyBorder="1" applyAlignment="1">
      <alignment horizontal="right"/>
    </xf>
    <xf numFmtId="1" fontId="3" fillId="0" borderId="0" xfId="1" quotePrefix="1" applyNumberFormat="1" applyFont="1" applyFill="1" applyBorder="1" applyAlignment="1">
      <alignment horizontal="right"/>
    </xf>
    <xf numFmtId="0" fontId="2" fillId="0" borderId="0" xfId="1" applyFont="1" applyFill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Border="1" applyAlignment="1">
      <alignment horizontal="left"/>
    </xf>
    <xf numFmtId="0" fontId="3" fillId="2" borderId="0" xfId="1" applyFont="1" applyFill="1"/>
    <xf numFmtId="9" fontId="3" fillId="2" borderId="0" xfId="1" applyNumberFormat="1" applyFont="1" applyFill="1" applyBorder="1"/>
    <xf numFmtId="8" fontId="3" fillId="2" borderId="0" xfId="2" applyFont="1" applyFill="1" applyBorder="1"/>
    <xf numFmtId="1" fontId="3" fillId="0" borderId="0" xfId="1" applyNumberFormat="1" applyFont="1" applyFill="1" applyBorder="1"/>
    <xf numFmtId="0" fontId="4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3" fillId="3" borderId="0" xfId="1" applyFont="1" applyFill="1" applyBorder="1"/>
    <xf numFmtId="8" fontId="3" fillId="0" borderId="0" xfId="1" applyNumberFormat="1" applyFont="1" applyFill="1"/>
    <xf numFmtId="49" fontId="0" fillId="0" borderId="0" xfId="0" applyNumberFormat="1"/>
    <xf numFmtId="9" fontId="0" fillId="0" borderId="0" xfId="0" applyNumberFormat="1"/>
    <xf numFmtId="0" fontId="0" fillId="0" borderId="0" xfId="0" applyAlignment="1">
      <alignment horizontal="right" textRotation="90"/>
    </xf>
    <xf numFmtId="0" fontId="0" fillId="5" borderId="0" xfId="0" applyFill="1" applyAlignment="1">
      <alignment horizontal="right" textRotation="90"/>
    </xf>
    <xf numFmtId="0" fontId="6" fillId="0" borderId="0" xfId="0" applyFont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0" xfId="0" applyNumberFormat="1"/>
    <xf numFmtId="0" fontId="0" fillId="0" borderId="0" xfId="0" applyAlignment="1">
      <alignment horizontal="right"/>
    </xf>
    <xf numFmtId="0" fontId="0" fillId="6" borderId="0" xfId="0" applyFill="1"/>
    <xf numFmtId="0" fontId="0" fillId="0" borderId="8" xfId="0" applyNumberFormat="1" applyBorder="1"/>
    <xf numFmtId="0" fontId="0" fillId="0" borderId="11" xfId="0" applyNumberFormat="1" applyBorder="1"/>
    <xf numFmtId="0" fontId="0" fillId="0" borderId="13" xfId="0" applyNumberFormat="1" applyBorder="1"/>
    <xf numFmtId="0" fontId="0" fillId="0" borderId="9" xfId="0" applyNumberFormat="1" applyBorder="1"/>
    <xf numFmtId="0" fontId="0" fillId="0" borderId="0" xfId="0" applyNumberFormat="1" applyBorder="1"/>
    <xf numFmtId="0" fontId="0" fillId="0" borderId="14" xfId="0" applyNumberFormat="1" applyBorder="1"/>
    <xf numFmtId="0" fontId="0" fillId="0" borderId="10" xfId="0" applyNumberFormat="1" applyBorder="1"/>
    <xf numFmtId="0" fontId="0" fillId="0" borderId="12" xfId="0" applyNumberFormat="1" applyBorder="1"/>
    <xf numFmtId="0" fontId="0" fillId="0" borderId="15" xfId="0" applyNumberFormat="1" applyBorder="1"/>
    <xf numFmtId="0" fontId="8" fillId="0" borderId="0" xfId="0" applyFont="1" applyAlignment="1">
      <alignment horizontal="center" vertical="center"/>
    </xf>
    <xf numFmtId="0" fontId="3" fillId="0" borderId="0" xfId="1" applyFont="1" applyFill="1" applyAlignment="1">
      <alignment horizontal="left" vertical="top" wrapText="1"/>
    </xf>
    <xf numFmtId="44" fontId="3" fillId="4" borderId="0" xfId="4" applyFont="1" applyFill="1"/>
  </cellXfs>
  <cellStyles count="5">
    <cellStyle name="Currency" xfId="4" builtinId="4"/>
    <cellStyle name="Currency 2" xfId="2" xr:uid="{00000000-0005-0000-0000-000000000000}"/>
    <cellStyle name="Normal" xfId="0" builtinId="0" customBuiltin="1"/>
    <cellStyle name="Normal 2" xfId="1" xr:uid="{00000000-0005-0000-0000-000002000000}"/>
    <cellStyle name="Percent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STS_1!$K$1</c:f>
          <c:strCache>
            <c:ptCount val="1"/>
            <c:pt idx="0">
              <c:v>Sensitivity of Max_inventory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STS_1!$A$5:$A$14</c:f>
              <c:numCache>
                <c:formatCode>0%</c:formatCode>
                <c:ptCount val="10"/>
                <c:pt idx="0">
                  <c:v>9.9999997764825821E-3</c:v>
                </c:pt>
                <c:pt idx="1">
                  <c:v>1.9999999552965164E-2</c:v>
                </c:pt>
                <c:pt idx="2">
                  <c:v>2.9999999329447746E-2</c:v>
                </c:pt>
                <c:pt idx="3">
                  <c:v>3.9999999105930328E-2</c:v>
                </c:pt>
                <c:pt idx="4">
                  <c:v>4.9999997019767761E-2</c:v>
                </c:pt>
                <c:pt idx="5">
                  <c:v>5.9999998658895493E-2</c:v>
                </c:pt>
                <c:pt idx="6">
                  <c:v>7.0000000298023224E-2</c:v>
                </c:pt>
                <c:pt idx="7">
                  <c:v>7.9999998211860657E-2</c:v>
                </c:pt>
                <c:pt idx="8">
                  <c:v>8.999999612569809E-2</c:v>
                </c:pt>
                <c:pt idx="9">
                  <c:v>9.9999994039535522E-2</c:v>
                </c:pt>
              </c:numCache>
            </c:numRef>
          </c:cat>
          <c:val>
            <c:numRef>
              <c:f>STS_1!$K$5:$K$14</c:f>
              <c:numCache>
                <c:formatCode>General</c:formatCode>
                <c:ptCount val="10"/>
                <c:pt idx="0">
                  <c:v>10000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2E-4A4B-9DC7-B45A44D14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329712"/>
        <c:axId val="538328072"/>
      </c:lineChart>
      <c:catAx>
        <c:axId val="538329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($B$5)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38328072"/>
        <c:crosses val="autoZero"/>
        <c:auto val="1"/>
        <c:lblAlgn val="ctr"/>
        <c:lblOffset val="100"/>
        <c:noMultiLvlLbl val="0"/>
      </c:catAx>
      <c:valAx>
        <c:axId val="538328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832971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STS_2!$K$1</c:f>
          <c:strCache>
            <c:ptCount val="1"/>
            <c:pt idx="0">
              <c:v>Sensitivity of Units_produced_1 to Input2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STS_2!$B$4:$F$4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STS_2!$K$5:$K$9</c:f>
              <c:numCache>
                <c:formatCode>General</c:formatCode>
                <c:ptCount val="5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36-4979-9B45-2B4B68099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2924216"/>
        <c:axId val="732925200"/>
      </c:lineChart>
      <c:catAx>
        <c:axId val="732924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Input2 ($G$18)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2925200"/>
        <c:crosses val="autoZero"/>
        <c:auto val="1"/>
        <c:lblAlgn val="ctr"/>
        <c:lblOffset val="100"/>
        <c:noMultiLvlLbl val="0"/>
      </c:catAx>
      <c:valAx>
        <c:axId val="732925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292421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STS_2!$O$1</c:f>
          <c:strCache>
            <c:ptCount val="1"/>
            <c:pt idx="0">
              <c:v>Sensitivity of Units_produced_1 to Input1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STS_2!$A$5:$A$9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STS_2!$O$5:$O$9</c:f>
              <c:numCache>
                <c:formatCode>General</c:formatCode>
                <c:ptCount val="5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15-44EE-AEA9-433ADF1AF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3941944"/>
        <c:axId val="793939648"/>
      </c:lineChart>
      <c:catAx>
        <c:axId val="793941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Input1 ($F$18)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3939648"/>
        <c:crosses val="autoZero"/>
        <c:auto val="1"/>
        <c:lblAlgn val="ctr"/>
        <c:lblOffset val="100"/>
        <c:noMultiLvlLbl val="0"/>
      </c:catAx>
      <c:valAx>
        <c:axId val="793939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394194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'Sensitivity Analysis_Total Cost'!$K$1</c:f>
          <c:strCache>
            <c:ptCount val="1"/>
            <c:pt idx="0">
              <c:v>Sensitivity of Total_Costs_1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'Sensitivity Analysis_Total Cost'!$A$5:$A$14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'Sensitivity Analysis_Total Cost'!$K$5:$K$14</c:f>
              <c:numCache>
                <c:formatCode>General</c:formatCode>
                <c:ptCount val="10"/>
                <c:pt idx="0">
                  <c:v>1585562.5000940636</c:v>
                </c:pt>
                <c:pt idx="1">
                  <c:v>1573062.5000940636</c:v>
                </c:pt>
                <c:pt idx="2">
                  <c:v>1560562.5000940636</c:v>
                </c:pt>
                <c:pt idx="3">
                  <c:v>1548062.5000940636</c:v>
                </c:pt>
                <c:pt idx="4">
                  <c:v>1535562.5000940636</c:v>
                </c:pt>
                <c:pt idx="5">
                  <c:v>1523062.5000940636</c:v>
                </c:pt>
                <c:pt idx="6">
                  <c:v>1510562.5000940636</c:v>
                </c:pt>
                <c:pt idx="7">
                  <c:v>1498062.5000940636</c:v>
                </c:pt>
                <c:pt idx="8">
                  <c:v>1485562.5000940636</c:v>
                </c:pt>
                <c:pt idx="9">
                  <c:v>1473062.5000940636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FE-43CB-82D7-BCFA5B0CD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4231888"/>
        <c:axId val="720336104"/>
      </c:lineChart>
      <c:catAx>
        <c:axId val="724231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($B$4)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0336104"/>
        <c:crosses val="autoZero"/>
        <c:auto val="1"/>
        <c:lblAlgn val="ctr"/>
        <c:lblOffset val="100"/>
        <c:noMultiLvlLbl val="0"/>
      </c:catAx>
      <c:valAx>
        <c:axId val="720336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423188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'Sensitivty Analysis Units Prod'!$K$1</c:f>
          <c:strCache>
            <c:ptCount val="1"/>
            <c:pt idx="0">
              <c:v>Sensitivity of Units_produced_6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'Sensitivty Analysis Units Prod'!$A$5:$A$14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'Sensitivty Analysis Units Prod'!$K$5:$K$14</c:f>
              <c:numCache>
                <c:formatCode>General</c:formatCode>
                <c:ptCount val="10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64-4C93-B3D1-7288B4410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8271648"/>
        <c:axId val="728268696"/>
      </c:lineChart>
      <c:catAx>
        <c:axId val="728271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($B$4)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8268696"/>
        <c:crosses val="autoZero"/>
        <c:auto val="1"/>
        <c:lblAlgn val="ctr"/>
        <c:lblOffset val="100"/>
        <c:noMultiLvlLbl val="0"/>
      </c:catAx>
      <c:valAx>
        <c:axId val="728268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827164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412750</xdr:colOff>
      <xdr:row>3</xdr:row>
      <xdr:rowOff>914400</xdr:rowOff>
    </xdr:from>
    <xdr:to>
      <xdr:col>19</xdr:col>
      <xdr:colOff>412750</xdr:colOff>
      <xdr:row>19</xdr:row>
      <xdr:rowOff>69850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E781FF21-F2C8-4C3B-97E9-E6967C9BD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0</xdr:colOff>
      <xdr:row>3</xdr:row>
      <xdr:rowOff>19050</xdr:rowOff>
    </xdr:from>
    <xdr:to>
      <xdr:col>16</xdr:col>
      <xdr:colOff>0</xdr:colOff>
      <xdr:row>3</xdr:row>
      <xdr:rowOff>781050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7321F79-1ECF-4922-8C15-BA029C04B8F6}"/>
            </a:ext>
          </a:extLst>
        </xdr:cNvPr>
        <xdr:cNvSpPr txBox="1"/>
      </xdr:nvSpPr>
      <xdr:spPr>
        <a:xfrm>
          <a:off x="7315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0</xdr:colOff>
      <xdr:row>10</xdr:row>
      <xdr:rowOff>57150</xdr:rowOff>
    </xdr:from>
    <xdr:to>
      <xdr:col>16</xdr:col>
      <xdr:colOff>0</xdr:colOff>
      <xdr:row>25</xdr:row>
      <xdr:rowOff>152400</xdr:rowOff>
    </xdr:to>
    <xdr:graphicFrame macro="">
      <xdr:nvGraphicFramePr>
        <xdr:cNvPr id="2" name="STS_2_Chart1">
          <a:extLst>
            <a:ext uri="{FF2B5EF4-FFF2-40B4-BE49-F238E27FC236}">
              <a16:creationId xmlns:a16="http://schemas.microsoft.com/office/drawing/2014/main" id="{FE31D2DD-B794-4AB6-9BF9-81027F371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17</xdr:col>
      <xdr:colOff>0</xdr:colOff>
      <xdr:row>10</xdr:row>
      <xdr:rowOff>57150</xdr:rowOff>
    </xdr:from>
    <xdr:to>
      <xdr:col>25</xdr:col>
      <xdr:colOff>0</xdr:colOff>
      <xdr:row>25</xdr:row>
      <xdr:rowOff>152400</xdr:rowOff>
    </xdr:to>
    <xdr:graphicFrame macro="">
      <xdr:nvGraphicFramePr>
        <xdr:cNvPr id="3" name="STS_2_Chart2">
          <a:extLst>
            <a:ext uri="{FF2B5EF4-FFF2-40B4-BE49-F238E27FC236}">
              <a16:creationId xmlns:a16="http://schemas.microsoft.com/office/drawing/2014/main" id="{2851821F-5567-4C90-BD0E-5E77D556A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18</xdr:col>
      <xdr:colOff>0</xdr:colOff>
      <xdr:row>3</xdr:row>
      <xdr:rowOff>19050</xdr:rowOff>
    </xdr:from>
    <xdr:to>
      <xdr:col>24</xdr:col>
      <xdr:colOff>0</xdr:colOff>
      <xdr:row>5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1DBDFC8-E6FB-41AD-B71B-684DB41461CF}"/>
            </a:ext>
          </a:extLst>
        </xdr:cNvPr>
        <xdr:cNvSpPr txBox="1"/>
      </xdr:nvSpPr>
      <xdr:spPr>
        <a:xfrm>
          <a:off x="11493500" y="571500"/>
          <a:ext cx="3657600" cy="13335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By making appropriate selections in cells $K$4, $L$4, $O$4, and $P$4, you can chart any row (in left chart) or column (in right chart) of any table to the left.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0</xdr:colOff>
      <xdr:row>15</xdr:row>
      <xdr:rowOff>88900</xdr:rowOff>
    </xdr:from>
    <xdr:to>
      <xdr:col>18</xdr:col>
      <xdr:colOff>0</xdr:colOff>
      <xdr:row>31</xdr:row>
      <xdr:rowOff>0</xdr:rowOff>
    </xdr:to>
    <xdr:graphicFrame macro="">
      <xdr:nvGraphicFramePr>
        <xdr:cNvPr id="2" name="STS_3_Chart">
          <a:extLst>
            <a:ext uri="{FF2B5EF4-FFF2-40B4-BE49-F238E27FC236}">
              <a16:creationId xmlns:a16="http://schemas.microsoft.com/office/drawing/2014/main" id="{BE75301E-0AA5-4F57-8CCA-B7434E3FC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0</xdr:colOff>
      <xdr:row>3</xdr:row>
      <xdr:rowOff>19050</xdr:rowOff>
    </xdr:from>
    <xdr:to>
      <xdr:col>16</xdr:col>
      <xdr:colOff>0</xdr:colOff>
      <xdr:row>3</xdr:row>
      <xdr:rowOff>781050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0B99163-DAEC-49D9-90CC-791EF25A2EB7}"/>
            </a:ext>
          </a:extLst>
        </xdr:cNvPr>
        <xdr:cNvSpPr txBox="1"/>
      </xdr:nvSpPr>
      <xdr:spPr>
        <a:xfrm>
          <a:off x="7315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533400</xdr:colOff>
      <xdr:row>3</xdr:row>
      <xdr:rowOff>666750</xdr:rowOff>
    </xdr:from>
    <xdr:to>
      <xdr:col>19</xdr:col>
      <xdr:colOff>533400</xdr:colOff>
      <xdr:row>17</xdr:row>
      <xdr:rowOff>0</xdr:rowOff>
    </xdr:to>
    <xdr:graphicFrame macro="">
      <xdr:nvGraphicFramePr>
        <xdr:cNvPr id="2" name="STS_3_Chart">
          <a:extLst>
            <a:ext uri="{FF2B5EF4-FFF2-40B4-BE49-F238E27FC236}">
              <a16:creationId xmlns:a16="http://schemas.microsoft.com/office/drawing/2014/main" id="{C531A148-A3E7-4D08-B319-B92B17A4F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0</xdr:colOff>
      <xdr:row>3</xdr:row>
      <xdr:rowOff>19050</xdr:rowOff>
    </xdr:from>
    <xdr:to>
      <xdr:col>16</xdr:col>
      <xdr:colOff>0</xdr:colOff>
      <xdr:row>3</xdr:row>
      <xdr:rowOff>781050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1323DDA-7A5C-47DF-8B75-6DC11567AFCF}"/>
            </a:ext>
          </a:extLst>
        </xdr:cNvPr>
        <xdr:cNvSpPr txBox="1"/>
      </xdr:nvSpPr>
      <xdr:spPr>
        <a:xfrm>
          <a:off x="7315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0067-08E5-4BB2-8C04-F59A9B0951B5}">
  <dimension ref="A1:H30"/>
  <sheetViews>
    <sheetView showGridLines="0" workbookViewId="0"/>
  </sheetViews>
  <sheetFormatPr defaultRowHeight="14.5" x14ac:dyDescent="0.35"/>
  <cols>
    <col min="1" max="1" width="2.1796875" customWidth="1"/>
    <col min="2" max="2" width="6.08984375" bestFit="1" customWidth="1"/>
    <col min="3" max="3" width="24.81640625" bestFit="1" customWidth="1"/>
    <col min="4" max="4" width="5.81640625" bestFit="1" customWidth="1"/>
    <col min="5" max="5" width="8" bestFit="1" customWidth="1"/>
    <col min="6" max="6" width="9.81640625" bestFit="1" customWidth="1"/>
    <col min="7" max="8" width="9" bestFit="1" customWidth="1"/>
  </cols>
  <sheetData>
    <row r="1" spans="1:8" x14ac:dyDescent="0.35">
      <c r="A1" s="21" t="s">
        <v>41</v>
      </c>
    </row>
    <row r="2" spans="1:8" x14ac:dyDescent="0.35">
      <c r="A2" s="21" t="s">
        <v>42</v>
      </c>
    </row>
    <row r="3" spans="1:8" x14ac:dyDescent="0.35">
      <c r="A3" s="21" t="s">
        <v>43</v>
      </c>
    </row>
    <row r="6" spans="1:8" ht="15" thickBot="1" x14ac:dyDescent="0.4">
      <c r="A6" t="s">
        <v>44</v>
      </c>
    </row>
    <row r="7" spans="1:8" x14ac:dyDescent="0.35">
      <c r="B7" s="24"/>
      <c r="C7" s="24"/>
      <c r="D7" s="24" t="s">
        <v>47</v>
      </c>
      <c r="E7" s="24" t="s">
        <v>49</v>
      </c>
      <c r="F7" s="24" t="s">
        <v>51</v>
      </c>
      <c r="G7" s="24" t="s">
        <v>53</v>
      </c>
      <c r="H7" s="24" t="s">
        <v>53</v>
      </c>
    </row>
    <row r="8" spans="1:8" ht="15" thickBot="1" x14ac:dyDescent="0.4">
      <c r="B8" s="25" t="s">
        <v>45</v>
      </c>
      <c r="C8" s="25" t="s">
        <v>46</v>
      </c>
      <c r="D8" s="25" t="s">
        <v>48</v>
      </c>
      <c r="E8" s="25" t="s">
        <v>50</v>
      </c>
      <c r="F8" s="25" t="s">
        <v>52</v>
      </c>
      <c r="G8" s="25" t="s">
        <v>54</v>
      </c>
      <c r="H8" s="25" t="s">
        <v>55</v>
      </c>
    </row>
    <row r="9" spans="1:8" x14ac:dyDescent="0.35">
      <c r="B9" s="22" t="s">
        <v>61</v>
      </c>
      <c r="C9" s="22" t="s">
        <v>62</v>
      </c>
      <c r="D9" s="22">
        <v>5000</v>
      </c>
      <c r="E9" s="22">
        <v>0</v>
      </c>
      <c r="F9" s="22">
        <v>16.317500000004657</v>
      </c>
      <c r="G9" s="22">
        <v>1E+30</v>
      </c>
      <c r="H9" s="22">
        <v>0.62500000005820766</v>
      </c>
    </row>
    <row r="10" spans="1:8" x14ac:dyDescent="0.35">
      <c r="B10" s="22" t="s">
        <v>63</v>
      </c>
      <c r="C10" s="22" t="s">
        <v>64</v>
      </c>
      <c r="D10" s="22">
        <v>20000</v>
      </c>
      <c r="E10" s="22">
        <v>0</v>
      </c>
      <c r="F10" s="22">
        <v>15.692499999946449</v>
      </c>
      <c r="G10" s="22">
        <v>0.62500000005820766</v>
      </c>
      <c r="H10" s="22">
        <v>0.62749999991501682</v>
      </c>
    </row>
    <row r="11" spans="1:8" x14ac:dyDescent="0.35">
      <c r="B11" s="22" t="s">
        <v>65</v>
      </c>
      <c r="C11" s="22" t="s">
        <v>66</v>
      </c>
      <c r="D11" s="22">
        <v>30000</v>
      </c>
      <c r="E11" s="22">
        <v>-0.62749999991501682</v>
      </c>
      <c r="F11" s="22">
        <v>15.065000000031432</v>
      </c>
      <c r="G11" s="22">
        <v>0.62749999991501682</v>
      </c>
      <c r="H11" s="22">
        <v>1E+30</v>
      </c>
    </row>
    <row r="12" spans="1:8" x14ac:dyDescent="0.35">
      <c r="B12" s="22" t="s">
        <v>67</v>
      </c>
      <c r="C12" s="22" t="s">
        <v>68</v>
      </c>
      <c r="D12" s="22">
        <v>30000</v>
      </c>
      <c r="E12" s="22">
        <v>-1.26249999992433</v>
      </c>
      <c r="F12" s="22">
        <v>14.430000000022119</v>
      </c>
      <c r="G12" s="22">
        <v>1.26249999992433</v>
      </c>
      <c r="H12" s="22">
        <v>1E+30</v>
      </c>
    </row>
    <row r="13" spans="1:8" x14ac:dyDescent="0.35">
      <c r="B13" s="22" t="s">
        <v>69</v>
      </c>
      <c r="C13" s="22" t="s">
        <v>70</v>
      </c>
      <c r="D13" s="22">
        <v>25000</v>
      </c>
      <c r="E13" s="22">
        <v>0</v>
      </c>
      <c r="F13" s="22">
        <v>13.789999999979045</v>
      </c>
      <c r="G13" s="22">
        <v>1.9024999999674037</v>
      </c>
      <c r="H13" s="22">
        <v>0.64249999995809048</v>
      </c>
    </row>
    <row r="14" spans="1:8" ht="15" thickBot="1" x14ac:dyDescent="0.4">
      <c r="B14" s="23" t="s">
        <v>71</v>
      </c>
      <c r="C14" s="23" t="s">
        <v>72</v>
      </c>
      <c r="D14" s="23">
        <v>10000</v>
      </c>
      <c r="E14" s="23">
        <v>0</v>
      </c>
      <c r="F14" s="23">
        <v>13.147500000020955</v>
      </c>
      <c r="G14" s="23">
        <v>0.64249999995809048</v>
      </c>
      <c r="H14" s="23">
        <v>13.147500000020955</v>
      </c>
    </row>
    <row r="16" spans="1:8" ht="15" thickBot="1" x14ac:dyDescent="0.4">
      <c r="A16" t="s">
        <v>56</v>
      </c>
    </row>
    <row r="17" spans="2:8" x14ac:dyDescent="0.35">
      <c r="B17" s="24"/>
      <c r="C17" s="24"/>
      <c r="D17" s="24" t="s">
        <v>47</v>
      </c>
      <c r="E17" s="24" t="s">
        <v>57</v>
      </c>
      <c r="F17" s="24" t="s">
        <v>59</v>
      </c>
      <c r="G17" s="24" t="s">
        <v>53</v>
      </c>
      <c r="H17" s="24" t="s">
        <v>53</v>
      </c>
    </row>
    <row r="18" spans="2:8" ht="15" thickBot="1" x14ac:dyDescent="0.4">
      <c r="B18" s="25" t="s">
        <v>45</v>
      </c>
      <c r="C18" s="25" t="s">
        <v>46</v>
      </c>
      <c r="D18" s="25" t="s">
        <v>48</v>
      </c>
      <c r="E18" s="25" t="s">
        <v>58</v>
      </c>
      <c r="F18" s="25" t="s">
        <v>60</v>
      </c>
      <c r="G18" s="25" t="s">
        <v>54</v>
      </c>
      <c r="H18" s="25" t="s">
        <v>55</v>
      </c>
    </row>
    <row r="19" spans="2:8" x14ac:dyDescent="0.35">
      <c r="B19" s="22" t="s">
        <v>73</v>
      </c>
      <c r="C19" s="22" t="s">
        <v>74</v>
      </c>
      <c r="D19" s="22">
        <v>0</v>
      </c>
      <c r="E19" s="22">
        <v>0</v>
      </c>
      <c r="F19" s="22">
        <v>10000</v>
      </c>
      <c r="G19" s="22">
        <v>1E+30</v>
      </c>
      <c r="H19" s="22">
        <v>10000</v>
      </c>
    </row>
    <row r="20" spans="2:8" x14ac:dyDescent="0.35">
      <c r="B20" s="22" t="s">
        <v>75</v>
      </c>
      <c r="C20" s="22" t="s">
        <v>74</v>
      </c>
      <c r="D20" s="22">
        <v>5000</v>
      </c>
      <c r="E20" s="22">
        <v>0</v>
      </c>
      <c r="F20" s="22">
        <v>10000</v>
      </c>
      <c r="G20" s="22">
        <v>1E+30</v>
      </c>
      <c r="H20" s="22">
        <v>5000</v>
      </c>
    </row>
    <row r="21" spans="2:8" x14ac:dyDescent="0.35">
      <c r="B21" s="22" t="s">
        <v>76</v>
      </c>
      <c r="C21" s="22" t="s">
        <v>74</v>
      </c>
      <c r="D21" s="22">
        <v>5000</v>
      </c>
      <c r="E21" s="22">
        <v>0</v>
      </c>
      <c r="F21" s="22">
        <v>10000</v>
      </c>
      <c r="G21" s="22">
        <v>1E+30</v>
      </c>
      <c r="H21" s="22">
        <v>5000</v>
      </c>
    </row>
    <row r="22" spans="2:8" x14ac:dyDescent="0.35">
      <c r="B22" s="22" t="s">
        <v>77</v>
      </c>
      <c r="C22" s="22" t="s">
        <v>74</v>
      </c>
      <c r="D22" s="22">
        <v>0</v>
      </c>
      <c r="E22" s="22">
        <v>0</v>
      </c>
      <c r="F22" s="22">
        <v>10000</v>
      </c>
      <c r="G22" s="22">
        <v>1E+30</v>
      </c>
      <c r="H22" s="22">
        <v>10000</v>
      </c>
    </row>
    <row r="23" spans="2:8" x14ac:dyDescent="0.35">
      <c r="B23" s="22" t="s">
        <v>78</v>
      </c>
      <c r="C23" s="22" t="s">
        <v>74</v>
      </c>
      <c r="D23" s="22">
        <v>0</v>
      </c>
      <c r="E23" s="22">
        <v>0</v>
      </c>
      <c r="F23" s="22">
        <v>10000</v>
      </c>
      <c r="G23" s="22">
        <v>1E+30</v>
      </c>
      <c r="H23" s="22">
        <v>10000</v>
      </c>
    </row>
    <row r="24" spans="2:8" x14ac:dyDescent="0.35">
      <c r="B24" s="22" t="s">
        <v>79</v>
      </c>
      <c r="C24" s="22" t="s">
        <v>74</v>
      </c>
      <c r="D24" s="22">
        <v>0</v>
      </c>
      <c r="E24" s="22">
        <v>0</v>
      </c>
      <c r="F24" s="22">
        <v>10000</v>
      </c>
      <c r="G24" s="22">
        <v>1E+30</v>
      </c>
      <c r="H24" s="22">
        <v>10000</v>
      </c>
    </row>
    <row r="25" spans="2:8" x14ac:dyDescent="0.35">
      <c r="B25" s="22" t="s">
        <v>80</v>
      </c>
      <c r="C25" s="22" t="s">
        <v>81</v>
      </c>
      <c r="D25" s="22">
        <v>10000</v>
      </c>
      <c r="E25" s="22">
        <v>0.62500000005820766</v>
      </c>
      <c r="F25" s="22">
        <v>10000</v>
      </c>
      <c r="G25" s="22">
        <v>10000</v>
      </c>
      <c r="H25" s="22">
        <v>5000</v>
      </c>
    </row>
    <row r="26" spans="2:8" x14ac:dyDescent="0.35">
      <c r="B26" s="22" t="s">
        <v>82</v>
      </c>
      <c r="C26" s="22" t="s">
        <v>81</v>
      </c>
      <c r="D26" s="22">
        <v>20000</v>
      </c>
      <c r="E26" s="22">
        <v>0</v>
      </c>
      <c r="F26" s="22">
        <v>15000</v>
      </c>
      <c r="G26" s="22">
        <v>5000</v>
      </c>
      <c r="H26" s="22">
        <v>1E+30</v>
      </c>
    </row>
    <row r="27" spans="2:8" x14ac:dyDescent="0.35">
      <c r="B27" s="22" t="s">
        <v>83</v>
      </c>
      <c r="C27" s="22" t="s">
        <v>81</v>
      </c>
      <c r="D27" s="22">
        <v>35000</v>
      </c>
      <c r="E27" s="22">
        <v>0</v>
      </c>
      <c r="F27" s="22">
        <v>30000</v>
      </c>
      <c r="G27" s="22">
        <v>5000</v>
      </c>
      <c r="H27" s="22">
        <v>1E+30</v>
      </c>
    </row>
    <row r="28" spans="2:8" x14ac:dyDescent="0.35">
      <c r="B28" s="22" t="s">
        <v>84</v>
      </c>
      <c r="C28" s="22" t="s">
        <v>81</v>
      </c>
      <c r="D28" s="22">
        <v>35000</v>
      </c>
      <c r="E28" s="22">
        <v>1.9024999999674037</v>
      </c>
      <c r="F28" s="22">
        <v>35000</v>
      </c>
      <c r="G28" s="22">
        <v>5000</v>
      </c>
      <c r="H28" s="22">
        <v>5000</v>
      </c>
    </row>
    <row r="29" spans="2:8" x14ac:dyDescent="0.35">
      <c r="B29" s="22" t="s">
        <v>85</v>
      </c>
      <c r="C29" s="22" t="s">
        <v>81</v>
      </c>
      <c r="D29" s="22">
        <v>25000</v>
      </c>
      <c r="E29" s="22">
        <v>0.64249999995809048</v>
      </c>
      <c r="F29" s="22">
        <v>25000</v>
      </c>
      <c r="G29" s="22">
        <v>5000</v>
      </c>
      <c r="H29" s="22">
        <v>20000</v>
      </c>
    </row>
    <row r="30" spans="2:8" ht="15" thickBot="1" x14ac:dyDescent="0.4">
      <c r="B30" s="23" t="s">
        <v>86</v>
      </c>
      <c r="C30" s="23" t="s">
        <v>81</v>
      </c>
      <c r="D30" s="23">
        <v>10000</v>
      </c>
      <c r="E30" s="23">
        <v>13.147500000020955</v>
      </c>
      <c r="F30" s="23">
        <v>10000</v>
      </c>
      <c r="G30" s="23">
        <v>10000</v>
      </c>
      <c r="H30" s="23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40"/>
  <sheetViews>
    <sheetView tabSelected="1" workbookViewId="0">
      <selection activeCell="B27" sqref="B27"/>
    </sheetView>
  </sheetViews>
  <sheetFormatPr defaultRowHeight="14.5" x14ac:dyDescent="0.35"/>
  <cols>
    <col min="1" max="1" width="28.54296875" style="3" customWidth="1"/>
    <col min="2" max="2" width="13.26953125" style="3" customWidth="1"/>
    <col min="3" max="7" width="11.453125" style="3" bestFit="1" customWidth="1"/>
    <col min="8" max="8" width="14.90625" style="3" customWidth="1"/>
    <col min="9" max="243" width="9.1796875" style="3"/>
    <col min="244" max="244" width="26.54296875" style="3" customWidth="1"/>
    <col min="245" max="245" width="13.26953125" style="3" customWidth="1"/>
    <col min="246" max="250" width="9.1796875" style="3"/>
    <col min="251" max="251" width="10.7265625" style="3" customWidth="1"/>
    <col min="252" max="252" width="23" style="3" bestFit="1" customWidth="1"/>
    <col min="253" max="253" width="10.54296875" style="3" customWidth="1"/>
    <col min="254" max="254" width="10.7265625" style="3" customWidth="1"/>
    <col min="255" max="499" width="9.1796875" style="3"/>
    <col min="500" max="500" width="26.54296875" style="3" customWidth="1"/>
    <col min="501" max="501" width="13.26953125" style="3" customWidth="1"/>
    <col min="502" max="506" width="9.1796875" style="3"/>
    <col min="507" max="507" width="10.7265625" style="3" customWidth="1"/>
    <col min="508" max="508" width="23" style="3" bestFit="1" customWidth="1"/>
    <col min="509" max="509" width="10.54296875" style="3" customWidth="1"/>
    <col min="510" max="510" width="10.7265625" style="3" customWidth="1"/>
    <col min="511" max="755" width="9.1796875" style="3"/>
    <col min="756" max="756" width="26.54296875" style="3" customWidth="1"/>
    <col min="757" max="757" width="13.26953125" style="3" customWidth="1"/>
    <col min="758" max="762" width="9.1796875" style="3"/>
    <col min="763" max="763" width="10.7265625" style="3" customWidth="1"/>
    <col min="764" max="764" width="23" style="3" bestFit="1" customWidth="1"/>
    <col min="765" max="765" width="10.54296875" style="3" customWidth="1"/>
    <col min="766" max="766" width="10.7265625" style="3" customWidth="1"/>
    <col min="767" max="1011" width="9.1796875" style="3"/>
    <col min="1012" max="1012" width="26.54296875" style="3" customWidth="1"/>
    <col min="1013" max="1013" width="13.26953125" style="3" customWidth="1"/>
    <col min="1014" max="1018" width="9.1796875" style="3"/>
    <col min="1019" max="1019" width="10.7265625" style="3" customWidth="1"/>
    <col min="1020" max="1020" width="23" style="3" bestFit="1" customWidth="1"/>
    <col min="1021" max="1021" width="10.54296875" style="3" customWidth="1"/>
    <col min="1022" max="1022" width="10.7265625" style="3" customWidth="1"/>
    <col min="1023" max="1267" width="9.1796875" style="3"/>
    <col min="1268" max="1268" width="26.54296875" style="3" customWidth="1"/>
    <col min="1269" max="1269" width="13.26953125" style="3" customWidth="1"/>
    <col min="1270" max="1274" width="9.1796875" style="3"/>
    <col min="1275" max="1275" width="10.7265625" style="3" customWidth="1"/>
    <col min="1276" max="1276" width="23" style="3" bestFit="1" customWidth="1"/>
    <col min="1277" max="1277" width="10.54296875" style="3" customWidth="1"/>
    <col min="1278" max="1278" width="10.7265625" style="3" customWidth="1"/>
    <col min="1279" max="1523" width="9.1796875" style="3"/>
    <col min="1524" max="1524" width="26.54296875" style="3" customWidth="1"/>
    <col min="1525" max="1525" width="13.26953125" style="3" customWidth="1"/>
    <col min="1526" max="1530" width="9.1796875" style="3"/>
    <col min="1531" max="1531" width="10.7265625" style="3" customWidth="1"/>
    <col min="1532" max="1532" width="23" style="3" bestFit="1" customWidth="1"/>
    <col min="1533" max="1533" width="10.54296875" style="3" customWidth="1"/>
    <col min="1534" max="1534" width="10.7265625" style="3" customWidth="1"/>
    <col min="1535" max="1779" width="9.1796875" style="3"/>
    <col min="1780" max="1780" width="26.54296875" style="3" customWidth="1"/>
    <col min="1781" max="1781" width="13.26953125" style="3" customWidth="1"/>
    <col min="1782" max="1786" width="9.1796875" style="3"/>
    <col min="1787" max="1787" width="10.7265625" style="3" customWidth="1"/>
    <col min="1788" max="1788" width="23" style="3" bestFit="1" customWidth="1"/>
    <col min="1789" max="1789" width="10.54296875" style="3" customWidth="1"/>
    <col min="1790" max="1790" width="10.7265625" style="3" customWidth="1"/>
    <col min="1791" max="2035" width="9.1796875" style="3"/>
    <col min="2036" max="2036" width="26.54296875" style="3" customWidth="1"/>
    <col min="2037" max="2037" width="13.26953125" style="3" customWidth="1"/>
    <col min="2038" max="2042" width="9.1796875" style="3"/>
    <col min="2043" max="2043" width="10.7265625" style="3" customWidth="1"/>
    <col min="2044" max="2044" width="23" style="3" bestFit="1" customWidth="1"/>
    <col min="2045" max="2045" width="10.54296875" style="3" customWidth="1"/>
    <col min="2046" max="2046" width="10.7265625" style="3" customWidth="1"/>
    <col min="2047" max="2291" width="9.1796875" style="3"/>
    <col min="2292" max="2292" width="26.54296875" style="3" customWidth="1"/>
    <col min="2293" max="2293" width="13.26953125" style="3" customWidth="1"/>
    <col min="2294" max="2298" width="9.1796875" style="3"/>
    <col min="2299" max="2299" width="10.7265625" style="3" customWidth="1"/>
    <col min="2300" max="2300" width="23" style="3" bestFit="1" customWidth="1"/>
    <col min="2301" max="2301" width="10.54296875" style="3" customWidth="1"/>
    <col min="2302" max="2302" width="10.7265625" style="3" customWidth="1"/>
    <col min="2303" max="2547" width="9.1796875" style="3"/>
    <col min="2548" max="2548" width="26.54296875" style="3" customWidth="1"/>
    <col min="2549" max="2549" width="13.26953125" style="3" customWidth="1"/>
    <col min="2550" max="2554" width="9.1796875" style="3"/>
    <col min="2555" max="2555" width="10.7265625" style="3" customWidth="1"/>
    <col min="2556" max="2556" width="23" style="3" bestFit="1" customWidth="1"/>
    <col min="2557" max="2557" width="10.54296875" style="3" customWidth="1"/>
    <col min="2558" max="2558" width="10.7265625" style="3" customWidth="1"/>
    <col min="2559" max="2803" width="9.1796875" style="3"/>
    <col min="2804" max="2804" width="26.54296875" style="3" customWidth="1"/>
    <col min="2805" max="2805" width="13.26953125" style="3" customWidth="1"/>
    <col min="2806" max="2810" width="9.1796875" style="3"/>
    <col min="2811" max="2811" width="10.7265625" style="3" customWidth="1"/>
    <col min="2812" max="2812" width="23" style="3" bestFit="1" customWidth="1"/>
    <col min="2813" max="2813" width="10.54296875" style="3" customWidth="1"/>
    <col min="2814" max="2814" width="10.7265625" style="3" customWidth="1"/>
    <col min="2815" max="3059" width="9.1796875" style="3"/>
    <col min="3060" max="3060" width="26.54296875" style="3" customWidth="1"/>
    <col min="3061" max="3061" width="13.26953125" style="3" customWidth="1"/>
    <col min="3062" max="3066" width="9.1796875" style="3"/>
    <col min="3067" max="3067" width="10.7265625" style="3" customWidth="1"/>
    <col min="3068" max="3068" width="23" style="3" bestFit="1" customWidth="1"/>
    <col min="3069" max="3069" width="10.54296875" style="3" customWidth="1"/>
    <col min="3070" max="3070" width="10.7265625" style="3" customWidth="1"/>
    <col min="3071" max="3315" width="9.1796875" style="3"/>
    <col min="3316" max="3316" width="26.54296875" style="3" customWidth="1"/>
    <col min="3317" max="3317" width="13.26953125" style="3" customWidth="1"/>
    <col min="3318" max="3322" width="9.1796875" style="3"/>
    <col min="3323" max="3323" width="10.7265625" style="3" customWidth="1"/>
    <col min="3324" max="3324" width="23" style="3" bestFit="1" customWidth="1"/>
    <col min="3325" max="3325" width="10.54296875" style="3" customWidth="1"/>
    <col min="3326" max="3326" width="10.7265625" style="3" customWidth="1"/>
    <col min="3327" max="3571" width="9.1796875" style="3"/>
    <col min="3572" max="3572" width="26.54296875" style="3" customWidth="1"/>
    <col min="3573" max="3573" width="13.26953125" style="3" customWidth="1"/>
    <col min="3574" max="3578" width="9.1796875" style="3"/>
    <col min="3579" max="3579" width="10.7265625" style="3" customWidth="1"/>
    <col min="3580" max="3580" width="23" style="3" bestFit="1" customWidth="1"/>
    <col min="3581" max="3581" width="10.54296875" style="3" customWidth="1"/>
    <col min="3582" max="3582" width="10.7265625" style="3" customWidth="1"/>
    <col min="3583" max="3827" width="9.1796875" style="3"/>
    <col min="3828" max="3828" width="26.54296875" style="3" customWidth="1"/>
    <col min="3829" max="3829" width="13.26953125" style="3" customWidth="1"/>
    <col min="3830" max="3834" width="9.1796875" style="3"/>
    <col min="3835" max="3835" width="10.7265625" style="3" customWidth="1"/>
    <col min="3836" max="3836" width="23" style="3" bestFit="1" customWidth="1"/>
    <col min="3837" max="3837" width="10.54296875" style="3" customWidth="1"/>
    <col min="3838" max="3838" width="10.7265625" style="3" customWidth="1"/>
    <col min="3839" max="4083" width="9.1796875" style="3"/>
    <col min="4084" max="4084" width="26.54296875" style="3" customWidth="1"/>
    <col min="4085" max="4085" width="13.26953125" style="3" customWidth="1"/>
    <col min="4086" max="4090" width="9.1796875" style="3"/>
    <col min="4091" max="4091" width="10.7265625" style="3" customWidth="1"/>
    <col min="4092" max="4092" width="23" style="3" bestFit="1" customWidth="1"/>
    <col min="4093" max="4093" width="10.54296875" style="3" customWidth="1"/>
    <col min="4094" max="4094" width="10.7265625" style="3" customWidth="1"/>
    <col min="4095" max="4339" width="9.1796875" style="3"/>
    <col min="4340" max="4340" width="26.54296875" style="3" customWidth="1"/>
    <col min="4341" max="4341" width="13.26953125" style="3" customWidth="1"/>
    <col min="4342" max="4346" width="9.1796875" style="3"/>
    <col min="4347" max="4347" width="10.7265625" style="3" customWidth="1"/>
    <col min="4348" max="4348" width="23" style="3" bestFit="1" customWidth="1"/>
    <col min="4349" max="4349" width="10.54296875" style="3" customWidth="1"/>
    <col min="4350" max="4350" width="10.7265625" style="3" customWidth="1"/>
    <col min="4351" max="4595" width="9.1796875" style="3"/>
    <col min="4596" max="4596" width="26.54296875" style="3" customWidth="1"/>
    <col min="4597" max="4597" width="13.26953125" style="3" customWidth="1"/>
    <col min="4598" max="4602" width="9.1796875" style="3"/>
    <col min="4603" max="4603" width="10.7265625" style="3" customWidth="1"/>
    <col min="4604" max="4604" width="23" style="3" bestFit="1" customWidth="1"/>
    <col min="4605" max="4605" width="10.54296875" style="3" customWidth="1"/>
    <col min="4606" max="4606" width="10.7265625" style="3" customWidth="1"/>
    <col min="4607" max="4851" width="9.1796875" style="3"/>
    <col min="4852" max="4852" width="26.54296875" style="3" customWidth="1"/>
    <col min="4853" max="4853" width="13.26953125" style="3" customWidth="1"/>
    <col min="4854" max="4858" width="9.1796875" style="3"/>
    <col min="4859" max="4859" width="10.7265625" style="3" customWidth="1"/>
    <col min="4860" max="4860" width="23" style="3" bestFit="1" customWidth="1"/>
    <col min="4861" max="4861" width="10.54296875" style="3" customWidth="1"/>
    <col min="4862" max="4862" width="10.7265625" style="3" customWidth="1"/>
    <col min="4863" max="5107" width="9.1796875" style="3"/>
    <col min="5108" max="5108" width="26.54296875" style="3" customWidth="1"/>
    <col min="5109" max="5109" width="13.26953125" style="3" customWidth="1"/>
    <col min="5110" max="5114" width="9.1796875" style="3"/>
    <col min="5115" max="5115" width="10.7265625" style="3" customWidth="1"/>
    <col min="5116" max="5116" width="23" style="3" bestFit="1" customWidth="1"/>
    <col min="5117" max="5117" width="10.54296875" style="3" customWidth="1"/>
    <col min="5118" max="5118" width="10.7265625" style="3" customWidth="1"/>
    <col min="5119" max="5363" width="9.1796875" style="3"/>
    <col min="5364" max="5364" width="26.54296875" style="3" customWidth="1"/>
    <col min="5365" max="5365" width="13.26953125" style="3" customWidth="1"/>
    <col min="5366" max="5370" width="9.1796875" style="3"/>
    <col min="5371" max="5371" width="10.7265625" style="3" customWidth="1"/>
    <col min="5372" max="5372" width="23" style="3" bestFit="1" customWidth="1"/>
    <col min="5373" max="5373" width="10.54296875" style="3" customWidth="1"/>
    <col min="5374" max="5374" width="10.7265625" style="3" customWidth="1"/>
    <col min="5375" max="5619" width="9.1796875" style="3"/>
    <col min="5620" max="5620" width="26.54296875" style="3" customWidth="1"/>
    <col min="5621" max="5621" width="13.26953125" style="3" customWidth="1"/>
    <col min="5622" max="5626" width="9.1796875" style="3"/>
    <col min="5627" max="5627" width="10.7265625" style="3" customWidth="1"/>
    <col min="5628" max="5628" width="23" style="3" bestFit="1" customWidth="1"/>
    <col min="5629" max="5629" width="10.54296875" style="3" customWidth="1"/>
    <col min="5630" max="5630" width="10.7265625" style="3" customWidth="1"/>
    <col min="5631" max="5875" width="9.1796875" style="3"/>
    <col min="5876" max="5876" width="26.54296875" style="3" customWidth="1"/>
    <col min="5877" max="5877" width="13.26953125" style="3" customWidth="1"/>
    <col min="5878" max="5882" width="9.1796875" style="3"/>
    <col min="5883" max="5883" width="10.7265625" style="3" customWidth="1"/>
    <col min="5884" max="5884" width="23" style="3" bestFit="1" customWidth="1"/>
    <col min="5885" max="5885" width="10.54296875" style="3" customWidth="1"/>
    <col min="5886" max="5886" width="10.7265625" style="3" customWidth="1"/>
    <col min="5887" max="6131" width="9.1796875" style="3"/>
    <col min="6132" max="6132" width="26.54296875" style="3" customWidth="1"/>
    <col min="6133" max="6133" width="13.26953125" style="3" customWidth="1"/>
    <col min="6134" max="6138" width="9.1796875" style="3"/>
    <col min="6139" max="6139" width="10.7265625" style="3" customWidth="1"/>
    <col min="6140" max="6140" width="23" style="3" bestFit="1" customWidth="1"/>
    <col min="6141" max="6141" width="10.54296875" style="3" customWidth="1"/>
    <col min="6142" max="6142" width="10.7265625" style="3" customWidth="1"/>
    <col min="6143" max="6387" width="9.1796875" style="3"/>
    <col min="6388" max="6388" width="26.54296875" style="3" customWidth="1"/>
    <col min="6389" max="6389" width="13.26953125" style="3" customWidth="1"/>
    <col min="6390" max="6394" width="9.1796875" style="3"/>
    <col min="6395" max="6395" width="10.7265625" style="3" customWidth="1"/>
    <col min="6396" max="6396" width="23" style="3" bestFit="1" customWidth="1"/>
    <col min="6397" max="6397" width="10.54296875" style="3" customWidth="1"/>
    <col min="6398" max="6398" width="10.7265625" style="3" customWidth="1"/>
    <col min="6399" max="6643" width="9.1796875" style="3"/>
    <col min="6644" max="6644" width="26.54296875" style="3" customWidth="1"/>
    <col min="6645" max="6645" width="13.26953125" style="3" customWidth="1"/>
    <col min="6646" max="6650" width="9.1796875" style="3"/>
    <col min="6651" max="6651" width="10.7265625" style="3" customWidth="1"/>
    <col min="6652" max="6652" width="23" style="3" bestFit="1" customWidth="1"/>
    <col min="6653" max="6653" width="10.54296875" style="3" customWidth="1"/>
    <col min="6654" max="6654" width="10.7265625" style="3" customWidth="1"/>
    <col min="6655" max="6899" width="9.1796875" style="3"/>
    <col min="6900" max="6900" width="26.54296875" style="3" customWidth="1"/>
    <col min="6901" max="6901" width="13.26953125" style="3" customWidth="1"/>
    <col min="6902" max="6906" width="9.1796875" style="3"/>
    <col min="6907" max="6907" width="10.7265625" style="3" customWidth="1"/>
    <col min="6908" max="6908" width="23" style="3" bestFit="1" customWidth="1"/>
    <col min="6909" max="6909" width="10.54296875" style="3" customWidth="1"/>
    <col min="6910" max="6910" width="10.7265625" style="3" customWidth="1"/>
    <col min="6911" max="7155" width="9.1796875" style="3"/>
    <col min="7156" max="7156" width="26.54296875" style="3" customWidth="1"/>
    <col min="7157" max="7157" width="13.26953125" style="3" customWidth="1"/>
    <col min="7158" max="7162" width="9.1796875" style="3"/>
    <col min="7163" max="7163" width="10.7265625" style="3" customWidth="1"/>
    <col min="7164" max="7164" width="23" style="3" bestFit="1" customWidth="1"/>
    <col min="7165" max="7165" width="10.54296875" style="3" customWidth="1"/>
    <col min="7166" max="7166" width="10.7265625" style="3" customWidth="1"/>
    <col min="7167" max="7411" width="9.1796875" style="3"/>
    <col min="7412" max="7412" width="26.54296875" style="3" customWidth="1"/>
    <col min="7413" max="7413" width="13.26953125" style="3" customWidth="1"/>
    <col min="7414" max="7418" width="9.1796875" style="3"/>
    <col min="7419" max="7419" width="10.7265625" style="3" customWidth="1"/>
    <col min="7420" max="7420" width="23" style="3" bestFit="1" customWidth="1"/>
    <col min="7421" max="7421" width="10.54296875" style="3" customWidth="1"/>
    <col min="7422" max="7422" width="10.7265625" style="3" customWidth="1"/>
    <col min="7423" max="7667" width="9.1796875" style="3"/>
    <col min="7668" max="7668" width="26.54296875" style="3" customWidth="1"/>
    <col min="7669" max="7669" width="13.26953125" style="3" customWidth="1"/>
    <col min="7670" max="7674" width="9.1796875" style="3"/>
    <col min="7675" max="7675" width="10.7265625" style="3" customWidth="1"/>
    <col min="7676" max="7676" width="23" style="3" bestFit="1" customWidth="1"/>
    <col min="7677" max="7677" width="10.54296875" style="3" customWidth="1"/>
    <col min="7678" max="7678" width="10.7265625" style="3" customWidth="1"/>
    <col min="7679" max="7923" width="9.1796875" style="3"/>
    <col min="7924" max="7924" width="26.54296875" style="3" customWidth="1"/>
    <col min="7925" max="7925" width="13.26953125" style="3" customWidth="1"/>
    <col min="7926" max="7930" width="9.1796875" style="3"/>
    <col min="7931" max="7931" width="10.7265625" style="3" customWidth="1"/>
    <col min="7932" max="7932" width="23" style="3" bestFit="1" customWidth="1"/>
    <col min="7933" max="7933" width="10.54296875" style="3" customWidth="1"/>
    <col min="7934" max="7934" width="10.7265625" style="3" customWidth="1"/>
    <col min="7935" max="8179" width="9.1796875" style="3"/>
    <col min="8180" max="8180" width="26.54296875" style="3" customWidth="1"/>
    <col min="8181" max="8181" width="13.26953125" style="3" customWidth="1"/>
    <col min="8182" max="8186" width="9.1796875" style="3"/>
    <col min="8187" max="8187" width="10.7265625" style="3" customWidth="1"/>
    <col min="8188" max="8188" width="23" style="3" bestFit="1" customWidth="1"/>
    <col min="8189" max="8189" width="10.54296875" style="3" customWidth="1"/>
    <col min="8190" max="8190" width="10.7265625" style="3" customWidth="1"/>
    <col min="8191" max="8435" width="9.1796875" style="3"/>
    <col min="8436" max="8436" width="26.54296875" style="3" customWidth="1"/>
    <col min="8437" max="8437" width="13.26953125" style="3" customWidth="1"/>
    <col min="8438" max="8442" width="9.1796875" style="3"/>
    <col min="8443" max="8443" width="10.7265625" style="3" customWidth="1"/>
    <col min="8444" max="8444" width="23" style="3" bestFit="1" customWidth="1"/>
    <col min="8445" max="8445" width="10.54296875" style="3" customWidth="1"/>
    <col min="8446" max="8446" width="10.7265625" style="3" customWidth="1"/>
    <col min="8447" max="8691" width="9.1796875" style="3"/>
    <col min="8692" max="8692" width="26.54296875" style="3" customWidth="1"/>
    <col min="8693" max="8693" width="13.26953125" style="3" customWidth="1"/>
    <col min="8694" max="8698" width="9.1796875" style="3"/>
    <col min="8699" max="8699" width="10.7265625" style="3" customWidth="1"/>
    <col min="8700" max="8700" width="23" style="3" bestFit="1" customWidth="1"/>
    <col min="8701" max="8701" width="10.54296875" style="3" customWidth="1"/>
    <col min="8702" max="8702" width="10.7265625" style="3" customWidth="1"/>
    <col min="8703" max="8947" width="9.1796875" style="3"/>
    <col min="8948" max="8948" width="26.54296875" style="3" customWidth="1"/>
    <col min="8949" max="8949" width="13.26953125" style="3" customWidth="1"/>
    <col min="8950" max="8954" width="9.1796875" style="3"/>
    <col min="8955" max="8955" width="10.7265625" style="3" customWidth="1"/>
    <col min="8956" max="8956" width="23" style="3" bestFit="1" customWidth="1"/>
    <col min="8957" max="8957" width="10.54296875" style="3" customWidth="1"/>
    <col min="8958" max="8958" width="10.7265625" style="3" customWidth="1"/>
    <col min="8959" max="9203" width="9.1796875" style="3"/>
    <col min="9204" max="9204" width="26.54296875" style="3" customWidth="1"/>
    <col min="9205" max="9205" width="13.26953125" style="3" customWidth="1"/>
    <col min="9206" max="9210" width="9.1796875" style="3"/>
    <col min="9211" max="9211" width="10.7265625" style="3" customWidth="1"/>
    <col min="9212" max="9212" width="23" style="3" bestFit="1" customWidth="1"/>
    <col min="9213" max="9213" width="10.54296875" style="3" customWidth="1"/>
    <col min="9214" max="9214" width="10.7265625" style="3" customWidth="1"/>
    <col min="9215" max="9459" width="9.1796875" style="3"/>
    <col min="9460" max="9460" width="26.54296875" style="3" customWidth="1"/>
    <col min="9461" max="9461" width="13.26953125" style="3" customWidth="1"/>
    <col min="9462" max="9466" width="9.1796875" style="3"/>
    <col min="9467" max="9467" width="10.7265625" style="3" customWidth="1"/>
    <col min="9468" max="9468" width="23" style="3" bestFit="1" customWidth="1"/>
    <col min="9469" max="9469" width="10.54296875" style="3" customWidth="1"/>
    <col min="9470" max="9470" width="10.7265625" style="3" customWidth="1"/>
    <col min="9471" max="9715" width="9.1796875" style="3"/>
    <col min="9716" max="9716" width="26.54296875" style="3" customWidth="1"/>
    <col min="9717" max="9717" width="13.26953125" style="3" customWidth="1"/>
    <col min="9718" max="9722" width="9.1796875" style="3"/>
    <col min="9723" max="9723" width="10.7265625" style="3" customWidth="1"/>
    <col min="9724" max="9724" width="23" style="3" bestFit="1" customWidth="1"/>
    <col min="9725" max="9725" width="10.54296875" style="3" customWidth="1"/>
    <col min="9726" max="9726" width="10.7265625" style="3" customWidth="1"/>
    <col min="9727" max="9971" width="9.1796875" style="3"/>
    <col min="9972" max="9972" width="26.54296875" style="3" customWidth="1"/>
    <col min="9973" max="9973" width="13.26953125" style="3" customWidth="1"/>
    <col min="9974" max="9978" width="9.1796875" style="3"/>
    <col min="9979" max="9979" width="10.7265625" style="3" customWidth="1"/>
    <col min="9980" max="9980" width="23" style="3" bestFit="1" customWidth="1"/>
    <col min="9981" max="9981" width="10.54296875" style="3" customWidth="1"/>
    <col min="9982" max="9982" width="10.7265625" style="3" customWidth="1"/>
    <col min="9983" max="10227" width="9.1796875" style="3"/>
    <col min="10228" max="10228" width="26.54296875" style="3" customWidth="1"/>
    <col min="10229" max="10229" width="13.26953125" style="3" customWidth="1"/>
    <col min="10230" max="10234" width="9.1796875" style="3"/>
    <col min="10235" max="10235" width="10.7265625" style="3" customWidth="1"/>
    <col min="10236" max="10236" width="23" style="3" bestFit="1" customWidth="1"/>
    <col min="10237" max="10237" width="10.54296875" style="3" customWidth="1"/>
    <col min="10238" max="10238" width="10.7265625" style="3" customWidth="1"/>
    <col min="10239" max="10483" width="9.1796875" style="3"/>
    <col min="10484" max="10484" width="26.54296875" style="3" customWidth="1"/>
    <col min="10485" max="10485" width="13.26953125" style="3" customWidth="1"/>
    <col min="10486" max="10490" width="9.1796875" style="3"/>
    <col min="10491" max="10491" width="10.7265625" style="3" customWidth="1"/>
    <col min="10492" max="10492" width="23" style="3" bestFit="1" customWidth="1"/>
    <col min="10493" max="10493" width="10.54296875" style="3" customWidth="1"/>
    <col min="10494" max="10494" width="10.7265625" style="3" customWidth="1"/>
    <col min="10495" max="10739" width="9.1796875" style="3"/>
    <col min="10740" max="10740" width="26.54296875" style="3" customWidth="1"/>
    <col min="10741" max="10741" width="13.26953125" style="3" customWidth="1"/>
    <col min="10742" max="10746" width="9.1796875" style="3"/>
    <col min="10747" max="10747" width="10.7265625" style="3" customWidth="1"/>
    <col min="10748" max="10748" width="23" style="3" bestFit="1" customWidth="1"/>
    <col min="10749" max="10749" width="10.54296875" style="3" customWidth="1"/>
    <col min="10750" max="10750" width="10.7265625" style="3" customWidth="1"/>
    <col min="10751" max="10995" width="9.1796875" style="3"/>
    <col min="10996" max="10996" width="26.54296875" style="3" customWidth="1"/>
    <col min="10997" max="10997" width="13.26953125" style="3" customWidth="1"/>
    <col min="10998" max="11002" width="9.1796875" style="3"/>
    <col min="11003" max="11003" width="10.7265625" style="3" customWidth="1"/>
    <col min="11004" max="11004" width="23" style="3" bestFit="1" customWidth="1"/>
    <col min="11005" max="11005" width="10.54296875" style="3" customWidth="1"/>
    <col min="11006" max="11006" width="10.7265625" style="3" customWidth="1"/>
    <col min="11007" max="11251" width="9.1796875" style="3"/>
    <col min="11252" max="11252" width="26.54296875" style="3" customWidth="1"/>
    <col min="11253" max="11253" width="13.26953125" style="3" customWidth="1"/>
    <col min="11254" max="11258" width="9.1796875" style="3"/>
    <col min="11259" max="11259" width="10.7265625" style="3" customWidth="1"/>
    <col min="11260" max="11260" width="23" style="3" bestFit="1" customWidth="1"/>
    <col min="11261" max="11261" width="10.54296875" style="3" customWidth="1"/>
    <col min="11262" max="11262" width="10.7265625" style="3" customWidth="1"/>
    <col min="11263" max="11507" width="9.1796875" style="3"/>
    <col min="11508" max="11508" width="26.54296875" style="3" customWidth="1"/>
    <col min="11509" max="11509" width="13.26953125" style="3" customWidth="1"/>
    <col min="11510" max="11514" width="9.1796875" style="3"/>
    <col min="11515" max="11515" width="10.7265625" style="3" customWidth="1"/>
    <col min="11516" max="11516" width="23" style="3" bestFit="1" customWidth="1"/>
    <col min="11517" max="11517" width="10.54296875" style="3" customWidth="1"/>
    <col min="11518" max="11518" width="10.7265625" style="3" customWidth="1"/>
    <col min="11519" max="11763" width="9.1796875" style="3"/>
    <col min="11764" max="11764" width="26.54296875" style="3" customWidth="1"/>
    <col min="11765" max="11765" width="13.26953125" style="3" customWidth="1"/>
    <col min="11766" max="11770" width="9.1796875" style="3"/>
    <col min="11771" max="11771" width="10.7265625" style="3" customWidth="1"/>
    <col min="11772" max="11772" width="23" style="3" bestFit="1" customWidth="1"/>
    <col min="11773" max="11773" width="10.54296875" style="3" customWidth="1"/>
    <col min="11774" max="11774" width="10.7265625" style="3" customWidth="1"/>
    <col min="11775" max="12019" width="9.1796875" style="3"/>
    <col min="12020" max="12020" width="26.54296875" style="3" customWidth="1"/>
    <col min="12021" max="12021" width="13.26953125" style="3" customWidth="1"/>
    <col min="12022" max="12026" width="9.1796875" style="3"/>
    <col min="12027" max="12027" width="10.7265625" style="3" customWidth="1"/>
    <col min="12028" max="12028" width="23" style="3" bestFit="1" customWidth="1"/>
    <col min="12029" max="12029" width="10.54296875" style="3" customWidth="1"/>
    <col min="12030" max="12030" width="10.7265625" style="3" customWidth="1"/>
    <col min="12031" max="12275" width="9.1796875" style="3"/>
    <col min="12276" max="12276" width="26.54296875" style="3" customWidth="1"/>
    <col min="12277" max="12277" width="13.26953125" style="3" customWidth="1"/>
    <col min="12278" max="12282" width="9.1796875" style="3"/>
    <col min="12283" max="12283" width="10.7265625" style="3" customWidth="1"/>
    <col min="12284" max="12284" width="23" style="3" bestFit="1" customWidth="1"/>
    <col min="12285" max="12285" width="10.54296875" style="3" customWidth="1"/>
    <col min="12286" max="12286" width="10.7265625" style="3" customWidth="1"/>
    <col min="12287" max="12531" width="9.1796875" style="3"/>
    <col min="12532" max="12532" width="26.54296875" style="3" customWidth="1"/>
    <col min="12533" max="12533" width="13.26953125" style="3" customWidth="1"/>
    <col min="12534" max="12538" width="9.1796875" style="3"/>
    <col min="12539" max="12539" width="10.7265625" style="3" customWidth="1"/>
    <col min="12540" max="12540" width="23" style="3" bestFit="1" customWidth="1"/>
    <col min="12541" max="12541" width="10.54296875" style="3" customWidth="1"/>
    <col min="12542" max="12542" width="10.7265625" style="3" customWidth="1"/>
    <col min="12543" max="12787" width="9.1796875" style="3"/>
    <col min="12788" max="12788" width="26.54296875" style="3" customWidth="1"/>
    <col min="12789" max="12789" width="13.26953125" style="3" customWidth="1"/>
    <col min="12790" max="12794" width="9.1796875" style="3"/>
    <col min="12795" max="12795" width="10.7265625" style="3" customWidth="1"/>
    <col min="12796" max="12796" width="23" style="3" bestFit="1" customWidth="1"/>
    <col min="12797" max="12797" width="10.54296875" style="3" customWidth="1"/>
    <col min="12798" max="12798" width="10.7265625" style="3" customWidth="1"/>
    <col min="12799" max="13043" width="9.1796875" style="3"/>
    <col min="13044" max="13044" width="26.54296875" style="3" customWidth="1"/>
    <col min="13045" max="13045" width="13.26953125" style="3" customWidth="1"/>
    <col min="13046" max="13050" width="9.1796875" style="3"/>
    <col min="13051" max="13051" width="10.7265625" style="3" customWidth="1"/>
    <col min="13052" max="13052" width="23" style="3" bestFit="1" customWidth="1"/>
    <col min="13053" max="13053" width="10.54296875" style="3" customWidth="1"/>
    <col min="13054" max="13054" width="10.7265625" style="3" customWidth="1"/>
    <col min="13055" max="13299" width="9.1796875" style="3"/>
    <col min="13300" max="13300" width="26.54296875" style="3" customWidth="1"/>
    <col min="13301" max="13301" width="13.26953125" style="3" customWidth="1"/>
    <col min="13302" max="13306" width="9.1796875" style="3"/>
    <col min="13307" max="13307" width="10.7265625" style="3" customWidth="1"/>
    <col min="13308" max="13308" width="23" style="3" bestFit="1" customWidth="1"/>
    <col min="13309" max="13309" width="10.54296875" style="3" customWidth="1"/>
    <col min="13310" max="13310" width="10.7265625" style="3" customWidth="1"/>
    <col min="13311" max="13555" width="9.1796875" style="3"/>
    <col min="13556" max="13556" width="26.54296875" style="3" customWidth="1"/>
    <col min="13557" max="13557" width="13.26953125" style="3" customWidth="1"/>
    <col min="13558" max="13562" width="9.1796875" style="3"/>
    <col min="13563" max="13563" width="10.7265625" style="3" customWidth="1"/>
    <col min="13564" max="13564" width="23" style="3" bestFit="1" customWidth="1"/>
    <col min="13565" max="13565" width="10.54296875" style="3" customWidth="1"/>
    <col min="13566" max="13566" width="10.7265625" style="3" customWidth="1"/>
    <col min="13567" max="13811" width="9.1796875" style="3"/>
    <col min="13812" max="13812" width="26.54296875" style="3" customWidth="1"/>
    <col min="13813" max="13813" width="13.26953125" style="3" customWidth="1"/>
    <col min="13814" max="13818" width="9.1796875" style="3"/>
    <col min="13819" max="13819" width="10.7265625" style="3" customWidth="1"/>
    <col min="13820" max="13820" width="23" style="3" bestFit="1" customWidth="1"/>
    <col min="13821" max="13821" width="10.54296875" style="3" customWidth="1"/>
    <col min="13822" max="13822" width="10.7265625" style="3" customWidth="1"/>
    <col min="13823" max="14067" width="9.1796875" style="3"/>
    <col min="14068" max="14068" width="26.54296875" style="3" customWidth="1"/>
    <col min="14069" max="14069" width="13.26953125" style="3" customWidth="1"/>
    <col min="14070" max="14074" width="9.1796875" style="3"/>
    <col min="14075" max="14075" width="10.7265625" style="3" customWidth="1"/>
    <col min="14076" max="14076" width="23" style="3" bestFit="1" customWidth="1"/>
    <col min="14077" max="14077" width="10.54296875" style="3" customWidth="1"/>
    <col min="14078" max="14078" width="10.7265625" style="3" customWidth="1"/>
    <col min="14079" max="14323" width="9.1796875" style="3"/>
    <col min="14324" max="14324" width="26.54296875" style="3" customWidth="1"/>
    <col min="14325" max="14325" width="13.26953125" style="3" customWidth="1"/>
    <col min="14326" max="14330" width="9.1796875" style="3"/>
    <col min="14331" max="14331" width="10.7265625" style="3" customWidth="1"/>
    <col min="14332" max="14332" width="23" style="3" bestFit="1" customWidth="1"/>
    <col min="14333" max="14333" width="10.54296875" style="3" customWidth="1"/>
    <col min="14334" max="14334" width="10.7265625" style="3" customWidth="1"/>
    <col min="14335" max="14579" width="9.1796875" style="3"/>
    <col min="14580" max="14580" width="26.54296875" style="3" customWidth="1"/>
    <col min="14581" max="14581" width="13.26953125" style="3" customWidth="1"/>
    <col min="14582" max="14586" width="9.1796875" style="3"/>
    <col min="14587" max="14587" width="10.7265625" style="3" customWidth="1"/>
    <col min="14588" max="14588" width="23" style="3" bestFit="1" customWidth="1"/>
    <col min="14589" max="14589" width="10.54296875" style="3" customWidth="1"/>
    <col min="14590" max="14590" width="10.7265625" style="3" customWidth="1"/>
    <col min="14591" max="14835" width="9.1796875" style="3"/>
    <col min="14836" max="14836" width="26.54296875" style="3" customWidth="1"/>
    <col min="14837" max="14837" width="13.26953125" style="3" customWidth="1"/>
    <col min="14838" max="14842" width="9.1796875" style="3"/>
    <col min="14843" max="14843" width="10.7265625" style="3" customWidth="1"/>
    <col min="14844" max="14844" width="23" style="3" bestFit="1" customWidth="1"/>
    <col min="14845" max="14845" width="10.54296875" style="3" customWidth="1"/>
    <col min="14846" max="14846" width="10.7265625" style="3" customWidth="1"/>
    <col min="14847" max="15091" width="9.1796875" style="3"/>
    <col min="15092" max="15092" width="26.54296875" style="3" customWidth="1"/>
    <col min="15093" max="15093" width="13.26953125" style="3" customWidth="1"/>
    <col min="15094" max="15098" width="9.1796875" style="3"/>
    <col min="15099" max="15099" width="10.7265625" style="3" customWidth="1"/>
    <col min="15100" max="15100" width="23" style="3" bestFit="1" customWidth="1"/>
    <col min="15101" max="15101" width="10.54296875" style="3" customWidth="1"/>
    <col min="15102" max="15102" width="10.7265625" style="3" customWidth="1"/>
    <col min="15103" max="15347" width="9.1796875" style="3"/>
    <col min="15348" max="15348" width="26.54296875" style="3" customWidth="1"/>
    <col min="15349" max="15349" width="13.26953125" style="3" customWidth="1"/>
    <col min="15350" max="15354" width="9.1796875" style="3"/>
    <col min="15355" max="15355" width="10.7265625" style="3" customWidth="1"/>
    <col min="15356" max="15356" width="23" style="3" bestFit="1" customWidth="1"/>
    <col min="15357" max="15357" width="10.54296875" style="3" customWidth="1"/>
    <col min="15358" max="15358" width="10.7265625" style="3" customWidth="1"/>
    <col min="15359" max="15603" width="9.1796875" style="3"/>
    <col min="15604" max="15604" width="26.54296875" style="3" customWidth="1"/>
    <col min="15605" max="15605" width="13.26953125" style="3" customWidth="1"/>
    <col min="15606" max="15610" width="9.1796875" style="3"/>
    <col min="15611" max="15611" width="10.7265625" style="3" customWidth="1"/>
    <col min="15612" max="15612" width="23" style="3" bestFit="1" customWidth="1"/>
    <col min="15613" max="15613" width="10.54296875" style="3" customWidth="1"/>
    <col min="15614" max="15614" width="10.7265625" style="3" customWidth="1"/>
    <col min="15615" max="15859" width="9.1796875" style="3"/>
    <col min="15860" max="15860" width="26.54296875" style="3" customWidth="1"/>
    <col min="15861" max="15861" width="13.26953125" style="3" customWidth="1"/>
    <col min="15862" max="15866" width="9.1796875" style="3"/>
    <col min="15867" max="15867" width="10.7265625" style="3" customWidth="1"/>
    <col min="15868" max="15868" width="23" style="3" bestFit="1" customWidth="1"/>
    <col min="15869" max="15869" width="10.54296875" style="3" customWidth="1"/>
    <col min="15870" max="15870" width="10.7265625" style="3" customWidth="1"/>
    <col min="15871" max="16115" width="9.1796875" style="3"/>
    <col min="16116" max="16116" width="26.54296875" style="3" customWidth="1"/>
    <col min="16117" max="16117" width="13.26953125" style="3" customWidth="1"/>
    <col min="16118" max="16122" width="9.1796875" style="3"/>
    <col min="16123" max="16123" width="10.7265625" style="3" customWidth="1"/>
    <col min="16124" max="16124" width="23" style="3" bestFit="1" customWidth="1"/>
    <col min="16125" max="16125" width="10.54296875" style="3" customWidth="1"/>
    <col min="16126" max="16126" width="10.7265625" style="3" customWidth="1"/>
    <col min="16127" max="16384" width="9.1796875" style="3"/>
  </cols>
  <sheetData>
    <row r="1" spans="1:8" ht="15.5" x14ac:dyDescent="0.35">
      <c r="A1" s="48" t="s">
        <v>114</v>
      </c>
      <c r="B1" s="48"/>
      <c r="C1" s="48"/>
      <c r="D1" s="48"/>
      <c r="E1" s="48"/>
      <c r="F1" s="48"/>
      <c r="G1" s="48"/>
    </row>
    <row r="2" spans="1:8" ht="55" customHeight="1" x14ac:dyDescent="0.35">
      <c r="A2" s="49" t="s">
        <v>115</v>
      </c>
      <c r="B2" s="49"/>
      <c r="C2" s="49"/>
      <c r="D2" s="49"/>
      <c r="E2" s="49"/>
      <c r="F2" s="49"/>
    </row>
    <row r="4" spans="1:8" x14ac:dyDescent="0.35">
      <c r="A4" s="2" t="s">
        <v>0</v>
      </c>
      <c r="E4" s="4"/>
    </row>
    <row r="5" spans="1:8" x14ac:dyDescent="0.35">
      <c r="A5" s="3" t="s">
        <v>11</v>
      </c>
      <c r="B5" s="17">
        <v>5000</v>
      </c>
      <c r="C5" s="1"/>
      <c r="D5" s="1"/>
      <c r="E5" s="1"/>
      <c r="F5" s="1"/>
      <c r="G5" s="1"/>
      <c r="H5" s="1"/>
    </row>
    <row r="6" spans="1:8" x14ac:dyDescent="0.35">
      <c r="A6" s="3" t="s">
        <v>1</v>
      </c>
      <c r="B6" s="18">
        <v>5.000000074505806E-2</v>
      </c>
      <c r="C6" s="1"/>
      <c r="D6" s="1"/>
      <c r="E6" s="1"/>
      <c r="F6" s="1"/>
      <c r="G6" s="1"/>
      <c r="H6" s="1"/>
    </row>
    <row r="7" spans="1:8" x14ac:dyDescent="0.35">
      <c r="B7" s="1"/>
      <c r="C7" s="1"/>
      <c r="D7" s="1"/>
      <c r="E7" s="1"/>
      <c r="F7" s="1"/>
      <c r="G7" s="1"/>
      <c r="H7" s="1"/>
    </row>
    <row r="8" spans="1:8" x14ac:dyDescent="0.35">
      <c r="A8" s="3" t="s">
        <v>2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6"/>
    </row>
    <row r="9" spans="1:8" x14ac:dyDescent="0.35">
      <c r="A9" s="7" t="s">
        <v>3</v>
      </c>
      <c r="B9" s="19">
        <v>12.5</v>
      </c>
      <c r="C9" s="19">
        <v>12.55</v>
      </c>
      <c r="D9" s="19">
        <v>12.7</v>
      </c>
      <c r="E9" s="19">
        <v>12.8</v>
      </c>
      <c r="F9" s="19">
        <v>12.85</v>
      </c>
      <c r="G9" s="19">
        <v>12.95</v>
      </c>
      <c r="H9" s="1"/>
    </row>
    <row r="10" spans="1:8" x14ac:dyDescent="0.35">
      <c r="A10" s="7"/>
      <c r="B10" s="8"/>
      <c r="C10" s="8"/>
      <c r="D10" s="8"/>
      <c r="E10" s="8"/>
      <c r="F10" s="8"/>
      <c r="G10" s="8"/>
      <c r="H10" s="1"/>
    </row>
    <row r="11" spans="1:8" x14ac:dyDescent="0.35">
      <c r="A11" s="9" t="s">
        <v>12</v>
      </c>
      <c r="B11" s="1"/>
      <c r="C11" s="1"/>
      <c r="D11" s="1"/>
      <c r="E11" s="1"/>
      <c r="F11" s="1"/>
      <c r="G11" s="1"/>
      <c r="H11" s="1"/>
    </row>
    <row r="12" spans="1:8" x14ac:dyDescent="0.35">
      <c r="A12" s="3" t="s">
        <v>2</v>
      </c>
      <c r="B12" s="5">
        <v>1</v>
      </c>
      <c r="C12" s="5">
        <v>2</v>
      </c>
      <c r="D12" s="5">
        <v>3</v>
      </c>
      <c r="E12" s="5">
        <v>4</v>
      </c>
      <c r="F12" s="5">
        <v>5</v>
      </c>
      <c r="G12" s="5">
        <v>6</v>
      </c>
      <c r="H12" s="1"/>
    </row>
    <row r="13" spans="1:8" x14ac:dyDescent="0.35">
      <c r="A13" s="3" t="s">
        <v>4</v>
      </c>
      <c r="B13" s="26">
        <v>5000</v>
      </c>
      <c r="C13" s="26">
        <v>20000</v>
      </c>
      <c r="D13" s="26">
        <v>30000</v>
      </c>
      <c r="E13" s="26">
        <v>30000</v>
      </c>
      <c r="F13" s="26">
        <v>25000</v>
      </c>
      <c r="G13" s="26">
        <v>10000</v>
      </c>
      <c r="H13" s="1"/>
    </row>
    <row r="14" spans="1:8" x14ac:dyDescent="0.35">
      <c r="B14" s="10" t="s">
        <v>23</v>
      </c>
      <c r="C14" s="10" t="s">
        <v>23</v>
      </c>
      <c r="D14" s="10" t="s">
        <v>23</v>
      </c>
      <c r="E14" s="10" t="s">
        <v>23</v>
      </c>
      <c r="F14" s="10" t="s">
        <v>23</v>
      </c>
      <c r="G14" s="10" t="s">
        <v>23</v>
      </c>
      <c r="H14" s="1"/>
    </row>
    <row r="15" spans="1:8" x14ac:dyDescent="0.35">
      <c r="A15" s="3" t="s">
        <v>5</v>
      </c>
      <c r="B15" s="17">
        <v>30000</v>
      </c>
      <c r="C15" s="17">
        <v>30000</v>
      </c>
      <c r="D15" s="17">
        <v>30000</v>
      </c>
      <c r="E15" s="17">
        <v>30000</v>
      </c>
      <c r="F15" s="17">
        <v>30000</v>
      </c>
      <c r="G15" s="17">
        <v>30000</v>
      </c>
      <c r="H15" s="1"/>
    </row>
    <row r="16" spans="1:8" x14ac:dyDescent="0.35">
      <c r="B16" s="1"/>
      <c r="C16" s="1"/>
      <c r="D16" s="1"/>
      <c r="E16" s="1"/>
      <c r="F16" s="1"/>
      <c r="G16" s="1"/>
      <c r="H16" s="1"/>
    </row>
    <row r="17" spans="1:8" x14ac:dyDescent="0.35">
      <c r="A17" s="11" t="s">
        <v>6</v>
      </c>
      <c r="B17" s="1">
        <f>Initial_inventory+B13</f>
        <v>10000</v>
      </c>
      <c r="C17" s="20">
        <f>B21+C13</f>
        <v>20000</v>
      </c>
      <c r="D17" s="20">
        <f t="shared" ref="D17:G17" si="0">C21+D13</f>
        <v>35000</v>
      </c>
      <c r="E17" s="20">
        <f t="shared" si="0"/>
        <v>35000</v>
      </c>
      <c r="F17" s="20">
        <f t="shared" si="0"/>
        <v>25000</v>
      </c>
      <c r="G17" s="20">
        <f t="shared" si="0"/>
        <v>10000</v>
      </c>
      <c r="H17" s="1"/>
    </row>
    <row r="18" spans="1:8" x14ac:dyDescent="0.35">
      <c r="B18" s="12" t="s">
        <v>22</v>
      </c>
      <c r="C18" s="12" t="s">
        <v>22</v>
      </c>
      <c r="D18" s="12" t="s">
        <v>22</v>
      </c>
      <c r="E18" s="12" t="s">
        <v>22</v>
      </c>
      <c r="F18" s="12" t="s">
        <v>22</v>
      </c>
      <c r="G18" s="12" t="s">
        <v>22</v>
      </c>
      <c r="H18" s="1"/>
    </row>
    <row r="19" spans="1:8" x14ac:dyDescent="0.35">
      <c r="A19" s="3" t="s">
        <v>7</v>
      </c>
      <c r="B19" s="17">
        <v>10000</v>
      </c>
      <c r="C19" s="17">
        <v>15000</v>
      </c>
      <c r="D19" s="17">
        <v>30000</v>
      </c>
      <c r="E19" s="17">
        <v>35000</v>
      </c>
      <c r="F19" s="17">
        <v>25000</v>
      </c>
      <c r="G19" s="17">
        <v>10000</v>
      </c>
      <c r="H19" s="1"/>
    </row>
    <row r="20" spans="1:8" x14ac:dyDescent="0.35">
      <c r="B20" s="10"/>
      <c r="C20" s="10"/>
      <c r="D20" s="10"/>
      <c r="E20" s="10"/>
      <c r="F20" s="10"/>
      <c r="G20" s="10"/>
      <c r="H20" s="1"/>
    </row>
    <row r="21" spans="1:8" x14ac:dyDescent="0.35">
      <c r="A21" s="3" t="s">
        <v>8</v>
      </c>
      <c r="B21" s="13">
        <f>B17-B19</f>
        <v>0</v>
      </c>
      <c r="C21" s="13">
        <f t="shared" ref="C21:G21" si="1">C17-C19</f>
        <v>5000</v>
      </c>
      <c r="D21" s="13">
        <f t="shared" si="1"/>
        <v>5000</v>
      </c>
      <c r="E21" s="13">
        <f t="shared" si="1"/>
        <v>0</v>
      </c>
      <c r="F21" s="13">
        <f t="shared" si="1"/>
        <v>0</v>
      </c>
      <c r="G21" s="13">
        <f t="shared" si="1"/>
        <v>0</v>
      </c>
      <c r="H21" s="1"/>
    </row>
    <row r="22" spans="1:8" x14ac:dyDescent="0.35">
      <c r="B22" s="12" t="s">
        <v>23</v>
      </c>
      <c r="C22" s="12" t="s">
        <v>23</v>
      </c>
      <c r="D22" s="12" t="s">
        <v>23</v>
      </c>
      <c r="E22" s="12" t="s">
        <v>23</v>
      </c>
      <c r="F22" s="12" t="s">
        <v>23</v>
      </c>
      <c r="G22" s="12" t="s">
        <v>23</v>
      </c>
      <c r="H22" s="1"/>
    </row>
    <row r="23" spans="1:8" x14ac:dyDescent="0.35">
      <c r="A23" s="3" t="s">
        <v>9</v>
      </c>
      <c r="B23" s="17">
        <v>10000</v>
      </c>
      <c r="C23" s="17">
        <v>10000</v>
      </c>
      <c r="D23" s="17">
        <v>10000</v>
      </c>
      <c r="E23" s="17">
        <v>10000</v>
      </c>
      <c r="F23" s="17">
        <v>10000</v>
      </c>
      <c r="G23" s="17">
        <v>10000</v>
      </c>
      <c r="H23" s="1"/>
    </row>
    <row r="24" spans="1:8" x14ac:dyDescent="0.35">
      <c r="A24" s="9"/>
      <c r="B24" s="1"/>
      <c r="C24" s="1"/>
      <c r="D24" s="1"/>
      <c r="E24" s="1"/>
      <c r="F24" s="1"/>
      <c r="G24" s="1"/>
      <c r="H24" s="1"/>
    </row>
    <row r="25" spans="1:8" x14ac:dyDescent="0.35">
      <c r="A25" s="14" t="s">
        <v>13</v>
      </c>
      <c r="B25" s="8"/>
      <c r="C25" s="1"/>
      <c r="D25" s="1"/>
      <c r="E25" s="1"/>
      <c r="F25" s="1"/>
      <c r="G25" s="1"/>
      <c r="H25" s="1"/>
    </row>
    <row r="26" spans="1:8" x14ac:dyDescent="0.35">
      <c r="A26" s="3" t="s">
        <v>2</v>
      </c>
      <c r="B26" s="5" t="s">
        <v>14</v>
      </c>
      <c r="C26" s="5" t="s">
        <v>15</v>
      </c>
      <c r="D26" s="5" t="s">
        <v>16</v>
      </c>
      <c r="E26" s="5" t="s">
        <v>17</v>
      </c>
      <c r="F26" s="5" t="s">
        <v>18</v>
      </c>
      <c r="G26" s="5" t="s">
        <v>19</v>
      </c>
      <c r="H26" s="12" t="s">
        <v>10</v>
      </c>
    </row>
    <row r="27" spans="1:8" x14ac:dyDescent="0.35">
      <c r="A27" s="15" t="s">
        <v>20</v>
      </c>
      <c r="B27" s="27">
        <f>B9*B13</f>
        <v>62500</v>
      </c>
      <c r="C27" s="27">
        <f t="shared" ref="C27:G27" si="2">C9*C13</f>
        <v>251000</v>
      </c>
      <c r="D27" s="27">
        <f t="shared" si="2"/>
        <v>381000</v>
      </c>
      <c r="E27" s="27">
        <f t="shared" si="2"/>
        <v>384000</v>
      </c>
      <c r="F27" s="27">
        <f t="shared" si="2"/>
        <v>321250</v>
      </c>
      <c r="G27" s="27">
        <f t="shared" si="2"/>
        <v>129500</v>
      </c>
      <c r="H27" s="3">
        <f>SUM(B27:G27)</f>
        <v>1529250</v>
      </c>
    </row>
    <row r="28" spans="1:8" x14ac:dyDescent="0.35">
      <c r="A28" s="15" t="s">
        <v>21</v>
      </c>
      <c r="B28" s="27">
        <f t="shared" ref="B28:G28" si="3">Holding_cost_as___of_prod_cost*B9*B21</f>
        <v>0</v>
      </c>
      <c r="C28" s="27">
        <f t="shared" si="3"/>
        <v>3137.5000467523932</v>
      </c>
      <c r="D28" s="27">
        <f t="shared" si="3"/>
        <v>3175.0000473111868</v>
      </c>
      <c r="E28" s="27">
        <f t="shared" si="3"/>
        <v>0</v>
      </c>
      <c r="F28" s="27">
        <f t="shared" si="3"/>
        <v>0</v>
      </c>
      <c r="G28" s="27">
        <f t="shared" si="3"/>
        <v>0</v>
      </c>
      <c r="H28" s="3">
        <f>SUM(B28:G28)</f>
        <v>6312.50009406358</v>
      </c>
    </row>
    <row r="29" spans="1:8" x14ac:dyDescent="0.35">
      <c r="A29" s="16" t="s">
        <v>10</v>
      </c>
      <c r="B29" s="3">
        <f>SUM(B27:B28)</f>
        <v>62500</v>
      </c>
      <c r="C29" s="3">
        <f t="shared" ref="C29:G29" si="4">SUM(C27:C28)</f>
        <v>254137.50004675239</v>
      </c>
      <c r="D29" s="3">
        <f t="shared" si="4"/>
        <v>384175.00004731119</v>
      </c>
      <c r="E29" s="3">
        <f t="shared" si="4"/>
        <v>384000</v>
      </c>
      <c r="F29" s="3">
        <f t="shared" si="4"/>
        <v>321250</v>
      </c>
      <c r="G29" s="3">
        <f t="shared" si="4"/>
        <v>129500</v>
      </c>
      <c r="H29" s="50">
        <f>SUM(H27:H28)</f>
        <v>1535562.5000940636</v>
      </c>
    </row>
    <row r="31" spans="1:8" x14ac:dyDescent="0.35">
      <c r="A31" s="3" t="s">
        <v>91</v>
      </c>
      <c r="B31" s="3">
        <f>MAX(Ending_inventory)</f>
        <v>5000</v>
      </c>
    </row>
    <row r="32" spans="1:8" x14ac:dyDescent="0.35">
      <c r="A32" s="3" t="s">
        <v>7</v>
      </c>
      <c r="B32" s="3" t="s">
        <v>24</v>
      </c>
    </row>
    <row r="33" spans="1:2" x14ac:dyDescent="0.35">
      <c r="A33" s="3" t="s">
        <v>25</v>
      </c>
      <c r="B33" s="3" t="s">
        <v>26</v>
      </c>
    </row>
    <row r="34" spans="1:2" x14ac:dyDescent="0.35">
      <c r="A34" s="3" t="s">
        <v>27</v>
      </c>
      <c r="B34" s="3" t="s">
        <v>28</v>
      </c>
    </row>
    <row r="35" spans="1:2" x14ac:dyDescent="0.35">
      <c r="A35" s="3" t="s">
        <v>29</v>
      </c>
      <c r="B35" s="3" t="s">
        <v>30</v>
      </c>
    </row>
    <row r="36" spans="1:2" x14ac:dyDescent="0.35">
      <c r="A36" s="3" t="s">
        <v>31</v>
      </c>
      <c r="B36" s="3" t="s">
        <v>32</v>
      </c>
    </row>
    <row r="37" spans="1:2" x14ac:dyDescent="0.35">
      <c r="A37" s="3" t="s">
        <v>33</v>
      </c>
      <c r="B37" s="3" t="s">
        <v>34</v>
      </c>
    </row>
    <row r="38" spans="1:2" x14ac:dyDescent="0.35">
      <c r="A38" s="3" t="s">
        <v>35</v>
      </c>
      <c r="B38" s="3" t="s">
        <v>36</v>
      </c>
    </row>
    <row r="39" spans="1:2" x14ac:dyDescent="0.35">
      <c r="A39" s="3" t="s">
        <v>37</v>
      </c>
      <c r="B39" s="3" t="s">
        <v>38</v>
      </c>
    </row>
    <row r="40" spans="1:2" x14ac:dyDescent="0.35">
      <c r="A40" s="3" t="s">
        <v>39</v>
      </c>
      <c r="B40" s="3" t="s">
        <v>40</v>
      </c>
    </row>
  </sheetData>
  <mergeCells count="2">
    <mergeCell ref="A1:G1"/>
    <mergeCell ref="A2:F2"/>
  </mergeCells>
  <printOptions headings="1" gridLines="1"/>
  <pageMargins left="0.75" right="0.75" top="1" bottom="1" header="0.5" footer="0.5"/>
  <pageSetup scale="74" orientation="portrait" horizontalDpi="300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7FA3-0C0D-4183-90AD-82AE447043F5}">
  <dimension ref="A1:B18"/>
  <sheetViews>
    <sheetView workbookViewId="0"/>
  </sheetViews>
  <sheetFormatPr defaultRowHeight="14.5" x14ac:dyDescent="0.35"/>
  <sheetData>
    <row r="1" spans="1:2" x14ac:dyDescent="0.35">
      <c r="A1">
        <v>1</v>
      </c>
      <c r="B1">
        <v>1</v>
      </c>
    </row>
    <row r="2" spans="1:2" x14ac:dyDescent="0.35">
      <c r="A2" t="s">
        <v>95</v>
      </c>
      <c r="B2" t="s">
        <v>92</v>
      </c>
    </row>
    <row r="3" spans="1:2" x14ac:dyDescent="0.35">
      <c r="A3">
        <v>1</v>
      </c>
      <c r="B3">
        <v>1</v>
      </c>
    </row>
    <row r="4" spans="1:2" x14ac:dyDescent="0.35">
      <c r="A4">
        <v>1000</v>
      </c>
      <c r="B4">
        <v>1000</v>
      </c>
    </row>
    <row r="5" spans="1:2" x14ac:dyDescent="0.35">
      <c r="A5">
        <v>10000</v>
      </c>
      <c r="B5">
        <v>5000</v>
      </c>
    </row>
    <row r="6" spans="1:2" x14ac:dyDescent="0.35">
      <c r="A6">
        <v>1000</v>
      </c>
      <c r="B6">
        <v>1000</v>
      </c>
    </row>
    <row r="8" spans="1:2" x14ac:dyDescent="0.35">
      <c r="A8" s="28"/>
      <c r="B8" s="28" t="s">
        <v>93</v>
      </c>
    </row>
    <row r="9" spans="1:2" x14ac:dyDescent="0.35">
      <c r="A9" t="s">
        <v>108</v>
      </c>
      <c r="B9" t="s">
        <v>94</v>
      </c>
    </row>
    <row r="10" spans="1:2" x14ac:dyDescent="0.35">
      <c r="A10" t="s">
        <v>87</v>
      </c>
      <c r="B10">
        <v>1</v>
      </c>
    </row>
    <row r="11" spans="1:2" x14ac:dyDescent="0.35">
      <c r="B11">
        <v>1000</v>
      </c>
    </row>
    <row r="12" spans="1:2" x14ac:dyDescent="0.35">
      <c r="B12">
        <v>5000</v>
      </c>
    </row>
    <row r="13" spans="1:2" x14ac:dyDescent="0.35">
      <c r="B13">
        <v>1000</v>
      </c>
    </row>
    <row r="15" spans="1:2" x14ac:dyDescent="0.35">
      <c r="B15" s="28" t="s">
        <v>93</v>
      </c>
    </row>
    <row r="16" spans="1:2" x14ac:dyDescent="0.35">
      <c r="B16" t="s">
        <v>61</v>
      </c>
    </row>
    <row r="17" spans="2:2" x14ac:dyDescent="0.35">
      <c r="B17" t="s">
        <v>96</v>
      </c>
    </row>
    <row r="18" spans="2:2" x14ac:dyDescent="0.35">
      <c r="B18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EB5C-7429-4889-BF6D-7BE7033A6779}">
  <dimension ref="A1:K14"/>
  <sheetViews>
    <sheetView workbookViewId="0">
      <selection activeCell="H13" sqref="H13"/>
    </sheetView>
  </sheetViews>
  <sheetFormatPr defaultRowHeight="14.5" x14ac:dyDescent="0.35"/>
  <sheetData>
    <row r="1" spans="1:11" x14ac:dyDescent="0.35">
      <c r="A1" s="21" t="s">
        <v>88</v>
      </c>
      <c r="K1" s="32" t="str">
        <f>CONCATENATE("Sensitivity of ",$K$4," to ","Input")</f>
        <v>Sensitivity of Max_inventory to Input</v>
      </c>
    </row>
    <row r="3" spans="1:11" x14ac:dyDescent="0.35">
      <c r="A3" t="s">
        <v>89</v>
      </c>
      <c r="K3" t="s">
        <v>90</v>
      </c>
    </row>
    <row r="4" spans="1:11" ht="74" x14ac:dyDescent="0.35">
      <c r="B4" s="30" t="s">
        <v>91</v>
      </c>
      <c r="J4" s="32">
        <f>MATCH($K$4,OutputAddresses,0)</f>
        <v>1</v>
      </c>
      <c r="K4" s="31" t="s">
        <v>91</v>
      </c>
    </row>
    <row r="5" spans="1:11" x14ac:dyDescent="0.35">
      <c r="A5" s="29">
        <v>9.9999997764825821E-3</v>
      </c>
      <c r="B5" s="33">
        <v>10000</v>
      </c>
      <c r="K5">
        <f>INDEX(OutputValues,1,$J$4)</f>
        <v>10000</v>
      </c>
    </row>
    <row r="6" spans="1:11" x14ac:dyDescent="0.35">
      <c r="A6" s="29">
        <v>1.9999999552965164E-2</v>
      </c>
      <c r="B6" s="34">
        <v>5000</v>
      </c>
      <c r="K6">
        <f>INDEX(OutputValues,2,$J$4)</f>
        <v>5000</v>
      </c>
    </row>
    <row r="7" spans="1:11" x14ac:dyDescent="0.35">
      <c r="A7" s="29">
        <v>2.9999999329447746E-2</v>
      </c>
      <c r="B7" s="34">
        <v>5000</v>
      </c>
      <c r="K7">
        <f>INDEX(OutputValues,3,$J$4)</f>
        <v>5000</v>
      </c>
    </row>
    <row r="8" spans="1:11" x14ac:dyDescent="0.35">
      <c r="A8" s="29">
        <v>3.9999999105930328E-2</v>
      </c>
      <c r="B8" s="34">
        <v>5000</v>
      </c>
      <c r="K8">
        <f>INDEX(OutputValues,4,$J$4)</f>
        <v>5000</v>
      </c>
    </row>
    <row r="9" spans="1:11" x14ac:dyDescent="0.35">
      <c r="A9" s="29">
        <v>4.9999997019767761E-2</v>
      </c>
      <c r="B9" s="34">
        <v>5000</v>
      </c>
      <c r="K9">
        <f>INDEX(OutputValues,5,$J$4)</f>
        <v>5000</v>
      </c>
    </row>
    <row r="10" spans="1:11" x14ac:dyDescent="0.35">
      <c r="A10" s="29">
        <v>5.9999998658895493E-2</v>
      </c>
      <c r="B10" s="34">
        <v>5000</v>
      </c>
      <c r="K10">
        <f>INDEX(OutputValues,6,$J$4)</f>
        <v>5000</v>
      </c>
    </row>
    <row r="11" spans="1:11" x14ac:dyDescent="0.35">
      <c r="A11" s="29">
        <v>7.0000000298023224E-2</v>
      </c>
      <c r="B11" s="34">
        <v>5000</v>
      </c>
      <c r="K11">
        <f>INDEX(OutputValues,7,$J$4)</f>
        <v>5000</v>
      </c>
    </row>
    <row r="12" spans="1:11" x14ac:dyDescent="0.35">
      <c r="A12" s="29">
        <v>7.9999998211860657E-2</v>
      </c>
      <c r="B12" s="34">
        <v>5000</v>
      </c>
      <c r="K12">
        <f>INDEX(OutputValues,8,$J$4)</f>
        <v>5000</v>
      </c>
    </row>
    <row r="13" spans="1:11" x14ac:dyDescent="0.35">
      <c r="A13" s="29">
        <v>8.999999612569809E-2</v>
      </c>
      <c r="B13" s="34">
        <v>5000</v>
      </c>
      <c r="K13">
        <f>INDEX(OutputValues,9,$J$4)</f>
        <v>5000</v>
      </c>
    </row>
    <row r="14" spans="1:11" x14ac:dyDescent="0.35">
      <c r="A14" s="29">
        <v>9.9999994039535522E-2</v>
      </c>
      <c r="B14" s="35">
        <v>5000</v>
      </c>
      <c r="K14">
        <f>INDEX(OutputValues,10,$J$4)</f>
        <v>5000</v>
      </c>
    </row>
  </sheetData>
  <dataValidations count="1">
    <dataValidation type="list" allowBlank="1" showInputMessage="1" showErrorMessage="1" sqref="K4" xr:uid="{EF09904E-4735-4B41-BEF1-6B57AA546888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7FC6-F4A5-449B-AA8C-6208C8506F59}">
  <dimension ref="A1:AZ9"/>
  <sheetViews>
    <sheetView workbookViewId="0"/>
  </sheetViews>
  <sheetFormatPr defaultRowHeight="14.5" x14ac:dyDescent="0.35"/>
  <cols>
    <col min="1" max="1" width="16.1796875" bestFit="1" customWidth="1"/>
  </cols>
  <sheetData>
    <row r="1" spans="1:52" x14ac:dyDescent="0.35">
      <c r="A1" s="21" t="s">
        <v>98</v>
      </c>
      <c r="K1" s="32" t="str">
        <f>CONCATENATE("Sensitivity of ",$K$4," to ","Input2")</f>
        <v>Sensitivity of Units_produced_1 to Input2</v>
      </c>
      <c r="O1" s="32" t="str">
        <f>CONCATENATE("Sensitivity of ",$O$4," to ","Input1")</f>
        <v>Sensitivity of Units_produced_1 to Input1</v>
      </c>
    </row>
    <row r="2" spans="1:52" x14ac:dyDescent="0.35">
      <c r="K2" t="s">
        <v>100</v>
      </c>
      <c r="O2" t="s">
        <v>103</v>
      </c>
      <c r="AZ2" t="s">
        <v>105</v>
      </c>
    </row>
    <row r="3" spans="1:52" x14ac:dyDescent="0.35">
      <c r="A3" t="s">
        <v>99</v>
      </c>
      <c r="K3" t="s">
        <v>101</v>
      </c>
      <c r="L3" t="s">
        <v>102</v>
      </c>
      <c r="O3" t="s">
        <v>101</v>
      </c>
      <c r="P3" t="s">
        <v>104</v>
      </c>
    </row>
    <row r="4" spans="1:52" ht="89" x14ac:dyDescent="0.35">
      <c r="A4" s="37" t="s">
        <v>105</v>
      </c>
      <c r="B4" s="36">
        <v>1000</v>
      </c>
      <c r="C4" s="36">
        <v>2000</v>
      </c>
      <c r="D4" s="36">
        <v>3000</v>
      </c>
      <c r="E4" s="36">
        <v>4000</v>
      </c>
      <c r="F4" s="36">
        <v>5000</v>
      </c>
      <c r="J4" s="32">
        <f>MATCH($K$4,OutputAddresses,0)</f>
        <v>1</v>
      </c>
      <c r="K4" s="31" t="s">
        <v>105</v>
      </c>
      <c r="L4" s="38">
        <v>1000</v>
      </c>
      <c r="M4" s="32">
        <f>MATCH($L$4,InputValues1,0)</f>
        <v>1</v>
      </c>
      <c r="N4" s="32">
        <f>MATCH($O$4,OutputAddresses,0)</f>
        <v>1</v>
      </c>
      <c r="O4" s="31" t="s">
        <v>105</v>
      </c>
      <c r="P4" s="38">
        <v>1000</v>
      </c>
      <c r="Q4" s="32">
        <f>MATCH($P$4,InputValues2,0)</f>
        <v>1</v>
      </c>
    </row>
    <row r="5" spans="1:52" x14ac:dyDescent="0.35">
      <c r="A5" s="36">
        <v>1000</v>
      </c>
      <c r="B5" s="39">
        <v>5000</v>
      </c>
      <c r="C5" s="42">
        <v>5000</v>
      </c>
      <c r="D5" s="42">
        <v>5000</v>
      </c>
      <c r="E5" s="42">
        <v>5000</v>
      </c>
      <c r="F5" s="45">
        <v>5000</v>
      </c>
      <c r="J5" s="32" t="str">
        <f>"OutputValues_"&amp;$J$4</f>
        <v>OutputValues_1</v>
      </c>
      <c r="K5">
        <f ca="1">INDEX(INDIRECT($J$5),$M$4,1)</f>
        <v>5000</v>
      </c>
      <c r="N5" s="32" t="str">
        <f>"OutputValues_"&amp;$N$4</f>
        <v>OutputValues_1</v>
      </c>
      <c r="O5">
        <f ca="1">INDEX(INDIRECT($N$5),1,$Q$4)</f>
        <v>5000</v>
      </c>
    </row>
    <row r="6" spans="1:52" x14ac:dyDescent="0.35">
      <c r="A6" s="36">
        <v>2000</v>
      </c>
      <c r="B6" s="40">
        <v>5000</v>
      </c>
      <c r="C6" s="43">
        <v>5000</v>
      </c>
      <c r="D6" s="43">
        <v>5000</v>
      </c>
      <c r="E6" s="43">
        <v>5000</v>
      </c>
      <c r="F6" s="46">
        <v>5000</v>
      </c>
      <c r="K6">
        <f ca="1">INDEX(INDIRECT($J$5),$M$4,2)</f>
        <v>5000</v>
      </c>
      <c r="O6">
        <f ca="1">INDEX(INDIRECT($N$5),2,$Q$4)</f>
        <v>5000</v>
      </c>
    </row>
    <row r="7" spans="1:52" x14ac:dyDescent="0.35">
      <c r="A7" s="36">
        <v>3000</v>
      </c>
      <c r="B7" s="40">
        <v>5000</v>
      </c>
      <c r="C7" s="43">
        <v>5000</v>
      </c>
      <c r="D7" s="43">
        <v>5000</v>
      </c>
      <c r="E7" s="43">
        <v>5000</v>
      </c>
      <c r="F7" s="46">
        <v>5000</v>
      </c>
      <c r="K7">
        <f ca="1">INDEX(INDIRECT($J$5),$M$4,3)</f>
        <v>5000</v>
      </c>
      <c r="O7">
        <f ca="1">INDEX(INDIRECT($N$5),3,$Q$4)</f>
        <v>5000</v>
      </c>
    </row>
    <row r="8" spans="1:52" x14ac:dyDescent="0.35">
      <c r="A8" s="36">
        <v>4000</v>
      </c>
      <c r="B8" s="40">
        <v>5000</v>
      </c>
      <c r="C8" s="43">
        <v>5000</v>
      </c>
      <c r="D8" s="43">
        <v>5000</v>
      </c>
      <c r="E8" s="43">
        <v>5000</v>
      </c>
      <c r="F8" s="46">
        <v>5000</v>
      </c>
      <c r="K8">
        <f ca="1">INDEX(INDIRECT($J$5),$M$4,4)</f>
        <v>5000</v>
      </c>
      <c r="O8">
        <f ca="1">INDEX(INDIRECT($N$5),4,$Q$4)</f>
        <v>5000</v>
      </c>
    </row>
    <row r="9" spans="1:52" x14ac:dyDescent="0.35">
      <c r="A9" s="36">
        <v>5000</v>
      </c>
      <c r="B9" s="41">
        <v>5000</v>
      </c>
      <c r="C9" s="44">
        <v>5000</v>
      </c>
      <c r="D9" s="44">
        <v>5000</v>
      </c>
      <c r="E9" s="44">
        <v>5000</v>
      </c>
      <c r="F9" s="47">
        <v>5000</v>
      </c>
      <c r="K9">
        <f ca="1">INDEX(INDIRECT($J$5),$M$4,5)</f>
        <v>5000</v>
      </c>
      <c r="O9">
        <f ca="1">INDEX(INDIRECT($N$5),5,$Q$4)</f>
        <v>5000</v>
      </c>
    </row>
  </sheetData>
  <dataValidations count="3">
    <dataValidation type="list" allowBlank="1" showInputMessage="1" showErrorMessage="1" sqref="K4 O4" xr:uid="{6261A303-443F-4036-9010-C81ED3B2DC94}">
      <formula1>OutputAddresses</formula1>
    </dataValidation>
    <dataValidation type="list" allowBlank="1" showInputMessage="1" showErrorMessage="1" sqref="L4" xr:uid="{2FEAD119-66F3-4465-86CD-AB13281A4271}">
      <formula1>InputValues1</formula1>
    </dataValidation>
    <dataValidation type="list" allowBlank="1" showInputMessage="1" showErrorMessage="1" sqref="P4" xr:uid="{DD56D17D-49CC-4E25-BFC8-4E5FEA4B20E2}">
      <formula1>InputValues2</formula1>
    </dataValidation>
  </dataValidation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68AC-0DE1-4F95-89ED-CFB6650B3E60}">
  <dimension ref="A1:K14"/>
  <sheetViews>
    <sheetView workbookViewId="0">
      <selection activeCell="D11" sqref="D11"/>
    </sheetView>
  </sheetViews>
  <sheetFormatPr defaultRowHeight="14.5" x14ac:dyDescent="0.35"/>
  <sheetData>
    <row r="1" spans="1:11" x14ac:dyDescent="0.35">
      <c r="A1" s="21" t="s">
        <v>88</v>
      </c>
      <c r="K1" s="32" t="str">
        <f>CONCATENATE("Sensitivity of ",$K$4," to ","Input")</f>
        <v>Sensitivity of Total_Costs_1 to Input</v>
      </c>
    </row>
    <row r="3" spans="1:11" x14ac:dyDescent="0.35">
      <c r="A3" t="s">
        <v>106</v>
      </c>
      <c r="K3" t="s">
        <v>90</v>
      </c>
    </row>
    <row r="4" spans="1:11" ht="68.5" x14ac:dyDescent="0.35">
      <c r="B4" s="30" t="s">
        <v>107</v>
      </c>
      <c r="J4" s="32">
        <f>MATCH($K$4,OutputAddresses,0)</f>
        <v>1</v>
      </c>
      <c r="K4" s="31" t="s">
        <v>107</v>
      </c>
    </row>
    <row r="5" spans="1:11" x14ac:dyDescent="0.35">
      <c r="A5" s="36">
        <v>1000</v>
      </c>
      <c r="B5" s="33">
        <v>1585562.5000940636</v>
      </c>
      <c r="K5">
        <f>INDEX(OutputValues,1,$J$4)</f>
        <v>1585562.5000940636</v>
      </c>
    </row>
    <row r="6" spans="1:11" x14ac:dyDescent="0.35">
      <c r="A6" s="36">
        <v>2000</v>
      </c>
      <c r="B6" s="34">
        <v>1573062.5000940636</v>
      </c>
      <c r="K6">
        <f>INDEX(OutputValues,2,$J$4)</f>
        <v>1573062.5000940636</v>
      </c>
    </row>
    <row r="7" spans="1:11" x14ac:dyDescent="0.35">
      <c r="A7" s="36">
        <v>3000</v>
      </c>
      <c r="B7" s="34">
        <v>1560562.5000940636</v>
      </c>
      <c r="K7">
        <f>INDEX(OutputValues,3,$J$4)</f>
        <v>1560562.5000940636</v>
      </c>
    </row>
    <row r="8" spans="1:11" x14ac:dyDescent="0.35">
      <c r="A8" s="36">
        <v>4000</v>
      </c>
      <c r="B8" s="34">
        <v>1548062.5000940636</v>
      </c>
      <c r="K8">
        <f>INDEX(OutputValues,4,$J$4)</f>
        <v>1548062.5000940636</v>
      </c>
    </row>
    <row r="9" spans="1:11" x14ac:dyDescent="0.35">
      <c r="A9" s="36">
        <v>5000</v>
      </c>
      <c r="B9" s="34">
        <v>1535562.5000940636</v>
      </c>
      <c r="K9">
        <f>INDEX(OutputValues,5,$J$4)</f>
        <v>1535562.5000940636</v>
      </c>
    </row>
    <row r="10" spans="1:11" x14ac:dyDescent="0.35">
      <c r="A10" s="36">
        <v>6000</v>
      </c>
      <c r="B10" s="34">
        <v>1523062.5000940636</v>
      </c>
      <c r="K10">
        <f>INDEX(OutputValues,6,$J$4)</f>
        <v>1523062.5000940636</v>
      </c>
    </row>
    <row r="11" spans="1:11" x14ac:dyDescent="0.35">
      <c r="A11" s="36">
        <v>7000</v>
      </c>
      <c r="B11" s="34">
        <v>1510562.5000940636</v>
      </c>
      <c r="K11">
        <f>INDEX(OutputValues,7,$J$4)</f>
        <v>1510562.5000940636</v>
      </c>
    </row>
    <row r="12" spans="1:11" x14ac:dyDescent="0.35">
      <c r="A12" s="36">
        <v>8000</v>
      </c>
      <c r="B12" s="34">
        <v>1498062.5000940636</v>
      </c>
      <c r="K12">
        <f>INDEX(OutputValues,8,$J$4)</f>
        <v>1498062.5000940636</v>
      </c>
    </row>
    <row r="13" spans="1:11" x14ac:dyDescent="0.35">
      <c r="A13" s="36">
        <v>9000</v>
      </c>
      <c r="B13" s="34">
        <v>1485562.5000940636</v>
      </c>
      <c r="K13">
        <f>INDEX(OutputValues,9,$J$4)</f>
        <v>1485562.5000940636</v>
      </c>
    </row>
    <row r="14" spans="1:11" x14ac:dyDescent="0.35">
      <c r="A14" s="36">
        <v>10000</v>
      </c>
      <c r="B14" s="35">
        <v>1473062.5000940636</v>
      </c>
      <c r="K14">
        <f>INDEX(OutputValues,10,$J$4)</f>
        <v>1473062.5000940636</v>
      </c>
    </row>
  </sheetData>
  <dataValidations count="1">
    <dataValidation type="list" allowBlank="1" showInputMessage="1" showErrorMessage="1" sqref="K4" xr:uid="{AEDD8F32-E742-45DE-94C4-BB2DF216C700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DFB9-4CDF-49CA-99F4-30EFB65E20A5}">
  <dimension ref="A1:K14"/>
  <sheetViews>
    <sheetView workbookViewId="0">
      <selection activeCell="C5" sqref="C5"/>
    </sheetView>
  </sheetViews>
  <sheetFormatPr defaultRowHeight="14.5" x14ac:dyDescent="0.35"/>
  <sheetData>
    <row r="1" spans="1:11" x14ac:dyDescent="0.35">
      <c r="A1" s="21" t="s">
        <v>88</v>
      </c>
      <c r="K1" s="32" t="str">
        <f>CONCATENATE("Sensitivity of ",$K$4," to ","Input")</f>
        <v>Sensitivity of Units_produced_6 to Input</v>
      </c>
    </row>
    <row r="3" spans="1:11" x14ac:dyDescent="0.35">
      <c r="A3" t="s">
        <v>106</v>
      </c>
      <c r="K3" t="s">
        <v>90</v>
      </c>
    </row>
    <row r="4" spans="1:11" ht="89" x14ac:dyDescent="0.35">
      <c r="B4" s="30" t="s">
        <v>105</v>
      </c>
      <c r="C4" s="30" t="s">
        <v>109</v>
      </c>
      <c r="D4" s="30" t="s">
        <v>110</v>
      </c>
      <c r="E4" s="30" t="s">
        <v>111</v>
      </c>
      <c r="F4" s="30" t="s">
        <v>112</v>
      </c>
      <c r="G4" s="30" t="s">
        <v>113</v>
      </c>
      <c r="J4" s="32">
        <f>MATCH($K$4,OutputAddresses,0)</f>
        <v>6</v>
      </c>
      <c r="K4" s="31" t="s">
        <v>113</v>
      </c>
    </row>
    <row r="5" spans="1:11" x14ac:dyDescent="0.35">
      <c r="A5" s="36">
        <v>1000</v>
      </c>
      <c r="B5" s="39">
        <v>9000</v>
      </c>
      <c r="C5" s="42">
        <v>20000</v>
      </c>
      <c r="D5" s="42">
        <v>30000</v>
      </c>
      <c r="E5" s="42">
        <v>30000</v>
      </c>
      <c r="F5" s="42">
        <v>25000</v>
      </c>
      <c r="G5" s="45">
        <v>10000</v>
      </c>
      <c r="K5">
        <f>INDEX(OutputValues,1,$J$4)</f>
        <v>10000</v>
      </c>
    </row>
    <row r="6" spans="1:11" x14ac:dyDescent="0.35">
      <c r="A6" s="36">
        <v>2000</v>
      </c>
      <c r="B6" s="40">
        <v>8000</v>
      </c>
      <c r="C6" s="43">
        <v>20000</v>
      </c>
      <c r="D6" s="43">
        <v>30000</v>
      </c>
      <c r="E6" s="43">
        <v>30000</v>
      </c>
      <c r="F6" s="43">
        <v>25000</v>
      </c>
      <c r="G6" s="46">
        <v>10000</v>
      </c>
      <c r="K6">
        <f>INDEX(OutputValues,2,$J$4)</f>
        <v>10000</v>
      </c>
    </row>
    <row r="7" spans="1:11" x14ac:dyDescent="0.35">
      <c r="A7" s="36">
        <v>3000</v>
      </c>
      <c r="B7" s="40">
        <v>7000</v>
      </c>
      <c r="C7" s="43">
        <v>20000</v>
      </c>
      <c r="D7" s="43">
        <v>30000</v>
      </c>
      <c r="E7" s="43">
        <v>30000</v>
      </c>
      <c r="F7" s="43">
        <v>25000</v>
      </c>
      <c r="G7" s="46">
        <v>10000</v>
      </c>
      <c r="K7">
        <f>INDEX(OutputValues,3,$J$4)</f>
        <v>10000</v>
      </c>
    </row>
    <row r="8" spans="1:11" x14ac:dyDescent="0.35">
      <c r="A8" s="36">
        <v>4000</v>
      </c>
      <c r="B8" s="40">
        <v>6000</v>
      </c>
      <c r="C8" s="43">
        <v>20000</v>
      </c>
      <c r="D8" s="43">
        <v>30000</v>
      </c>
      <c r="E8" s="43">
        <v>30000</v>
      </c>
      <c r="F8" s="43">
        <v>25000</v>
      </c>
      <c r="G8" s="46">
        <v>10000</v>
      </c>
      <c r="K8">
        <f>INDEX(OutputValues,4,$J$4)</f>
        <v>10000</v>
      </c>
    </row>
    <row r="9" spans="1:11" x14ac:dyDescent="0.35">
      <c r="A9" s="36">
        <v>5000</v>
      </c>
      <c r="B9" s="40">
        <v>5000</v>
      </c>
      <c r="C9" s="43">
        <v>20000</v>
      </c>
      <c r="D9" s="43">
        <v>30000</v>
      </c>
      <c r="E9" s="43">
        <v>30000</v>
      </c>
      <c r="F9" s="43">
        <v>25000</v>
      </c>
      <c r="G9" s="46">
        <v>10000</v>
      </c>
      <c r="K9">
        <f>INDEX(OutputValues,5,$J$4)</f>
        <v>10000</v>
      </c>
    </row>
    <row r="10" spans="1:11" x14ac:dyDescent="0.35">
      <c r="A10" s="36">
        <v>6000</v>
      </c>
      <c r="B10" s="40">
        <v>4000</v>
      </c>
      <c r="C10" s="43">
        <v>20000</v>
      </c>
      <c r="D10" s="43">
        <v>30000</v>
      </c>
      <c r="E10" s="43">
        <v>30000</v>
      </c>
      <c r="F10" s="43">
        <v>25000</v>
      </c>
      <c r="G10" s="46">
        <v>10000</v>
      </c>
      <c r="K10">
        <f>INDEX(OutputValues,6,$J$4)</f>
        <v>10000</v>
      </c>
    </row>
    <row r="11" spans="1:11" x14ac:dyDescent="0.35">
      <c r="A11" s="36">
        <v>7000</v>
      </c>
      <c r="B11" s="40">
        <v>3000</v>
      </c>
      <c r="C11" s="43">
        <v>20000</v>
      </c>
      <c r="D11" s="43">
        <v>30000</v>
      </c>
      <c r="E11" s="43">
        <v>30000</v>
      </c>
      <c r="F11" s="43">
        <v>25000</v>
      </c>
      <c r="G11" s="46">
        <v>10000</v>
      </c>
      <c r="K11">
        <f>INDEX(OutputValues,7,$J$4)</f>
        <v>10000</v>
      </c>
    </row>
    <row r="12" spans="1:11" x14ac:dyDescent="0.35">
      <c r="A12" s="36">
        <v>8000</v>
      </c>
      <c r="B12" s="40">
        <v>2000</v>
      </c>
      <c r="C12" s="43">
        <v>20000</v>
      </c>
      <c r="D12" s="43">
        <v>30000</v>
      </c>
      <c r="E12" s="43">
        <v>30000</v>
      </c>
      <c r="F12" s="43">
        <v>25000</v>
      </c>
      <c r="G12" s="46">
        <v>10000</v>
      </c>
      <c r="K12">
        <f>INDEX(OutputValues,8,$J$4)</f>
        <v>10000</v>
      </c>
    </row>
    <row r="13" spans="1:11" x14ac:dyDescent="0.35">
      <c r="A13" s="36">
        <v>9000</v>
      </c>
      <c r="B13" s="40">
        <v>1000</v>
      </c>
      <c r="C13" s="43">
        <v>20000</v>
      </c>
      <c r="D13" s="43">
        <v>30000</v>
      </c>
      <c r="E13" s="43">
        <v>30000</v>
      </c>
      <c r="F13" s="43">
        <v>25000</v>
      </c>
      <c r="G13" s="46">
        <v>10000</v>
      </c>
      <c r="K13">
        <f>INDEX(OutputValues,9,$J$4)</f>
        <v>10000</v>
      </c>
    </row>
    <row r="14" spans="1:11" x14ac:dyDescent="0.35">
      <c r="A14" s="36">
        <v>10000</v>
      </c>
      <c r="B14" s="41">
        <v>0</v>
      </c>
      <c r="C14" s="44">
        <v>20000</v>
      </c>
      <c r="D14" s="44">
        <v>30000</v>
      </c>
      <c r="E14" s="44">
        <v>30000</v>
      </c>
      <c r="F14" s="44">
        <v>25000</v>
      </c>
      <c r="G14" s="47">
        <v>10000</v>
      </c>
      <c r="K14">
        <f>INDEX(OutputValues,10,$J$4)</f>
        <v>10000</v>
      </c>
    </row>
  </sheetData>
  <dataValidations count="1">
    <dataValidation type="list" allowBlank="1" showInputMessage="1" showErrorMessage="1" sqref="K4" xr:uid="{75185B71-ADF3-4A8F-BE28-50035882A03B}">
      <formula1>OutputAddresses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29</vt:i4>
      </vt:variant>
    </vt:vector>
  </HeadingPairs>
  <TitlesOfParts>
    <vt:vector size="35" baseType="lpstr">
      <vt:lpstr>Sensitivity Report 1</vt:lpstr>
      <vt:lpstr>Model</vt:lpstr>
      <vt:lpstr>STS_1</vt:lpstr>
      <vt:lpstr>STS_2</vt:lpstr>
      <vt:lpstr>Sensitivity Analysis_Total Cost</vt:lpstr>
      <vt:lpstr>Sensitivty Analysis Units Prod</vt:lpstr>
      <vt:lpstr>'Sensitivity Analysis_Total Cost'!ChartData</vt:lpstr>
      <vt:lpstr>'Sensitivty Analysis Units Prod'!ChartData</vt:lpstr>
      <vt:lpstr>STS_1!ChartData</vt:lpstr>
      <vt:lpstr>STS_2!ChartData1</vt:lpstr>
      <vt:lpstr>STS_2!ChartData2</vt:lpstr>
      <vt:lpstr>Demand</vt:lpstr>
      <vt:lpstr>Ending_inventory</vt:lpstr>
      <vt:lpstr>Holding_cost_as___of_prod_cost</vt:lpstr>
      <vt:lpstr>Initial_inventory</vt:lpstr>
      <vt:lpstr>'Sensitivity Analysis_Total Cost'!InputValues</vt:lpstr>
      <vt:lpstr>'Sensitivty Analysis Units Prod'!InputValues</vt:lpstr>
      <vt:lpstr>STS_1!InputValues</vt:lpstr>
      <vt:lpstr>STS_2!InputValues1</vt:lpstr>
      <vt:lpstr>STS_2!InputValues2</vt:lpstr>
      <vt:lpstr>Max_inventory</vt:lpstr>
      <vt:lpstr>On_hand_after_production</vt:lpstr>
      <vt:lpstr>'Sensitivity Analysis_Total Cost'!OutputAddresses</vt:lpstr>
      <vt:lpstr>'Sensitivty Analysis Units Prod'!OutputAddresses</vt:lpstr>
      <vt:lpstr>STS_1!OutputAddresses</vt:lpstr>
      <vt:lpstr>STS_2!OutputAddresses</vt:lpstr>
      <vt:lpstr>'Sensitivity Analysis_Total Cost'!OutputValues</vt:lpstr>
      <vt:lpstr>'Sensitivty Analysis Units Prod'!OutputValues</vt:lpstr>
      <vt:lpstr>STS_1!OutputValues</vt:lpstr>
      <vt:lpstr>STS_2!OutputValues_1</vt:lpstr>
      <vt:lpstr>Production_capacity</vt:lpstr>
      <vt:lpstr>Production_cost_unit</vt:lpstr>
      <vt:lpstr>Storage_capacity</vt:lpstr>
      <vt:lpstr>Total_Costs</vt:lpstr>
      <vt:lpstr>Units_produced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NITHIN DAS</cp:lastModifiedBy>
  <dcterms:created xsi:type="dcterms:W3CDTF">2007-05-15T17:25:36Z</dcterms:created>
  <dcterms:modified xsi:type="dcterms:W3CDTF">2019-10-03T18:35:35Z</dcterms:modified>
</cp:coreProperties>
</file>